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9_{5274FCB1-3A42-624C-B432-A10464DAF78A}" xr6:coauthVersionLast="46" xr6:coauthVersionMax="46" xr10:uidLastSave="{00000000-0000-0000-0000-000000000000}"/>
  <bookViews>
    <workbookView xWindow="0" yWindow="500" windowWidth="28800" windowHeight="15940" xr2:uid="{00000000-000D-0000-FFFF-FFFF00000000}"/>
  </bookViews>
  <sheets>
    <sheet name="nextgenac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4" i="1" l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C116" i="1"/>
  <c r="E116" i="1"/>
  <c r="C117" i="1"/>
  <c r="E117" i="1"/>
  <c r="C118" i="1"/>
  <c r="E118" i="1"/>
  <c r="C119" i="1"/>
  <c r="E119" i="1"/>
  <c r="C120" i="1"/>
  <c r="E120" i="1"/>
  <c r="C121" i="1"/>
  <c r="E121" i="1"/>
  <c r="C122" i="1"/>
  <c r="E122" i="1"/>
  <c r="C123" i="1"/>
  <c r="E123" i="1"/>
  <c r="C124" i="1"/>
  <c r="E124" i="1"/>
  <c r="C125" i="1"/>
  <c r="E125" i="1"/>
  <c r="C126" i="1"/>
  <c r="E126" i="1"/>
  <c r="C127" i="1"/>
  <c r="E127" i="1"/>
  <c r="C128" i="1"/>
  <c r="E128" i="1"/>
  <c r="C129" i="1"/>
  <c r="E129" i="1"/>
  <c r="C130" i="1"/>
  <c r="E130" i="1"/>
  <c r="C131" i="1"/>
  <c r="E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E138" i="1"/>
  <c r="C139" i="1"/>
  <c r="E139" i="1"/>
  <c r="C140" i="1"/>
  <c r="E140" i="1"/>
  <c r="C141" i="1"/>
  <c r="E141" i="1"/>
  <c r="C142" i="1"/>
  <c r="E142" i="1"/>
  <c r="C143" i="1"/>
  <c r="E143" i="1"/>
  <c r="C144" i="1"/>
  <c r="E144" i="1"/>
  <c r="C145" i="1"/>
  <c r="E145" i="1"/>
  <c r="C146" i="1"/>
  <c r="E146" i="1"/>
  <c r="C147" i="1"/>
  <c r="E147" i="1"/>
  <c r="C148" i="1"/>
  <c r="E148" i="1"/>
  <c r="C149" i="1"/>
  <c r="E149" i="1"/>
  <c r="C150" i="1"/>
  <c r="E150" i="1"/>
  <c r="C151" i="1"/>
  <c r="E151" i="1"/>
  <c r="C152" i="1"/>
  <c r="E152" i="1"/>
  <c r="C153" i="1"/>
  <c r="E153" i="1"/>
  <c r="C154" i="1"/>
  <c r="E154" i="1"/>
  <c r="C155" i="1"/>
  <c r="E155" i="1"/>
  <c r="C156" i="1"/>
  <c r="E156" i="1"/>
  <c r="C157" i="1"/>
  <c r="E157" i="1"/>
  <c r="C158" i="1"/>
  <c r="E158" i="1"/>
  <c r="C159" i="1"/>
  <c r="E159" i="1"/>
  <c r="C160" i="1"/>
  <c r="E160" i="1"/>
  <c r="C161" i="1"/>
  <c r="E161" i="1"/>
  <c r="C162" i="1"/>
  <c r="E162" i="1"/>
  <c r="C163" i="1"/>
  <c r="E163" i="1"/>
  <c r="C164" i="1"/>
  <c r="E164" i="1"/>
  <c r="C165" i="1"/>
  <c r="E165" i="1"/>
  <c r="C166" i="1"/>
  <c r="E166" i="1"/>
  <c r="C167" i="1"/>
  <c r="E167" i="1"/>
  <c r="C168" i="1"/>
  <c r="E168" i="1"/>
  <c r="C169" i="1"/>
  <c r="E169" i="1"/>
  <c r="C170" i="1"/>
  <c r="E170" i="1"/>
  <c r="C171" i="1"/>
  <c r="E171" i="1"/>
  <c r="C172" i="1"/>
  <c r="E172" i="1"/>
  <c r="C173" i="1"/>
  <c r="E173" i="1"/>
  <c r="C174" i="1"/>
  <c r="E174" i="1"/>
  <c r="C175" i="1"/>
  <c r="E175" i="1"/>
  <c r="C176" i="1"/>
  <c r="E176" i="1"/>
  <c r="C177" i="1"/>
  <c r="E177" i="1"/>
  <c r="C178" i="1"/>
  <c r="E178" i="1"/>
  <c r="C179" i="1"/>
  <c r="E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E186" i="1"/>
  <c r="C187" i="1"/>
  <c r="E187" i="1"/>
  <c r="C188" i="1"/>
  <c r="E188" i="1"/>
  <c r="C189" i="1"/>
  <c r="E189" i="1"/>
  <c r="C190" i="1"/>
  <c r="E190" i="1"/>
  <c r="C191" i="1"/>
  <c r="E191" i="1"/>
  <c r="C192" i="1"/>
  <c r="E192" i="1"/>
  <c r="C193" i="1"/>
  <c r="E193" i="1"/>
  <c r="C194" i="1"/>
  <c r="E194" i="1"/>
  <c r="C195" i="1"/>
  <c r="E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C202" i="1"/>
  <c r="E202" i="1"/>
  <c r="C203" i="1"/>
  <c r="E203" i="1"/>
  <c r="C204" i="1"/>
  <c r="E204" i="1"/>
  <c r="C205" i="1"/>
  <c r="E205" i="1"/>
  <c r="C206" i="1"/>
  <c r="E206" i="1"/>
  <c r="C207" i="1"/>
  <c r="E207" i="1"/>
  <c r="C208" i="1"/>
  <c r="E208" i="1"/>
  <c r="C209" i="1"/>
  <c r="E209" i="1"/>
  <c r="C210" i="1"/>
  <c r="E210" i="1"/>
  <c r="C211" i="1"/>
  <c r="E211" i="1"/>
  <c r="C212" i="1"/>
  <c r="E212" i="1"/>
  <c r="C213" i="1"/>
  <c r="E213" i="1"/>
  <c r="C214" i="1"/>
  <c r="E214" i="1"/>
  <c r="C215" i="1"/>
  <c r="E215" i="1"/>
  <c r="C216" i="1"/>
  <c r="E216" i="1"/>
  <c r="C217" i="1"/>
  <c r="E217" i="1"/>
  <c r="C218" i="1"/>
  <c r="E218" i="1"/>
  <c r="C219" i="1"/>
  <c r="E219" i="1"/>
  <c r="C220" i="1"/>
  <c r="E220" i="1"/>
  <c r="C221" i="1"/>
  <c r="E221" i="1"/>
  <c r="C222" i="1"/>
  <c r="E222" i="1"/>
  <c r="C223" i="1"/>
  <c r="E223" i="1"/>
  <c r="C224" i="1"/>
  <c r="E224" i="1"/>
  <c r="C225" i="1"/>
  <c r="E225" i="1"/>
  <c r="C226" i="1"/>
  <c r="E226" i="1"/>
  <c r="C227" i="1"/>
  <c r="E227" i="1"/>
  <c r="C228" i="1"/>
  <c r="E228" i="1"/>
  <c r="C229" i="1"/>
  <c r="E229" i="1"/>
  <c r="C230" i="1"/>
  <c r="E230" i="1"/>
  <c r="C231" i="1"/>
  <c r="E231" i="1"/>
  <c r="C232" i="1"/>
  <c r="E232" i="1"/>
  <c r="C233" i="1"/>
  <c r="E233" i="1"/>
  <c r="C234" i="1"/>
  <c r="E234" i="1"/>
  <c r="C235" i="1"/>
  <c r="E235" i="1"/>
  <c r="C236" i="1"/>
  <c r="E236" i="1"/>
  <c r="C237" i="1"/>
  <c r="E237" i="1"/>
  <c r="C238" i="1"/>
  <c r="E238" i="1"/>
  <c r="C239" i="1"/>
  <c r="E239" i="1"/>
  <c r="C240" i="1"/>
  <c r="E240" i="1"/>
  <c r="C241" i="1"/>
  <c r="E241" i="1"/>
  <c r="C242" i="1"/>
  <c r="E242" i="1"/>
  <c r="C243" i="1"/>
  <c r="E243" i="1"/>
  <c r="C244" i="1"/>
  <c r="E244" i="1"/>
  <c r="C245" i="1"/>
  <c r="E245" i="1"/>
  <c r="C246" i="1"/>
  <c r="E246" i="1"/>
  <c r="C247" i="1"/>
  <c r="E247" i="1"/>
  <c r="C248" i="1"/>
  <c r="E248" i="1"/>
  <c r="C249" i="1"/>
  <c r="E249" i="1"/>
  <c r="C250" i="1"/>
  <c r="E250" i="1"/>
  <c r="C251" i="1"/>
  <c r="E251" i="1"/>
  <c r="C252" i="1"/>
  <c r="E252" i="1"/>
  <c r="C253" i="1"/>
  <c r="E253" i="1"/>
  <c r="C254" i="1"/>
  <c r="E254" i="1"/>
  <c r="C255" i="1"/>
  <c r="E255" i="1"/>
  <c r="C256" i="1"/>
  <c r="E256" i="1"/>
  <c r="C257" i="1"/>
  <c r="E257" i="1"/>
  <c r="C258" i="1"/>
  <c r="E258" i="1"/>
  <c r="C259" i="1"/>
  <c r="E259" i="1"/>
  <c r="C260" i="1"/>
  <c r="E260" i="1"/>
  <c r="C261" i="1"/>
  <c r="E261" i="1"/>
  <c r="C262" i="1"/>
  <c r="E262" i="1"/>
  <c r="C263" i="1"/>
  <c r="E263" i="1"/>
  <c r="C264" i="1"/>
  <c r="E264" i="1"/>
  <c r="C265" i="1"/>
  <c r="E265" i="1"/>
  <c r="C266" i="1"/>
  <c r="E266" i="1"/>
  <c r="C267" i="1"/>
  <c r="E267" i="1"/>
  <c r="C268" i="1"/>
  <c r="E268" i="1"/>
  <c r="C269" i="1"/>
  <c r="E269" i="1"/>
  <c r="C270" i="1"/>
  <c r="E270" i="1"/>
  <c r="C271" i="1"/>
  <c r="E271" i="1"/>
  <c r="C272" i="1"/>
  <c r="E272" i="1"/>
  <c r="C273" i="1"/>
  <c r="E273" i="1"/>
  <c r="C274" i="1"/>
  <c r="E274" i="1"/>
  <c r="C275" i="1"/>
  <c r="E275" i="1"/>
  <c r="C276" i="1"/>
  <c r="E276" i="1"/>
  <c r="C277" i="1"/>
  <c r="E277" i="1"/>
  <c r="C278" i="1"/>
  <c r="E278" i="1"/>
  <c r="C279" i="1"/>
  <c r="E279" i="1"/>
  <c r="C280" i="1"/>
  <c r="E280" i="1"/>
  <c r="C281" i="1"/>
  <c r="E281" i="1"/>
  <c r="C282" i="1"/>
  <c r="E282" i="1"/>
  <c r="C283" i="1"/>
  <c r="E283" i="1"/>
  <c r="C284" i="1"/>
  <c r="E284" i="1"/>
  <c r="C285" i="1"/>
  <c r="E285" i="1"/>
  <c r="C286" i="1"/>
  <c r="E286" i="1"/>
  <c r="C287" i="1"/>
  <c r="E287" i="1"/>
  <c r="C288" i="1"/>
  <c r="E288" i="1"/>
  <c r="C289" i="1"/>
  <c r="E289" i="1"/>
  <c r="C290" i="1"/>
  <c r="E290" i="1"/>
  <c r="C291" i="1"/>
  <c r="E291" i="1"/>
  <c r="C292" i="1"/>
  <c r="E292" i="1"/>
  <c r="C293" i="1"/>
  <c r="E293" i="1"/>
  <c r="C294" i="1"/>
  <c r="E294" i="1"/>
  <c r="C295" i="1"/>
  <c r="E295" i="1"/>
  <c r="C296" i="1"/>
  <c r="E296" i="1"/>
  <c r="C297" i="1"/>
  <c r="E297" i="1"/>
  <c r="C298" i="1"/>
  <c r="E298" i="1"/>
  <c r="C299" i="1"/>
  <c r="E299" i="1"/>
  <c r="C300" i="1"/>
  <c r="E300" i="1"/>
  <c r="C301" i="1"/>
  <c r="E301" i="1"/>
  <c r="C302" i="1"/>
  <c r="E302" i="1"/>
  <c r="C303" i="1"/>
  <c r="E303" i="1"/>
  <c r="C304" i="1"/>
  <c r="E304" i="1"/>
  <c r="C305" i="1"/>
  <c r="E305" i="1"/>
  <c r="C306" i="1"/>
  <c r="E306" i="1"/>
  <c r="C307" i="1"/>
  <c r="E307" i="1"/>
  <c r="C308" i="1"/>
  <c r="E308" i="1"/>
  <c r="C309" i="1"/>
  <c r="E309" i="1"/>
  <c r="C310" i="1"/>
  <c r="E310" i="1"/>
  <c r="C311" i="1"/>
  <c r="E311" i="1"/>
  <c r="C312" i="1"/>
  <c r="E312" i="1"/>
  <c r="C313" i="1"/>
  <c r="E313" i="1"/>
  <c r="C314" i="1"/>
  <c r="E314" i="1"/>
  <c r="C315" i="1"/>
  <c r="E315" i="1"/>
  <c r="C316" i="1"/>
  <c r="E316" i="1"/>
  <c r="C317" i="1"/>
  <c r="E317" i="1"/>
  <c r="C318" i="1"/>
  <c r="E318" i="1"/>
  <c r="C319" i="1"/>
  <c r="E319" i="1"/>
  <c r="C320" i="1"/>
  <c r="E320" i="1"/>
  <c r="C321" i="1"/>
  <c r="E321" i="1"/>
  <c r="C322" i="1"/>
  <c r="E322" i="1"/>
  <c r="C323" i="1"/>
  <c r="E323" i="1"/>
  <c r="C324" i="1"/>
  <c r="E324" i="1"/>
  <c r="C325" i="1"/>
  <c r="E325" i="1"/>
  <c r="C326" i="1"/>
  <c r="E326" i="1"/>
  <c r="C327" i="1"/>
  <c r="E327" i="1"/>
  <c r="C328" i="1"/>
  <c r="E328" i="1"/>
  <c r="C329" i="1"/>
  <c r="E329" i="1"/>
  <c r="C330" i="1"/>
  <c r="E330" i="1"/>
  <c r="C331" i="1"/>
  <c r="E331" i="1"/>
  <c r="C332" i="1"/>
  <c r="E332" i="1"/>
  <c r="C333" i="1"/>
  <c r="E333" i="1"/>
  <c r="C334" i="1"/>
  <c r="E334" i="1"/>
  <c r="C335" i="1"/>
  <c r="E335" i="1"/>
  <c r="C336" i="1"/>
  <c r="E336" i="1"/>
  <c r="C337" i="1"/>
  <c r="E337" i="1"/>
  <c r="C338" i="1"/>
  <c r="E338" i="1"/>
  <c r="C339" i="1"/>
  <c r="E339" i="1"/>
  <c r="C340" i="1"/>
  <c r="E340" i="1"/>
  <c r="C341" i="1"/>
  <c r="E341" i="1"/>
  <c r="C342" i="1"/>
  <c r="E342" i="1"/>
  <c r="C343" i="1"/>
  <c r="E343" i="1"/>
  <c r="C344" i="1"/>
  <c r="E344" i="1"/>
  <c r="C345" i="1"/>
  <c r="E345" i="1"/>
  <c r="C346" i="1"/>
  <c r="E346" i="1"/>
  <c r="C347" i="1"/>
  <c r="E347" i="1"/>
  <c r="C348" i="1"/>
  <c r="E348" i="1"/>
  <c r="C349" i="1"/>
  <c r="E349" i="1"/>
  <c r="C350" i="1"/>
  <c r="E350" i="1"/>
  <c r="C351" i="1"/>
  <c r="E351" i="1"/>
  <c r="C352" i="1"/>
  <c r="E352" i="1"/>
  <c r="C353" i="1"/>
  <c r="E353" i="1"/>
  <c r="C354" i="1"/>
  <c r="E354" i="1"/>
  <c r="C355" i="1"/>
  <c r="E355" i="1"/>
  <c r="C356" i="1"/>
  <c r="E356" i="1"/>
  <c r="C357" i="1"/>
  <c r="E357" i="1"/>
  <c r="C358" i="1"/>
  <c r="E358" i="1"/>
  <c r="C359" i="1"/>
  <c r="E359" i="1"/>
  <c r="C360" i="1"/>
  <c r="E360" i="1"/>
  <c r="C361" i="1"/>
  <c r="E361" i="1"/>
  <c r="C362" i="1"/>
  <c r="E362" i="1"/>
  <c r="C363" i="1"/>
  <c r="E363" i="1"/>
  <c r="C364" i="1"/>
  <c r="E364" i="1"/>
  <c r="C365" i="1"/>
  <c r="E365" i="1"/>
  <c r="C366" i="1"/>
  <c r="E366" i="1"/>
  <c r="C367" i="1"/>
  <c r="E367" i="1"/>
  <c r="C368" i="1"/>
  <c r="E368" i="1"/>
  <c r="C369" i="1"/>
  <c r="E369" i="1"/>
  <c r="C370" i="1"/>
  <c r="E370" i="1"/>
  <c r="C371" i="1"/>
  <c r="E371" i="1"/>
  <c r="C372" i="1"/>
  <c r="E372" i="1"/>
  <c r="C373" i="1"/>
  <c r="E373" i="1"/>
  <c r="C374" i="1"/>
  <c r="E374" i="1"/>
  <c r="C375" i="1"/>
  <c r="E375" i="1"/>
  <c r="C376" i="1"/>
  <c r="E376" i="1"/>
  <c r="C377" i="1"/>
  <c r="E377" i="1"/>
  <c r="C378" i="1"/>
  <c r="E378" i="1"/>
  <c r="C379" i="1"/>
  <c r="E379" i="1"/>
  <c r="C380" i="1"/>
  <c r="E380" i="1"/>
  <c r="C381" i="1"/>
  <c r="E381" i="1"/>
  <c r="C382" i="1"/>
  <c r="E382" i="1"/>
  <c r="C383" i="1"/>
  <c r="E383" i="1"/>
  <c r="C384" i="1"/>
  <c r="E384" i="1"/>
  <c r="C385" i="1"/>
  <c r="E385" i="1"/>
  <c r="C386" i="1"/>
  <c r="E386" i="1"/>
  <c r="C387" i="1"/>
  <c r="E387" i="1"/>
  <c r="C388" i="1"/>
  <c r="E388" i="1"/>
  <c r="C389" i="1"/>
  <c r="E389" i="1"/>
  <c r="C390" i="1"/>
  <c r="E390" i="1"/>
  <c r="C391" i="1"/>
  <c r="E391" i="1"/>
  <c r="C392" i="1"/>
  <c r="E392" i="1"/>
  <c r="C393" i="1"/>
  <c r="E393" i="1"/>
  <c r="C394" i="1"/>
  <c r="E394" i="1"/>
  <c r="C395" i="1"/>
  <c r="E395" i="1"/>
  <c r="C396" i="1"/>
  <c r="E396" i="1"/>
  <c r="C397" i="1"/>
  <c r="E397" i="1"/>
  <c r="C398" i="1"/>
  <c r="E398" i="1"/>
  <c r="C399" i="1"/>
  <c r="E399" i="1"/>
  <c r="C400" i="1"/>
  <c r="E400" i="1"/>
  <c r="C401" i="1"/>
  <c r="E401" i="1"/>
  <c r="C402" i="1"/>
  <c r="E402" i="1"/>
  <c r="C403" i="1"/>
  <c r="E403" i="1"/>
  <c r="C404" i="1"/>
  <c r="E404" i="1"/>
  <c r="C405" i="1"/>
  <c r="E405" i="1"/>
  <c r="C406" i="1"/>
  <c r="E406" i="1"/>
  <c r="C407" i="1"/>
  <c r="E407" i="1"/>
  <c r="C408" i="1"/>
  <c r="E408" i="1"/>
  <c r="C409" i="1"/>
  <c r="E409" i="1"/>
  <c r="C410" i="1"/>
  <c r="E410" i="1"/>
  <c r="C411" i="1"/>
  <c r="E411" i="1"/>
  <c r="C412" i="1"/>
  <c r="E412" i="1"/>
  <c r="C413" i="1"/>
  <c r="E413" i="1"/>
  <c r="C414" i="1"/>
  <c r="E414" i="1"/>
  <c r="C415" i="1"/>
  <c r="E415" i="1"/>
  <c r="C416" i="1"/>
  <c r="E416" i="1"/>
  <c r="C417" i="1"/>
  <c r="E417" i="1"/>
  <c r="C418" i="1"/>
  <c r="E418" i="1"/>
  <c r="C419" i="1"/>
  <c r="E419" i="1"/>
  <c r="C420" i="1"/>
  <c r="E420" i="1"/>
  <c r="C421" i="1"/>
  <c r="E421" i="1"/>
  <c r="C422" i="1"/>
  <c r="E422" i="1"/>
  <c r="C423" i="1"/>
  <c r="E423" i="1"/>
  <c r="C424" i="1"/>
  <c r="E424" i="1"/>
  <c r="C425" i="1"/>
  <c r="E425" i="1"/>
  <c r="C426" i="1"/>
  <c r="E426" i="1"/>
  <c r="C427" i="1"/>
  <c r="E427" i="1"/>
  <c r="C428" i="1"/>
  <c r="E428" i="1"/>
  <c r="C429" i="1"/>
  <c r="E429" i="1"/>
  <c r="C430" i="1"/>
  <c r="E430" i="1"/>
  <c r="C431" i="1"/>
  <c r="E431" i="1"/>
  <c r="C432" i="1"/>
  <c r="E432" i="1"/>
  <c r="C433" i="1"/>
  <c r="E433" i="1"/>
  <c r="C434" i="1"/>
  <c r="E434" i="1"/>
  <c r="C435" i="1"/>
  <c r="E435" i="1"/>
  <c r="C436" i="1"/>
  <c r="E436" i="1"/>
  <c r="C437" i="1"/>
  <c r="E437" i="1"/>
  <c r="C438" i="1"/>
  <c r="E438" i="1"/>
  <c r="C439" i="1"/>
  <c r="E439" i="1"/>
  <c r="C440" i="1"/>
  <c r="E440" i="1"/>
  <c r="C441" i="1"/>
  <c r="E441" i="1"/>
  <c r="C442" i="1"/>
  <c r="E442" i="1"/>
  <c r="C443" i="1"/>
  <c r="E443" i="1"/>
  <c r="C444" i="1"/>
  <c r="E444" i="1"/>
  <c r="C445" i="1"/>
  <c r="E445" i="1"/>
  <c r="C446" i="1"/>
  <c r="E446" i="1"/>
  <c r="C447" i="1"/>
  <c r="E447" i="1"/>
  <c r="C448" i="1"/>
  <c r="E448" i="1"/>
  <c r="C449" i="1"/>
  <c r="E449" i="1"/>
  <c r="C450" i="1"/>
  <c r="E450" i="1"/>
  <c r="C451" i="1"/>
  <c r="E451" i="1"/>
  <c r="C452" i="1"/>
  <c r="E452" i="1"/>
  <c r="C453" i="1"/>
  <c r="E453" i="1"/>
  <c r="C454" i="1"/>
  <c r="E454" i="1"/>
  <c r="C455" i="1"/>
  <c r="E455" i="1"/>
  <c r="C456" i="1"/>
  <c r="E456" i="1"/>
  <c r="C457" i="1"/>
  <c r="E457" i="1"/>
  <c r="C458" i="1"/>
  <c r="E458" i="1"/>
  <c r="C459" i="1"/>
  <c r="E459" i="1"/>
  <c r="C460" i="1"/>
  <c r="E460" i="1"/>
  <c r="C461" i="1"/>
  <c r="E461" i="1"/>
  <c r="C462" i="1"/>
  <c r="E462" i="1"/>
  <c r="C463" i="1"/>
  <c r="E463" i="1"/>
  <c r="C464" i="1"/>
  <c r="E464" i="1"/>
  <c r="C465" i="1"/>
  <c r="E465" i="1"/>
  <c r="C466" i="1"/>
  <c r="E466" i="1"/>
  <c r="C467" i="1"/>
  <c r="E467" i="1"/>
  <c r="C468" i="1"/>
  <c r="E468" i="1"/>
  <c r="C469" i="1"/>
  <c r="E469" i="1"/>
  <c r="C470" i="1"/>
  <c r="E470" i="1"/>
  <c r="C471" i="1"/>
  <c r="E471" i="1"/>
  <c r="C472" i="1"/>
  <c r="E472" i="1"/>
  <c r="C473" i="1"/>
  <c r="E473" i="1"/>
  <c r="C474" i="1"/>
  <c r="E474" i="1"/>
  <c r="C475" i="1"/>
  <c r="E475" i="1"/>
  <c r="C476" i="1"/>
  <c r="E476" i="1"/>
  <c r="C477" i="1"/>
  <c r="E477" i="1"/>
  <c r="C478" i="1"/>
  <c r="E478" i="1"/>
  <c r="C479" i="1"/>
  <c r="E479" i="1"/>
  <c r="C480" i="1"/>
  <c r="E480" i="1"/>
  <c r="C481" i="1"/>
  <c r="E481" i="1"/>
  <c r="C482" i="1"/>
  <c r="E482" i="1"/>
  <c r="C483" i="1"/>
  <c r="E483" i="1"/>
  <c r="C484" i="1"/>
  <c r="E484" i="1"/>
  <c r="C485" i="1"/>
  <c r="E485" i="1"/>
  <c r="C486" i="1"/>
  <c r="E486" i="1"/>
  <c r="C487" i="1"/>
  <c r="E487" i="1"/>
  <c r="C488" i="1"/>
  <c r="E488" i="1"/>
  <c r="C489" i="1"/>
  <c r="E489" i="1"/>
  <c r="C490" i="1"/>
  <c r="E490" i="1"/>
  <c r="C491" i="1"/>
  <c r="E491" i="1"/>
  <c r="C492" i="1"/>
  <c r="E492" i="1"/>
  <c r="C493" i="1"/>
  <c r="E493" i="1"/>
  <c r="C494" i="1"/>
  <c r="E494" i="1"/>
  <c r="C495" i="1"/>
  <c r="E495" i="1"/>
  <c r="C496" i="1"/>
  <c r="E496" i="1"/>
  <c r="C497" i="1"/>
  <c r="E497" i="1"/>
  <c r="C498" i="1"/>
  <c r="E498" i="1"/>
  <c r="C499" i="1"/>
  <c r="E499" i="1"/>
  <c r="C500" i="1"/>
  <c r="E500" i="1"/>
  <c r="C501" i="1"/>
  <c r="E501" i="1"/>
  <c r="C502" i="1"/>
  <c r="E502" i="1"/>
  <c r="C503" i="1"/>
  <c r="E503" i="1"/>
  <c r="C504" i="1"/>
  <c r="E504" i="1"/>
  <c r="C505" i="1"/>
  <c r="E505" i="1"/>
  <c r="C506" i="1"/>
  <c r="E506" i="1"/>
  <c r="C507" i="1"/>
  <c r="E507" i="1"/>
  <c r="C508" i="1"/>
  <c r="E508" i="1"/>
  <c r="C509" i="1"/>
  <c r="E509" i="1"/>
  <c r="C510" i="1"/>
  <c r="E510" i="1"/>
  <c r="C511" i="1"/>
  <c r="E511" i="1"/>
  <c r="C512" i="1"/>
  <c r="E512" i="1"/>
  <c r="C513" i="1"/>
  <c r="E513" i="1"/>
  <c r="C514" i="1"/>
  <c r="E514" i="1"/>
  <c r="C515" i="1"/>
  <c r="E515" i="1"/>
  <c r="C516" i="1"/>
  <c r="E516" i="1"/>
  <c r="C517" i="1"/>
  <c r="E517" i="1"/>
  <c r="C518" i="1"/>
  <c r="E518" i="1"/>
  <c r="C519" i="1"/>
  <c r="E519" i="1"/>
  <c r="C520" i="1"/>
  <c r="E520" i="1"/>
  <c r="C521" i="1"/>
  <c r="E521" i="1"/>
  <c r="C522" i="1"/>
  <c r="E522" i="1"/>
  <c r="C523" i="1"/>
  <c r="E523" i="1"/>
  <c r="C524" i="1"/>
  <c r="E524" i="1"/>
  <c r="C525" i="1"/>
  <c r="E525" i="1"/>
  <c r="C526" i="1"/>
  <c r="E526" i="1"/>
  <c r="C527" i="1"/>
  <c r="E527" i="1"/>
  <c r="C528" i="1"/>
  <c r="E528" i="1"/>
  <c r="C529" i="1"/>
  <c r="E529" i="1"/>
  <c r="C530" i="1"/>
  <c r="E530" i="1"/>
  <c r="C531" i="1"/>
  <c r="E531" i="1"/>
  <c r="C532" i="1"/>
  <c r="E532" i="1"/>
  <c r="C533" i="1"/>
  <c r="E533" i="1"/>
  <c r="C534" i="1"/>
  <c r="E534" i="1"/>
  <c r="C535" i="1"/>
  <c r="E535" i="1"/>
  <c r="C536" i="1"/>
  <c r="E536" i="1"/>
  <c r="C537" i="1"/>
  <c r="E537" i="1"/>
  <c r="C538" i="1"/>
  <c r="E538" i="1"/>
  <c r="C539" i="1"/>
  <c r="E539" i="1"/>
  <c r="C540" i="1"/>
  <c r="E540" i="1"/>
  <c r="C541" i="1"/>
  <c r="E541" i="1"/>
  <c r="C542" i="1"/>
  <c r="E542" i="1"/>
  <c r="C543" i="1"/>
  <c r="E543" i="1"/>
  <c r="C544" i="1"/>
  <c r="E544" i="1"/>
  <c r="C545" i="1"/>
  <c r="E545" i="1"/>
  <c r="C546" i="1"/>
  <c r="E546" i="1"/>
  <c r="C547" i="1"/>
  <c r="E547" i="1"/>
  <c r="C548" i="1"/>
  <c r="E548" i="1"/>
  <c r="C549" i="1"/>
  <c r="E549" i="1"/>
  <c r="C550" i="1"/>
  <c r="E550" i="1"/>
  <c r="C551" i="1"/>
  <c r="E551" i="1"/>
  <c r="C552" i="1"/>
  <c r="E552" i="1"/>
  <c r="C553" i="1"/>
  <c r="E553" i="1"/>
  <c r="C554" i="1"/>
  <c r="E554" i="1"/>
  <c r="C555" i="1"/>
  <c r="E555" i="1"/>
  <c r="C556" i="1"/>
  <c r="E556" i="1"/>
  <c r="C557" i="1"/>
  <c r="E557" i="1"/>
  <c r="C558" i="1"/>
  <c r="E558" i="1"/>
  <c r="C559" i="1"/>
  <c r="E559" i="1"/>
  <c r="C560" i="1"/>
  <c r="E560" i="1"/>
  <c r="C561" i="1"/>
  <c r="E561" i="1"/>
  <c r="C562" i="1"/>
  <c r="E562" i="1"/>
  <c r="C563" i="1"/>
  <c r="E563" i="1"/>
  <c r="C564" i="1"/>
  <c r="E564" i="1"/>
  <c r="C565" i="1"/>
  <c r="E565" i="1"/>
  <c r="C566" i="1"/>
  <c r="E566" i="1"/>
  <c r="C567" i="1"/>
  <c r="E567" i="1"/>
  <c r="C568" i="1"/>
  <c r="E568" i="1"/>
  <c r="C569" i="1"/>
  <c r="E569" i="1"/>
  <c r="C570" i="1"/>
  <c r="E570" i="1"/>
  <c r="C571" i="1"/>
  <c r="E571" i="1"/>
  <c r="C572" i="1"/>
  <c r="E572" i="1"/>
  <c r="C573" i="1"/>
  <c r="E573" i="1"/>
  <c r="C574" i="1"/>
  <c r="E574" i="1"/>
  <c r="C575" i="1"/>
  <c r="E575" i="1"/>
  <c r="C576" i="1"/>
  <c r="E576" i="1"/>
  <c r="C577" i="1"/>
  <c r="E577" i="1"/>
  <c r="C578" i="1"/>
  <c r="E578" i="1"/>
  <c r="C579" i="1"/>
  <c r="E579" i="1"/>
  <c r="C580" i="1"/>
  <c r="E580" i="1"/>
  <c r="C581" i="1"/>
  <c r="E581" i="1"/>
  <c r="C582" i="1"/>
  <c r="E582" i="1"/>
  <c r="C583" i="1"/>
  <c r="E583" i="1"/>
  <c r="C584" i="1"/>
  <c r="E584" i="1"/>
  <c r="C585" i="1"/>
  <c r="E585" i="1"/>
  <c r="C586" i="1"/>
  <c r="E586" i="1"/>
  <c r="C587" i="1"/>
  <c r="E587" i="1"/>
  <c r="C588" i="1"/>
  <c r="E588" i="1"/>
  <c r="C589" i="1"/>
  <c r="E589" i="1"/>
  <c r="C590" i="1"/>
  <c r="E590" i="1"/>
  <c r="C591" i="1"/>
  <c r="E591" i="1"/>
  <c r="C592" i="1"/>
  <c r="E592" i="1"/>
  <c r="C593" i="1"/>
  <c r="E593" i="1"/>
  <c r="C594" i="1"/>
  <c r="E594" i="1"/>
  <c r="C595" i="1"/>
  <c r="E595" i="1"/>
  <c r="C596" i="1"/>
  <c r="E596" i="1"/>
  <c r="C597" i="1"/>
  <c r="E597" i="1"/>
  <c r="C598" i="1"/>
  <c r="E598" i="1"/>
  <c r="C599" i="1"/>
  <c r="E599" i="1"/>
  <c r="C600" i="1"/>
  <c r="E600" i="1"/>
  <c r="C601" i="1"/>
  <c r="E601" i="1"/>
  <c r="C602" i="1"/>
  <c r="E602" i="1"/>
  <c r="C603" i="1"/>
  <c r="E603" i="1"/>
  <c r="C604" i="1"/>
  <c r="E604" i="1"/>
  <c r="C605" i="1"/>
  <c r="E605" i="1"/>
  <c r="C606" i="1"/>
  <c r="E606" i="1"/>
  <c r="C607" i="1"/>
  <c r="E607" i="1"/>
  <c r="C608" i="1"/>
  <c r="E608" i="1"/>
  <c r="C609" i="1"/>
  <c r="E609" i="1"/>
  <c r="C610" i="1"/>
  <c r="E610" i="1"/>
  <c r="C611" i="1"/>
  <c r="E611" i="1"/>
  <c r="C612" i="1"/>
  <c r="E612" i="1"/>
  <c r="C613" i="1"/>
  <c r="E613" i="1"/>
  <c r="C614" i="1"/>
  <c r="E614" i="1"/>
  <c r="C615" i="1"/>
  <c r="E615" i="1"/>
  <c r="C616" i="1"/>
  <c r="E616" i="1"/>
  <c r="C617" i="1"/>
  <c r="E617" i="1"/>
  <c r="C618" i="1"/>
  <c r="E618" i="1"/>
  <c r="C619" i="1"/>
  <c r="E619" i="1"/>
  <c r="C620" i="1"/>
  <c r="E620" i="1"/>
  <c r="C621" i="1"/>
  <c r="E621" i="1"/>
  <c r="C622" i="1"/>
  <c r="E622" i="1"/>
  <c r="C623" i="1"/>
  <c r="E623" i="1"/>
  <c r="C624" i="1"/>
  <c r="E624" i="1"/>
  <c r="C625" i="1"/>
  <c r="E625" i="1"/>
  <c r="C626" i="1"/>
  <c r="E626" i="1"/>
  <c r="C627" i="1"/>
  <c r="E627" i="1"/>
  <c r="C628" i="1"/>
  <c r="E628" i="1"/>
  <c r="C629" i="1"/>
  <c r="E629" i="1"/>
  <c r="C630" i="1"/>
  <c r="E630" i="1"/>
  <c r="C631" i="1"/>
  <c r="E631" i="1"/>
  <c r="C632" i="1"/>
  <c r="E632" i="1"/>
  <c r="C633" i="1"/>
  <c r="E633" i="1"/>
  <c r="C634" i="1"/>
  <c r="E634" i="1"/>
  <c r="C635" i="1"/>
  <c r="E635" i="1"/>
  <c r="C636" i="1"/>
  <c r="E636" i="1"/>
  <c r="C637" i="1"/>
  <c r="E637" i="1"/>
  <c r="C638" i="1"/>
  <c r="E638" i="1"/>
  <c r="C639" i="1"/>
  <c r="E639" i="1"/>
  <c r="C640" i="1"/>
  <c r="E640" i="1"/>
  <c r="C641" i="1"/>
  <c r="E641" i="1"/>
  <c r="C642" i="1"/>
  <c r="E642" i="1"/>
  <c r="C643" i="1"/>
  <c r="E643" i="1"/>
  <c r="C644" i="1"/>
  <c r="E644" i="1"/>
  <c r="C645" i="1"/>
  <c r="E645" i="1"/>
  <c r="C646" i="1"/>
  <c r="E646" i="1"/>
  <c r="C647" i="1"/>
  <c r="E647" i="1"/>
  <c r="C648" i="1"/>
  <c r="E648" i="1"/>
  <c r="C649" i="1"/>
  <c r="E649" i="1"/>
  <c r="C650" i="1"/>
  <c r="E650" i="1"/>
  <c r="C651" i="1"/>
  <c r="E651" i="1"/>
  <c r="C652" i="1"/>
  <c r="E652" i="1"/>
  <c r="C653" i="1"/>
  <c r="E653" i="1"/>
  <c r="C654" i="1"/>
  <c r="E654" i="1"/>
  <c r="C655" i="1"/>
  <c r="E655" i="1"/>
  <c r="C656" i="1"/>
  <c r="E656" i="1"/>
  <c r="C657" i="1"/>
  <c r="E657" i="1"/>
  <c r="C658" i="1"/>
  <c r="E658" i="1"/>
  <c r="C659" i="1"/>
  <c r="E659" i="1"/>
  <c r="C660" i="1"/>
  <c r="E660" i="1"/>
  <c r="C661" i="1"/>
  <c r="E661" i="1"/>
  <c r="C662" i="1"/>
  <c r="E662" i="1"/>
  <c r="C663" i="1"/>
  <c r="E663" i="1"/>
  <c r="C664" i="1"/>
  <c r="E664" i="1"/>
  <c r="C665" i="1"/>
  <c r="E665" i="1"/>
  <c r="C666" i="1"/>
  <c r="E666" i="1"/>
  <c r="C667" i="1"/>
  <c r="E667" i="1"/>
  <c r="C668" i="1"/>
  <c r="E668" i="1"/>
  <c r="C669" i="1"/>
  <c r="E669" i="1"/>
  <c r="C670" i="1"/>
  <c r="E670" i="1"/>
  <c r="C671" i="1"/>
  <c r="E671" i="1"/>
  <c r="C672" i="1"/>
  <c r="E672" i="1"/>
  <c r="C673" i="1"/>
  <c r="E673" i="1"/>
  <c r="C674" i="1"/>
  <c r="E674" i="1"/>
  <c r="C675" i="1"/>
  <c r="E675" i="1"/>
  <c r="C676" i="1"/>
  <c r="E676" i="1"/>
  <c r="C677" i="1"/>
  <c r="E677" i="1"/>
  <c r="C678" i="1"/>
  <c r="E678" i="1"/>
  <c r="C679" i="1"/>
  <c r="E679" i="1"/>
  <c r="C680" i="1"/>
  <c r="E680" i="1"/>
  <c r="C681" i="1"/>
  <c r="E681" i="1"/>
  <c r="C682" i="1"/>
  <c r="E682" i="1"/>
  <c r="C683" i="1"/>
  <c r="E683" i="1"/>
  <c r="C684" i="1"/>
  <c r="E684" i="1"/>
  <c r="C685" i="1"/>
  <c r="E685" i="1"/>
  <c r="C686" i="1"/>
  <c r="E686" i="1"/>
  <c r="C687" i="1"/>
  <c r="E687" i="1"/>
  <c r="C688" i="1"/>
  <c r="E688" i="1"/>
  <c r="C689" i="1"/>
  <c r="E689" i="1"/>
  <c r="C690" i="1"/>
  <c r="E690" i="1"/>
  <c r="C691" i="1"/>
  <c r="E691" i="1"/>
  <c r="C692" i="1"/>
  <c r="E692" i="1"/>
  <c r="C693" i="1"/>
  <c r="E693" i="1"/>
  <c r="C694" i="1"/>
  <c r="E694" i="1"/>
  <c r="C695" i="1"/>
  <c r="E695" i="1"/>
  <c r="C696" i="1"/>
  <c r="E696" i="1"/>
  <c r="C697" i="1"/>
  <c r="E697" i="1"/>
  <c r="C698" i="1"/>
  <c r="E698" i="1"/>
  <c r="C699" i="1"/>
  <c r="E699" i="1"/>
  <c r="C700" i="1"/>
  <c r="E700" i="1"/>
  <c r="C701" i="1"/>
  <c r="E701" i="1"/>
  <c r="C702" i="1"/>
  <c r="E702" i="1"/>
  <c r="C703" i="1"/>
  <c r="E703" i="1"/>
  <c r="C704" i="1"/>
  <c r="E704" i="1"/>
  <c r="C705" i="1"/>
  <c r="E705" i="1"/>
  <c r="C706" i="1"/>
  <c r="E706" i="1"/>
  <c r="C707" i="1"/>
  <c r="E707" i="1"/>
  <c r="C708" i="1"/>
  <c r="E708" i="1"/>
  <c r="C709" i="1"/>
  <c r="E709" i="1"/>
  <c r="C710" i="1"/>
  <c r="E710" i="1"/>
  <c r="C711" i="1"/>
  <c r="E711" i="1"/>
  <c r="C712" i="1"/>
  <c r="E712" i="1"/>
  <c r="C713" i="1"/>
  <c r="E713" i="1"/>
  <c r="C714" i="1"/>
  <c r="E714" i="1"/>
  <c r="C715" i="1"/>
  <c r="E715" i="1"/>
  <c r="C716" i="1"/>
  <c r="E716" i="1"/>
  <c r="C717" i="1"/>
  <c r="E717" i="1"/>
  <c r="C718" i="1"/>
  <c r="E718" i="1"/>
  <c r="C719" i="1"/>
  <c r="E719" i="1"/>
  <c r="C720" i="1"/>
  <c r="E720" i="1"/>
  <c r="C721" i="1"/>
  <c r="E721" i="1"/>
  <c r="C722" i="1"/>
  <c r="E722" i="1"/>
  <c r="C723" i="1"/>
  <c r="E723" i="1"/>
  <c r="C724" i="1"/>
  <c r="E724" i="1"/>
  <c r="C725" i="1"/>
  <c r="E725" i="1"/>
  <c r="C726" i="1"/>
  <c r="E726" i="1"/>
  <c r="C727" i="1"/>
  <c r="E727" i="1"/>
  <c r="C728" i="1"/>
  <c r="E728" i="1"/>
  <c r="C729" i="1"/>
  <c r="E729" i="1"/>
  <c r="C730" i="1"/>
  <c r="E730" i="1"/>
  <c r="C731" i="1"/>
  <c r="E731" i="1"/>
  <c r="C732" i="1"/>
  <c r="E732" i="1"/>
  <c r="C733" i="1"/>
  <c r="E733" i="1"/>
  <c r="C734" i="1"/>
  <c r="E734" i="1"/>
  <c r="C735" i="1"/>
  <c r="E735" i="1"/>
  <c r="C736" i="1"/>
  <c r="E736" i="1"/>
  <c r="C737" i="1"/>
  <c r="E737" i="1"/>
  <c r="C738" i="1"/>
  <c r="E738" i="1"/>
  <c r="C739" i="1"/>
  <c r="E739" i="1"/>
  <c r="C740" i="1"/>
  <c r="E740" i="1"/>
  <c r="C741" i="1"/>
  <c r="E741" i="1"/>
  <c r="C742" i="1"/>
  <c r="E742" i="1"/>
  <c r="C743" i="1"/>
  <c r="E743" i="1"/>
  <c r="C744" i="1"/>
  <c r="E744" i="1"/>
  <c r="C745" i="1"/>
  <c r="E745" i="1"/>
  <c r="C746" i="1"/>
  <c r="E746" i="1"/>
  <c r="C747" i="1"/>
  <c r="E747" i="1"/>
  <c r="C748" i="1"/>
  <c r="E748" i="1"/>
  <c r="C749" i="1"/>
  <c r="E749" i="1"/>
  <c r="C750" i="1"/>
  <c r="E750" i="1"/>
  <c r="C751" i="1"/>
  <c r="E751" i="1"/>
  <c r="C752" i="1"/>
  <c r="E752" i="1"/>
  <c r="C753" i="1"/>
  <c r="E753" i="1"/>
  <c r="C754" i="1"/>
  <c r="E754" i="1"/>
  <c r="C755" i="1"/>
  <c r="E755" i="1"/>
  <c r="C756" i="1"/>
  <c r="E756" i="1"/>
  <c r="C757" i="1"/>
  <c r="E757" i="1"/>
  <c r="C758" i="1"/>
  <c r="E758" i="1"/>
  <c r="C759" i="1"/>
  <c r="E759" i="1"/>
  <c r="C760" i="1"/>
  <c r="E760" i="1"/>
  <c r="C761" i="1"/>
  <c r="E761" i="1"/>
  <c r="C762" i="1"/>
  <c r="E762" i="1"/>
  <c r="C763" i="1"/>
  <c r="E763" i="1"/>
  <c r="C764" i="1"/>
  <c r="E764" i="1"/>
  <c r="C765" i="1"/>
  <c r="E765" i="1"/>
  <c r="C766" i="1"/>
  <c r="E766" i="1"/>
  <c r="C767" i="1"/>
  <c r="E767" i="1"/>
  <c r="C768" i="1"/>
  <c r="E768" i="1"/>
  <c r="C769" i="1"/>
  <c r="E769" i="1"/>
  <c r="C770" i="1"/>
  <c r="E770" i="1"/>
  <c r="C771" i="1"/>
  <c r="E771" i="1"/>
  <c r="C772" i="1"/>
  <c r="E772" i="1"/>
  <c r="C773" i="1"/>
  <c r="E773" i="1"/>
  <c r="C774" i="1"/>
  <c r="E774" i="1"/>
  <c r="C775" i="1"/>
  <c r="E775" i="1"/>
  <c r="C776" i="1"/>
  <c r="E776" i="1"/>
  <c r="C777" i="1"/>
  <c r="E777" i="1"/>
  <c r="C778" i="1"/>
  <c r="E778" i="1"/>
  <c r="C779" i="1"/>
  <c r="E779" i="1"/>
  <c r="C780" i="1"/>
  <c r="E780" i="1"/>
  <c r="C781" i="1"/>
  <c r="E781" i="1"/>
  <c r="C782" i="1"/>
  <c r="E782" i="1"/>
  <c r="C783" i="1"/>
  <c r="E783" i="1"/>
  <c r="C784" i="1"/>
  <c r="E784" i="1"/>
  <c r="C785" i="1"/>
  <c r="E785" i="1"/>
  <c r="C786" i="1"/>
  <c r="E786" i="1"/>
  <c r="C787" i="1"/>
  <c r="E787" i="1"/>
  <c r="C788" i="1"/>
  <c r="E788" i="1"/>
  <c r="C789" i="1"/>
  <c r="E789" i="1"/>
  <c r="C790" i="1"/>
  <c r="E790" i="1"/>
  <c r="C791" i="1"/>
  <c r="E791" i="1"/>
  <c r="C792" i="1"/>
  <c r="E792" i="1"/>
  <c r="C793" i="1"/>
  <c r="E793" i="1"/>
  <c r="C794" i="1"/>
  <c r="E794" i="1"/>
  <c r="C795" i="1"/>
  <c r="E795" i="1"/>
  <c r="C796" i="1"/>
  <c r="E796" i="1"/>
  <c r="C797" i="1"/>
  <c r="E797" i="1"/>
  <c r="C798" i="1"/>
  <c r="E798" i="1"/>
  <c r="C799" i="1"/>
  <c r="E799" i="1"/>
  <c r="C800" i="1"/>
  <c r="E800" i="1"/>
  <c r="C801" i="1"/>
  <c r="E801" i="1"/>
  <c r="C802" i="1"/>
  <c r="E802" i="1"/>
  <c r="C803" i="1"/>
  <c r="E803" i="1"/>
  <c r="C804" i="1"/>
  <c r="E804" i="1"/>
  <c r="C805" i="1"/>
  <c r="E805" i="1"/>
  <c r="C806" i="1"/>
  <c r="E806" i="1"/>
  <c r="C807" i="1"/>
  <c r="E807" i="1"/>
  <c r="C808" i="1"/>
  <c r="E808" i="1"/>
  <c r="C809" i="1"/>
  <c r="E809" i="1"/>
  <c r="C810" i="1"/>
  <c r="E810" i="1"/>
  <c r="C811" i="1"/>
  <c r="E811" i="1"/>
  <c r="C812" i="1"/>
  <c r="E812" i="1"/>
  <c r="C813" i="1"/>
  <c r="E813" i="1"/>
  <c r="C814" i="1"/>
  <c r="E814" i="1"/>
  <c r="C815" i="1"/>
  <c r="E815" i="1"/>
  <c r="C816" i="1"/>
  <c r="E816" i="1"/>
  <c r="C817" i="1"/>
  <c r="E817" i="1"/>
  <c r="C818" i="1"/>
  <c r="E818" i="1"/>
  <c r="C819" i="1"/>
  <c r="E819" i="1"/>
  <c r="C820" i="1"/>
  <c r="E820" i="1"/>
  <c r="C821" i="1"/>
  <c r="E821" i="1"/>
  <c r="C822" i="1"/>
  <c r="E822" i="1"/>
  <c r="C823" i="1"/>
  <c r="E823" i="1"/>
  <c r="C824" i="1"/>
  <c r="E824" i="1"/>
  <c r="C825" i="1"/>
  <c r="E825" i="1"/>
  <c r="C826" i="1"/>
  <c r="E826" i="1"/>
  <c r="C827" i="1"/>
  <c r="E827" i="1"/>
  <c r="C828" i="1"/>
  <c r="E828" i="1"/>
  <c r="C829" i="1"/>
  <c r="E829" i="1"/>
  <c r="C830" i="1"/>
  <c r="E830" i="1"/>
  <c r="C831" i="1"/>
  <c r="E831" i="1"/>
  <c r="C832" i="1"/>
  <c r="E832" i="1"/>
  <c r="C833" i="1"/>
  <c r="E833" i="1"/>
  <c r="C834" i="1"/>
  <c r="E834" i="1"/>
  <c r="C835" i="1"/>
  <c r="E835" i="1"/>
  <c r="C836" i="1"/>
  <c r="E836" i="1"/>
  <c r="C837" i="1"/>
  <c r="E837" i="1"/>
  <c r="C838" i="1"/>
  <c r="E838" i="1"/>
  <c r="C839" i="1"/>
  <c r="E839" i="1"/>
  <c r="C840" i="1"/>
  <c r="E840" i="1"/>
  <c r="C841" i="1"/>
  <c r="E841" i="1"/>
  <c r="C842" i="1"/>
  <c r="E842" i="1"/>
  <c r="C843" i="1"/>
  <c r="E843" i="1"/>
  <c r="C844" i="1"/>
  <c r="E844" i="1"/>
  <c r="C845" i="1"/>
  <c r="E845" i="1"/>
  <c r="C846" i="1"/>
  <c r="E846" i="1"/>
  <c r="C847" i="1"/>
  <c r="E847" i="1"/>
  <c r="C848" i="1"/>
  <c r="E848" i="1"/>
  <c r="C849" i="1"/>
  <c r="E849" i="1"/>
  <c r="C850" i="1"/>
  <c r="E850" i="1"/>
  <c r="C851" i="1"/>
  <c r="E851" i="1"/>
  <c r="C852" i="1"/>
  <c r="E852" i="1"/>
  <c r="C853" i="1"/>
  <c r="E853" i="1"/>
  <c r="C854" i="1"/>
  <c r="E854" i="1"/>
  <c r="C855" i="1"/>
  <c r="E855" i="1"/>
  <c r="C856" i="1"/>
  <c r="E856" i="1"/>
  <c r="C857" i="1"/>
  <c r="E857" i="1"/>
  <c r="C858" i="1"/>
  <c r="E858" i="1"/>
  <c r="C859" i="1"/>
  <c r="E859" i="1"/>
  <c r="C860" i="1"/>
  <c r="E860" i="1"/>
  <c r="C861" i="1"/>
  <c r="E861" i="1"/>
  <c r="C862" i="1"/>
  <c r="E862" i="1"/>
  <c r="C863" i="1"/>
  <c r="E863" i="1"/>
  <c r="C864" i="1"/>
  <c r="E864" i="1"/>
  <c r="C865" i="1"/>
  <c r="E865" i="1"/>
  <c r="C866" i="1"/>
  <c r="E866" i="1"/>
  <c r="C867" i="1"/>
  <c r="E867" i="1"/>
  <c r="C868" i="1"/>
  <c r="E868" i="1"/>
  <c r="C869" i="1"/>
  <c r="E869" i="1"/>
  <c r="C870" i="1"/>
  <c r="E870" i="1"/>
  <c r="C871" i="1"/>
  <c r="E871" i="1"/>
  <c r="C872" i="1"/>
  <c r="E872" i="1"/>
  <c r="C873" i="1"/>
  <c r="E873" i="1"/>
  <c r="C874" i="1"/>
  <c r="E874" i="1"/>
  <c r="C875" i="1"/>
  <c r="E875" i="1"/>
  <c r="C876" i="1"/>
  <c r="E876" i="1"/>
  <c r="C877" i="1"/>
  <c r="E877" i="1"/>
  <c r="C878" i="1"/>
  <c r="E878" i="1"/>
  <c r="C879" i="1"/>
  <c r="E879" i="1"/>
  <c r="C880" i="1"/>
  <c r="E880" i="1"/>
  <c r="C881" i="1"/>
  <c r="E881" i="1"/>
  <c r="C882" i="1"/>
  <c r="E882" i="1"/>
  <c r="C883" i="1"/>
  <c r="E883" i="1"/>
  <c r="C884" i="1"/>
  <c r="E884" i="1"/>
  <c r="C885" i="1"/>
  <c r="E885" i="1"/>
  <c r="C886" i="1"/>
  <c r="E886" i="1"/>
  <c r="C887" i="1"/>
  <c r="E887" i="1"/>
  <c r="C888" i="1"/>
  <c r="E888" i="1"/>
  <c r="C889" i="1"/>
  <c r="E889" i="1"/>
  <c r="C890" i="1"/>
  <c r="E890" i="1"/>
  <c r="C891" i="1"/>
  <c r="E891" i="1"/>
  <c r="C892" i="1"/>
  <c r="E892" i="1"/>
  <c r="C893" i="1"/>
  <c r="E893" i="1"/>
  <c r="C894" i="1"/>
  <c r="E894" i="1"/>
  <c r="C895" i="1"/>
  <c r="E895" i="1"/>
  <c r="C896" i="1"/>
  <c r="E896" i="1"/>
  <c r="C897" i="1"/>
  <c r="E897" i="1"/>
  <c r="C898" i="1"/>
  <c r="E898" i="1"/>
  <c r="C899" i="1"/>
  <c r="E899" i="1"/>
  <c r="C900" i="1"/>
  <c r="E900" i="1"/>
  <c r="C901" i="1"/>
  <c r="E901" i="1"/>
  <c r="C902" i="1"/>
  <c r="E902" i="1"/>
  <c r="C903" i="1"/>
  <c r="E903" i="1"/>
  <c r="C904" i="1"/>
  <c r="E904" i="1"/>
  <c r="C905" i="1"/>
  <c r="E905" i="1"/>
  <c r="C906" i="1"/>
  <c r="E906" i="1"/>
  <c r="C907" i="1"/>
  <c r="E907" i="1"/>
  <c r="C908" i="1"/>
  <c r="E908" i="1"/>
  <c r="C909" i="1"/>
  <c r="E909" i="1"/>
  <c r="C910" i="1"/>
  <c r="E910" i="1"/>
  <c r="C911" i="1"/>
  <c r="E911" i="1"/>
  <c r="C912" i="1"/>
  <c r="E912" i="1"/>
  <c r="C913" i="1"/>
  <c r="E913" i="1"/>
  <c r="C914" i="1"/>
  <c r="E914" i="1"/>
  <c r="C915" i="1"/>
  <c r="E915" i="1"/>
  <c r="C916" i="1"/>
  <c r="E916" i="1"/>
  <c r="C917" i="1"/>
  <c r="E917" i="1"/>
  <c r="C918" i="1"/>
  <c r="E918" i="1"/>
  <c r="C919" i="1"/>
  <c r="E919" i="1"/>
  <c r="C920" i="1"/>
  <c r="E920" i="1"/>
  <c r="C921" i="1"/>
  <c r="E921" i="1"/>
  <c r="C922" i="1"/>
  <c r="E922" i="1"/>
  <c r="C923" i="1"/>
  <c r="E923" i="1"/>
  <c r="C924" i="1"/>
  <c r="E924" i="1"/>
  <c r="C925" i="1"/>
  <c r="E925" i="1"/>
  <c r="C926" i="1"/>
  <c r="E926" i="1"/>
  <c r="C927" i="1"/>
  <c r="E927" i="1"/>
  <c r="C928" i="1"/>
  <c r="E928" i="1"/>
  <c r="C929" i="1"/>
  <c r="E929" i="1"/>
  <c r="C930" i="1"/>
  <c r="E930" i="1"/>
  <c r="C931" i="1"/>
  <c r="E931" i="1"/>
  <c r="C932" i="1"/>
  <c r="E932" i="1"/>
  <c r="C933" i="1"/>
  <c r="E933" i="1"/>
  <c r="C934" i="1"/>
  <c r="E934" i="1"/>
  <c r="C935" i="1"/>
  <c r="E935" i="1"/>
  <c r="C936" i="1"/>
  <c r="E936" i="1"/>
  <c r="C937" i="1"/>
  <c r="E937" i="1"/>
  <c r="C938" i="1"/>
  <c r="E938" i="1"/>
  <c r="C939" i="1"/>
  <c r="E939" i="1"/>
  <c r="C940" i="1"/>
  <c r="E940" i="1"/>
  <c r="C941" i="1"/>
  <c r="E941" i="1"/>
  <c r="C942" i="1"/>
  <c r="E942" i="1"/>
  <c r="C943" i="1"/>
  <c r="E943" i="1"/>
  <c r="C944" i="1"/>
  <c r="E944" i="1"/>
  <c r="C945" i="1"/>
  <c r="E945" i="1"/>
  <c r="C946" i="1"/>
  <c r="E946" i="1"/>
  <c r="C947" i="1"/>
  <c r="E947" i="1"/>
  <c r="C948" i="1"/>
  <c r="E948" i="1"/>
  <c r="C949" i="1"/>
  <c r="E949" i="1"/>
  <c r="C950" i="1"/>
  <c r="E950" i="1"/>
  <c r="C951" i="1"/>
  <c r="E951" i="1"/>
  <c r="C952" i="1"/>
  <c r="E952" i="1"/>
  <c r="C953" i="1"/>
  <c r="E953" i="1"/>
  <c r="C954" i="1"/>
  <c r="E954" i="1"/>
  <c r="C955" i="1"/>
  <c r="E955" i="1"/>
  <c r="C956" i="1"/>
  <c r="E956" i="1"/>
  <c r="C957" i="1"/>
  <c r="E957" i="1"/>
  <c r="C958" i="1"/>
  <c r="E958" i="1"/>
  <c r="C959" i="1"/>
  <c r="E959" i="1"/>
  <c r="C960" i="1"/>
  <c r="E960" i="1"/>
  <c r="C961" i="1"/>
  <c r="E961" i="1"/>
  <c r="C962" i="1"/>
  <c r="E962" i="1"/>
  <c r="C963" i="1"/>
  <c r="E963" i="1"/>
  <c r="C964" i="1"/>
  <c r="E964" i="1"/>
  <c r="C965" i="1"/>
  <c r="E965" i="1"/>
  <c r="C966" i="1"/>
  <c r="E966" i="1"/>
  <c r="C967" i="1"/>
  <c r="E967" i="1"/>
  <c r="C968" i="1"/>
  <c r="E968" i="1"/>
  <c r="C969" i="1"/>
  <c r="E969" i="1"/>
  <c r="C970" i="1"/>
  <c r="E970" i="1"/>
  <c r="C971" i="1"/>
  <c r="E971" i="1"/>
  <c r="C972" i="1"/>
  <c r="E972" i="1"/>
  <c r="C973" i="1"/>
  <c r="E973" i="1"/>
  <c r="C974" i="1"/>
  <c r="E974" i="1"/>
  <c r="C975" i="1"/>
  <c r="E975" i="1"/>
  <c r="C976" i="1"/>
  <c r="E976" i="1"/>
  <c r="C977" i="1"/>
  <c r="E977" i="1"/>
  <c r="C978" i="1"/>
  <c r="E978" i="1"/>
  <c r="C979" i="1"/>
  <c r="E979" i="1"/>
  <c r="C980" i="1"/>
  <c r="E980" i="1"/>
  <c r="C981" i="1"/>
  <c r="E981" i="1"/>
  <c r="C982" i="1"/>
  <c r="E982" i="1"/>
  <c r="C983" i="1"/>
  <c r="E983" i="1"/>
  <c r="C984" i="1"/>
  <c r="E984" i="1"/>
  <c r="C985" i="1"/>
  <c r="E985" i="1"/>
  <c r="C986" i="1"/>
  <c r="E986" i="1"/>
  <c r="C987" i="1"/>
  <c r="E987" i="1"/>
  <c r="C988" i="1"/>
  <c r="E988" i="1"/>
  <c r="C989" i="1"/>
  <c r="E989" i="1"/>
  <c r="C990" i="1"/>
  <c r="E990" i="1"/>
  <c r="C991" i="1"/>
  <c r="E991" i="1"/>
  <c r="C992" i="1"/>
  <c r="E992" i="1"/>
  <c r="C993" i="1"/>
  <c r="E993" i="1"/>
  <c r="C994" i="1"/>
  <c r="E994" i="1"/>
  <c r="C995" i="1"/>
  <c r="E995" i="1"/>
  <c r="C996" i="1"/>
  <c r="E996" i="1"/>
  <c r="C997" i="1"/>
  <c r="E997" i="1"/>
  <c r="C998" i="1"/>
  <c r="E998" i="1"/>
  <c r="C999" i="1"/>
  <c r="E999" i="1"/>
  <c r="C1000" i="1"/>
  <c r="E1000" i="1"/>
  <c r="C1001" i="1"/>
  <c r="E1001" i="1"/>
  <c r="C1002" i="1"/>
  <c r="E1002" i="1"/>
  <c r="C1003" i="1"/>
  <c r="E1003" i="1"/>
  <c r="C1004" i="1"/>
  <c r="E1004" i="1"/>
  <c r="C1005" i="1"/>
  <c r="E1005" i="1"/>
  <c r="C1006" i="1"/>
  <c r="E1006" i="1"/>
  <c r="C1007" i="1"/>
  <c r="E1007" i="1"/>
  <c r="C1008" i="1"/>
  <c r="E1008" i="1"/>
  <c r="C1009" i="1"/>
  <c r="E1009" i="1"/>
  <c r="C1010" i="1"/>
  <c r="E1010" i="1"/>
  <c r="C1011" i="1"/>
  <c r="E1011" i="1"/>
  <c r="C1012" i="1"/>
  <c r="E1012" i="1"/>
  <c r="C1013" i="1"/>
  <c r="E1013" i="1"/>
  <c r="C1014" i="1"/>
  <c r="E1014" i="1"/>
  <c r="C1015" i="1"/>
  <c r="E1015" i="1"/>
  <c r="C1016" i="1"/>
  <c r="E1016" i="1"/>
  <c r="C1017" i="1"/>
  <c r="E1017" i="1"/>
  <c r="C1018" i="1"/>
  <c r="E1018" i="1"/>
  <c r="C1019" i="1"/>
  <c r="E1019" i="1"/>
  <c r="C1020" i="1"/>
  <c r="E1020" i="1"/>
  <c r="C1021" i="1"/>
  <c r="E1021" i="1"/>
  <c r="C1022" i="1"/>
  <c r="E1022" i="1"/>
  <c r="C1023" i="1"/>
  <c r="E1023" i="1"/>
  <c r="C1024" i="1"/>
  <c r="E1024" i="1"/>
  <c r="C1025" i="1"/>
  <c r="E1025" i="1"/>
  <c r="C1026" i="1"/>
  <c r="E1026" i="1"/>
  <c r="C1027" i="1"/>
  <c r="E1027" i="1"/>
  <c r="C1028" i="1"/>
  <c r="E1028" i="1"/>
  <c r="C1029" i="1"/>
  <c r="E1029" i="1"/>
  <c r="C1030" i="1"/>
  <c r="E1030" i="1"/>
  <c r="C1031" i="1"/>
  <c r="E1031" i="1"/>
  <c r="C1032" i="1"/>
  <c r="E1032" i="1"/>
  <c r="C1033" i="1"/>
  <c r="E1033" i="1"/>
  <c r="C1034" i="1"/>
  <c r="E1034" i="1"/>
  <c r="C1035" i="1"/>
  <c r="E1035" i="1"/>
  <c r="C1036" i="1"/>
  <c r="E1036" i="1"/>
  <c r="C1037" i="1"/>
  <c r="E1037" i="1"/>
  <c r="C1038" i="1"/>
  <c r="E1038" i="1"/>
  <c r="C1039" i="1"/>
  <c r="E1039" i="1"/>
  <c r="C1040" i="1"/>
  <c r="E1040" i="1"/>
  <c r="C1041" i="1"/>
  <c r="E1041" i="1"/>
  <c r="C1042" i="1"/>
  <c r="E1042" i="1"/>
  <c r="C1043" i="1"/>
  <c r="E1043" i="1"/>
  <c r="C1044" i="1"/>
  <c r="E1044" i="1"/>
  <c r="C1045" i="1"/>
  <c r="E1045" i="1"/>
  <c r="C1046" i="1"/>
  <c r="E1046" i="1"/>
  <c r="C1047" i="1"/>
  <c r="E1047" i="1"/>
  <c r="C1048" i="1"/>
  <c r="E1048" i="1"/>
  <c r="C1049" i="1"/>
  <c r="E1049" i="1"/>
  <c r="C1050" i="1"/>
  <c r="E1050" i="1"/>
  <c r="C1051" i="1"/>
  <c r="E1051" i="1"/>
  <c r="C1052" i="1"/>
  <c r="E1052" i="1"/>
  <c r="C1053" i="1"/>
  <c r="E1053" i="1"/>
  <c r="C1054" i="1"/>
  <c r="E1054" i="1"/>
  <c r="C1055" i="1"/>
  <c r="E1055" i="1"/>
  <c r="C1056" i="1"/>
  <c r="E1056" i="1"/>
  <c r="C1057" i="1"/>
  <c r="E1057" i="1"/>
  <c r="C1058" i="1"/>
  <c r="E1058" i="1"/>
  <c r="C1059" i="1"/>
  <c r="E1059" i="1"/>
  <c r="C1060" i="1"/>
  <c r="E1060" i="1"/>
  <c r="C1061" i="1"/>
  <c r="E1061" i="1"/>
  <c r="C1062" i="1"/>
  <c r="E1062" i="1"/>
  <c r="C1063" i="1"/>
  <c r="E1063" i="1"/>
  <c r="C1064" i="1"/>
  <c r="E1064" i="1"/>
  <c r="C1065" i="1"/>
  <c r="E1065" i="1"/>
  <c r="C1066" i="1"/>
  <c r="E1066" i="1"/>
  <c r="C1067" i="1"/>
  <c r="E1067" i="1"/>
  <c r="C1068" i="1"/>
  <c r="E1068" i="1"/>
  <c r="C1069" i="1"/>
  <c r="E1069" i="1"/>
  <c r="C1070" i="1"/>
  <c r="E1070" i="1"/>
  <c r="C1071" i="1"/>
  <c r="E1071" i="1"/>
  <c r="C1072" i="1"/>
  <c r="E1072" i="1"/>
  <c r="C1073" i="1"/>
  <c r="E1073" i="1"/>
  <c r="C1074" i="1"/>
  <c r="E1074" i="1"/>
  <c r="C1075" i="1"/>
  <c r="E1075" i="1"/>
  <c r="C1076" i="1"/>
  <c r="E1076" i="1"/>
  <c r="C1077" i="1"/>
  <c r="E1077" i="1"/>
  <c r="C1078" i="1"/>
  <c r="E1078" i="1"/>
  <c r="C1079" i="1"/>
  <c r="E1079" i="1"/>
  <c r="C1080" i="1"/>
  <c r="E1080" i="1"/>
  <c r="C1081" i="1"/>
  <c r="E1081" i="1"/>
  <c r="C1082" i="1"/>
  <c r="E1082" i="1"/>
  <c r="C1083" i="1"/>
  <c r="E1083" i="1"/>
  <c r="C1084" i="1"/>
  <c r="E1084" i="1"/>
  <c r="C1085" i="1"/>
  <c r="E1085" i="1"/>
  <c r="C1086" i="1"/>
  <c r="E1086" i="1"/>
  <c r="C1087" i="1"/>
  <c r="E1087" i="1"/>
  <c r="C1088" i="1"/>
  <c r="E1088" i="1"/>
  <c r="C1089" i="1"/>
  <c r="E1089" i="1"/>
  <c r="C1090" i="1"/>
  <c r="E1090" i="1"/>
  <c r="C1091" i="1"/>
  <c r="E1091" i="1"/>
  <c r="C1092" i="1"/>
  <c r="E1092" i="1"/>
  <c r="C1093" i="1"/>
  <c r="E1093" i="1"/>
  <c r="C1094" i="1"/>
  <c r="E1094" i="1"/>
  <c r="C1095" i="1"/>
  <c r="E1095" i="1"/>
  <c r="C1096" i="1"/>
  <c r="E1096" i="1"/>
  <c r="C1097" i="1"/>
  <c r="E1097" i="1"/>
  <c r="C1098" i="1"/>
  <c r="E1098" i="1"/>
  <c r="C1099" i="1"/>
  <c r="E1099" i="1"/>
  <c r="C1100" i="1"/>
  <c r="E1100" i="1"/>
  <c r="C1101" i="1"/>
  <c r="E1101" i="1"/>
  <c r="C1102" i="1"/>
  <c r="E1102" i="1"/>
  <c r="C1103" i="1"/>
  <c r="E1103" i="1"/>
  <c r="C1104" i="1"/>
  <c r="E1104" i="1"/>
  <c r="C1105" i="1"/>
  <c r="E1105" i="1"/>
  <c r="C1106" i="1"/>
  <c r="E1106" i="1"/>
  <c r="C1107" i="1"/>
  <c r="E1107" i="1"/>
  <c r="C1108" i="1"/>
  <c r="E1108" i="1"/>
  <c r="C1109" i="1"/>
  <c r="E1109" i="1"/>
  <c r="C1110" i="1"/>
  <c r="E1110" i="1"/>
  <c r="C1111" i="1"/>
  <c r="E1111" i="1"/>
  <c r="C1112" i="1"/>
  <c r="E1112" i="1"/>
  <c r="C1113" i="1"/>
  <c r="E1113" i="1"/>
  <c r="C1114" i="1"/>
  <c r="E1114" i="1"/>
  <c r="C1115" i="1"/>
  <c r="E1115" i="1"/>
  <c r="C1116" i="1"/>
  <c r="E1116" i="1"/>
  <c r="C1117" i="1"/>
  <c r="E1117" i="1"/>
  <c r="C1118" i="1"/>
  <c r="E1118" i="1"/>
  <c r="C1119" i="1"/>
  <c r="E1119" i="1"/>
  <c r="C1120" i="1"/>
  <c r="E1120" i="1"/>
  <c r="C1121" i="1"/>
  <c r="E1121" i="1"/>
  <c r="C1122" i="1"/>
  <c r="E1122" i="1"/>
  <c r="C1123" i="1"/>
  <c r="E1123" i="1"/>
  <c r="C1124" i="1"/>
  <c r="E1124" i="1"/>
  <c r="C1125" i="1"/>
  <c r="E1125" i="1"/>
  <c r="C1126" i="1"/>
  <c r="E1126" i="1"/>
  <c r="C1127" i="1"/>
  <c r="E1127" i="1"/>
  <c r="C1128" i="1"/>
  <c r="E1128" i="1"/>
  <c r="C1129" i="1"/>
  <c r="E1129" i="1"/>
  <c r="C1130" i="1"/>
  <c r="E1130" i="1"/>
  <c r="C1131" i="1"/>
  <c r="E1131" i="1"/>
  <c r="C1132" i="1"/>
  <c r="E1132" i="1"/>
  <c r="C1133" i="1"/>
  <c r="E1133" i="1"/>
  <c r="C1134" i="1"/>
  <c r="E1134" i="1"/>
  <c r="C1135" i="1"/>
  <c r="E1135" i="1"/>
  <c r="C1136" i="1"/>
  <c r="E1136" i="1"/>
  <c r="C1137" i="1"/>
  <c r="E1137" i="1"/>
  <c r="C1138" i="1"/>
  <c r="E1138" i="1"/>
  <c r="C1139" i="1"/>
  <c r="E1139" i="1"/>
  <c r="C1140" i="1"/>
  <c r="E1140" i="1"/>
  <c r="C1141" i="1"/>
  <c r="E1141" i="1"/>
  <c r="C1142" i="1"/>
  <c r="E1142" i="1"/>
  <c r="C1143" i="1"/>
  <c r="E1143" i="1"/>
  <c r="C1144" i="1"/>
  <c r="E1144" i="1"/>
  <c r="C1145" i="1"/>
  <c r="E1145" i="1"/>
  <c r="C1146" i="1"/>
  <c r="E1146" i="1"/>
  <c r="C1147" i="1"/>
  <c r="E1147" i="1"/>
  <c r="C1148" i="1"/>
  <c r="E1148" i="1"/>
  <c r="C1149" i="1"/>
  <c r="E1149" i="1"/>
  <c r="C1150" i="1"/>
  <c r="E1150" i="1"/>
  <c r="C1151" i="1"/>
  <c r="E1151" i="1"/>
  <c r="C1152" i="1"/>
  <c r="E1152" i="1"/>
  <c r="C1153" i="1"/>
  <c r="E1153" i="1"/>
  <c r="C1154" i="1"/>
  <c r="E1154" i="1"/>
  <c r="C1155" i="1"/>
  <c r="E1155" i="1"/>
  <c r="C1156" i="1"/>
  <c r="E1156" i="1"/>
  <c r="C1157" i="1"/>
  <c r="E1157" i="1"/>
  <c r="C1158" i="1"/>
  <c r="E1158" i="1"/>
  <c r="C1159" i="1"/>
  <c r="E1159" i="1"/>
  <c r="C1160" i="1"/>
  <c r="E1160" i="1"/>
  <c r="C1161" i="1"/>
  <c r="E1161" i="1"/>
  <c r="C1162" i="1"/>
  <c r="E1162" i="1"/>
  <c r="C1163" i="1"/>
  <c r="E1163" i="1"/>
  <c r="C1164" i="1"/>
  <c r="E1164" i="1"/>
  <c r="C1165" i="1"/>
  <c r="E1165" i="1"/>
  <c r="C1166" i="1"/>
  <c r="E1166" i="1"/>
  <c r="C1167" i="1"/>
  <c r="E1167" i="1"/>
  <c r="C1168" i="1"/>
  <c r="E1168" i="1"/>
  <c r="C1169" i="1"/>
  <c r="E1169" i="1"/>
  <c r="C1170" i="1"/>
  <c r="E1170" i="1"/>
  <c r="C1171" i="1"/>
  <c r="E1171" i="1"/>
  <c r="C1172" i="1"/>
  <c r="E1172" i="1"/>
  <c r="C1173" i="1"/>
  <c r="E1173" i="1"/>
  <c r="C1174" i="1"/>
  <c r="E1174" i="1"/>
  <c r="C1175" i="1"/>
  <c r="E1175" i="1"/>
  <c r="C1176" i="1"/>
  <c r="E1176" i="1"/>
  <c r="C1177" i="1"/>
  <c r="E1177" i="1"/>
  <c r="C1178" i="1"/>
  <c r="E1178" i="1"/>
  <c r="C1179" i="1"/>
  <c r="E1179" i="1"/>
  <c r="C1180" i="1"/>
  <c r="E1180" i="1"/>
  <c r="C1181" i="1"/>
  <c r="E1181" i="1"/>
  <c r="C1182" i="1"/>
  <c r="E1182" i="1"/>
  <c r="C1183" i="1"/>
  <c r="E1183" i="1"/>
  <c r="C1184" i="1"/>
  <c r="E1184" i="1"/>
  <c r="C1185" i="1"/>
  <c r="E1185" i="1"/>
  <c r="C1186" i="1"/>
  <c r="E1186" i="1"/>
  <c r="C1187" i="1"/>
  <c r="E1187" i="1"/>
  <c r="C1188" i="1"/>
  <c r="E1188" i="1"/>
  <c r="C1189" i="1"/>
  <c r="E1189" i="1"/>
  <c r="C1190" i="1"/>
  <c r="E1190" i="1"/>
  <c r="C1191" i="1"/>
  <c r="E1191" i="1"/>
  <c r="C1192" i="1"/>
  <c r="E1192" i="1"/>
  <c r="C1193" i="1"/>
  <c r="E1193" i="1"/>
  <c r="C1194" i="1"/>
  <c r="E1194" i="1"/>
  <c r="C1195" i="1"/>
  <c r="E1195" i="1"/>
  <c r="C1196" i="1"/>
  <c r="E1196" i="1"/>
  <c r="C1197" i="1"/>
  <c r="E1197" i="1"/>
  <c r="C1198" i="1"/>
  <c r="E1198" i="1"/>
  <c r="C1199" i="1"/>
  <c r="E1199" i="1"/>
  <c r="C1200" i="1"/>
  <c r="E1200" i="1"/>
  <c r="C1201" i="1"/>
  <c r="E1201" i="1"/>
  <c r="C1202" i="1"/>
  <c r="E1202" i="1"/>
  <c r="C1203" i="1"/>
  <c r="E1203" i="1"/>
  <c r="C1204" i="1"/>
  <c r="E1204" i="1"/>
  <c r="C1205" i="1"/>
  <c r="E1205" i="1"/>
  <c r="C1206" i="1"/>
  <c r="E1206" i="1"/>
  <c r="C1207" i="1"/>
  <c r="E1207" i="1"/>
  <c r="C1208" i="1"/>
  <c r="E1208" i="1"/>
  <c r="C1209" i="1"/>
  <c r="E1209" i="1"/>
  <c r="C1210" i="1"/>
  <c r="E1210" i="1"/>
  <c r="C1211" i="1"/>
  <c r="E1211" i="1"/>
  <c r="C1212" i="1"/>
  <c r="E1212" i="1"/>
  <c r="C1213" i="1"/>
  <c r="E1213" i="1"/>
  <c r="C1214" i="1"/>
  <c r="E1214" i="1"/>
  <c r="C1215" i="1"/>
  <c r="E1215" i="1"/>
  <c r="C1216" i="1"/>
  <c r="E1216" i="1"/>
  <c r="C1217" i="1"/>
  <c r="E1217" i="1"/>
  <c r="C1218" i="1"/>
  <c r="E1218" i="1"/>
  <c r="C1219" i="1"/>
  <c r="E1219" i="1"/>
  <c r="C1220" i="1"/>
  <c r="E1220" i="1"/>
  <c r="C1221" i="1"/>
  <c r="E1221" i="1"/>
  <c r="C1222" i="1"/>
  <c r="E1222" i="1"/>
  <c r="C1223" i="1"/>
  <c r="E1223" i="1"/>
  <c r="C1224" i="1"/>
  <c r="E1224" i="1"/>
  <c r="C1225" i="1"/>
  <c r="E1225" i="1"/>
</calcChain>
</file>

<file path=xl/sharedStrings.xml><?xml version="1.0" encoding="utf-8"?>
<sst xmlns="http://purl.oclc.org/ooxml/spreadsheetml/main" count="47751" uniqueCount="1377">
  <si>
    <t>Next Generation Accountability, 2018-19</t>
  </si>
  <si>
    <t>FallOfYear</t>
  </si>
  <si>
    <t>RptngDistrictName</t>
  </si>
  <si>
    <t>ReportingDistrictCode</t>
  </si>
  <si>
    <t>SchoolName</t>
  </si>
  <si>
    <t>SchoolCode</t>
  </si>
  <si>
    <t>SchoolOrgType</t>
  </si>
  <si>
    <t>SchoolLowGrade</t>
  </si>
  <si>
    <t>SchoolHighGrade</t>
  </si>
  <si>
    <t>SchoolTitleIType</t>
  </si>
  <si>
    <t>Category</t>
  </si>
  <si>
    <t>TotalPoints</t>
  </si>
  <si>
    <t>TotalPossiblePoints</t>
  </si>
  <si>
    <t>OutcomeRatePct</t>
  </si>
  <si>
    <t>FinalCategory</t>
  </si>
  <si>
    <t>AchievementGapFlag</t>
  </si>
  <si>
    <t>Ind1ELA_All_Rate</t>
  </si>
  <si>
    <t>Ind1ELA_All_Points</t>
  </si>
  <si>
    <t>Ind1ELA_All_PossiblePoints</t>
  </si>
  <si>
    <t>Ind1ELA_HN_Rate</t>
  </si>
  <si>
    <t>Ind1ELA_NHN_Rate</t>
  </si>
  <si>
    <t>Ind1ELA_HN_Points</t>
  </si>
  <si>
    <t>Ind1ELA_HN_PossiblePoints</t>
  </si>
  <si>
    <t>Ind1Math_All_Rate</t>
  </si>
  <si>
    <t>Ind1Math_All_Points</t>
  </si>
  <si>
    <t>Ind1Math_All_PossiblePoints</t>
  </si>
  <si>
    <t>Ind1Math_NHN_Rate</t>
  </si>
  <si>
    <t>Ind1Math_HN_Rate</t>
  </si>
  <si>
    <t>Ind1Math_HN_Points</t>
  </si>
  <si>
    <t>Ind1Math_HN_PossiblePoints</t>
  </si>
  <si>
    <t>Ind1Sci_All_Rate</t>
  </si>
  <si>
    <t>Ind1Sci_All_Points</t>
  </si>
  <si>
    <t>Ind1Sci_All_PossiblePoints</t>
  </si>
  <si>
    <t>Ind1Sci_HN_Rate</t>
  </si>
  <si>
    <t>Ind1Sci_NHN_Rate</t>
  </si>
  <si>
    <t>Ind1Sci_HN_Points</t>
  </si>
  <si>
    <t>Ind1Sci_HN_PossiblePoints</t>
  </si>
  <si>
    <t>Ind1ELAGap</t>
  </si>
  <si>
    <t>Ind1MathGap</t>
  </si>
  <si>
    <t>Ind1SciGap</t>
  </si>
  <si>
    <t>Ind2ELA_All_Rate</t>
  </si>
  <si>
    <t>Ind2ELA_All_Points</t>
  </si>
  <si>
    <t>Ind2ELA_All_Possiblepoints</t>
  </si>
  <si>
    <t>Ind2Math_All_Rate</t>
  </si>
  <si>
    <t>Ind2Math_All_Points</t>
  </si>
  <si>
    <t>Ind2Math_All_Possiblepoints</t>
  </si>
  <si>
    <t>Ind2ELA_HN_Rate</t>
  </si>
  <si>
    <t>Ind2ELA_NHN_Rate</t>
  </si>
  <si>
    <t>Ind2ELA_HN_Points</t>
  </si>
  <si>
    <t>Ind2ELA_HN_Possiblepoints</t>
  </si>
  <si>
    <t>Ind2Math_HN_Rate</t>
  </si>
  <si>
    <t>Ind2Math_NHN_Rate</t>
  </si>
  <si>
    <t>Ind2Math_HN_Points</t>
  </si>
  <si>
    <t>Ind2Math_HN_Possiblepoints</t>
  </si>
  <si>
    <t>Ind2LEP_LTCY_Rate</t>
  </si>
  <si>
    <t>Ind2LEP_LTCY_Points</t>
  </si>
  <si>
    <t>Ind2LEP_LTCY_PossiblePoints</t>
  </si>
  <si>
    <t>Ind2LEP_ORAL_Rate</t>
  </si>
  <si>
    <t>Ind2LEP_ORAL_Points</t>
  </si>
  <si>
    <t>Ind2LEP_ORAL_PossiblePoints</t>
  </si>
  <si>
    <t>Ind3PartRateFlag</t>
  </si>
  <si>
    <t>Ind3ELA_All_Rate</t>
  </si>
  <si>
    <t>Ind3ELA_HN_Rate</t>
  </si>
  <si>
    <t>Ind3ELA_NHN_Rate</t>
  </si>
  <si>
    <t>Ind3Math_All_Rate</t>
  </si>
  <si>
    <t>Ind3Math_HN_Rate</t>
  </si>
  <si>
    <t>Ind3Math_NHN_Rate</t>
  </si>
  <si>
    <t>Ind3Sci_All_Rate</t>
  </si>
  <si>
    <t>Ind3Sci_HN_Rate</t>
  </si>
  <si>
    <t>Ind3Sci_NHN_Rate</t>
  </si>
  <si>
    <t>Ind4Rate</t>
  </si>
  <si>
    <t>Ind4Points</t>
  </si>
  <si>
    <t>Ind4PossiblePoints</t>
  </si>
  <si>
    <t>Ind4HNRate</t>
  </si>
  <si>
    <t>Ind4HNPoints</t>
  </si>
  <si>
    <t>Ind4HNPossiblePoints</t>
  </si>
  <si>
    <t>Ind5Rate</t>
  </si>
  <si>
    <t>Ind5Points</t>
  </si>
  <si>
    <t>Ind5PossiblePoints</t>
  </si>
  <si>
    <t>Ind6Rate</t>
  </si>
  <si>
    <t>Ind6Points</t>
  </si>
  <si>
    <t>Ind6PossiblePoints</t>
  </si>
  <si>
    <t>Ind7Rate</t>
  </si>
  <si>
    <t>Ind7points</t>
  </si>
  <si>
    <t>Ind7PointsPossible</t>
  </si>
  <si>
    <t>Ind8Rate</t>
  </si>
  <si>
    <t>Ind8Points</t>
  </si>
  <si>
    <t>Ind8PointsPossible</t>
  </si>
  <si>
    <t>GradGapFlag</t>
  </si>
  <si>
    <t>Ind9Rate</t>
  </si>
  <si>
    <t>Ind9Points</t>
  </si>
  <si>
    <t>Ind9PointsPossible</t>
  </si>
  <si>
    <t>Ind10Rate</t>
  </si>
  <si>
    <t>Ind10Points</t>
  </si>
  <si>
    <t>Ind10PossiblePoints</t>
  </si>
  <si>
    <t>Ind11FitnessRate</t>
  </si>
  <si>
    <t>Ind11ParticipationRate</t>
  </si>
  <si>
    <t>Ind11Points</t>
  </si>
  <si>
    <t>Ind11PossiblePoints</t>
  </si>
  <si>
    <t>Ind12Rate</t>
  </si>
  <si>
    <t>Ind12Points</t>
  </si>
  <si>
    <t>Ind12PossiblePoints</t>
  </si>
  <si>
    <t>Grad6YrRateHN</t>
  </si>
  <si>
    <t>Grad6YrRateNHN</t>
  </si>
  <si>
    <t>Grad6YrHNNHNDiff</t>
  </si>
  <si>
    <t>Hurdle_Mean_ELA</t>
  </si>
  <si>
    <t>Hurdle_Mean_Math</t>
  </si>
  <si>
    <t>Hurdle_Mean_Sci</t>
  </si>
  <si>
    <t>Hurdle_Means_Grad</t>
  </si>
  <si>
    <t>CategoryDropFlag</t>
  </si>
  <si>
    <t>Support</t>
  </si>
  <si>
    <t>SupportCategory</t>
  </si>
  <si>
    <t>Distinction</t>
  </si>
  <si>
    <t>DistinctionCategory</t>
  </si>
  <si>
    <t>Perform</t>
  </si>
  <si>
    <t>ELA_ALL_YN</t>
  </si>
  <si>
    <t>Math_ALL_YN</t>
  </si>
  <si>
    <t>ELA_HN_YN</t>
  </si>
  <si>
    <t>Math_HN_YN</t>
  </si>
  <si>
    <t>Improve</t>
  </si>
  <si>
    <t>SupportType</t>
  </si>
  <si>
    <t>schoolyear</t>
  </si>
  <si>
    <t>Bridgeport School District</t>
  </si>
  <si>
    <t>District</t>
  </si>
  <si>
    <t>DistrictTot</t>
  </si>
  <si>
    <t>.</t>
  </si>
  <si>
    <t>2018-19</t>
  </si>
  <si>
    <t>Brookfield School District</t>
  </si>
  <si>
    <t>Eastford School District</t>
  </si>
  <si>
    <t>East Haddam School District</t>
  </si>
  <si>
    <t>Ellington School District</t>
  </si>
  <si>
    <t>Canaan School District</t>
  </si>
  <si>
    <t>Canterbury School District</t>
  </si>
  <si>
    <t>Canton School District</t>
  </si>
  <si>
    <t>North Stonington School District</t>
  </si>
  <si>
    <t>Newington School District</t>
  </si>
  <si>
    <t>East Granby School District</t>
  </si>
  <si>
    <t>New Fairfield School District</t>
  </si>
  <si>
    <t>Milford School District</t>
  </si>
  <si>
    <t>Windsor School District</t>
  </si>
  <si>
    <t>Brooklyn School District</t>
  </si>
  <si>
    <t>Bolton School District</t>
  </si>
  <si>
    <t>Montville School District</t>
  </si>
  <si>
    <t>Waterbury School District</t>
  </si>
  <si>
    <t>Deep River School District</t>
  </si>
  <si>
    <t>Derby School District</t>
  </si>
  <si>
    <t>West Haven School District</t>
  </si>
  <si>
    <t>Easton School District</t>
  </si>
  <si>
    <t>East Windsor School District</t>
  </si>
  <si>
    <t>North Canaan School District</t>
  </si>
  <si>
    <t>North Haven School District</t>
  </si>
  <si>
    <t>Enfield School District</t>
  </si>
  <si>
    <t>Franklin School District</t>
  </si>
  <si>
    <t>Glastonbury School District</t>
  </si>
  <si>
    <t>Orange School District</t>
  </si>
  <si>
    <t>Oxford School District</t>
  </si>
  <si>
    <t>Regional School District 09</t>
  </si>
  <si>
    <t>Regional School District 10</t>
  </si>
  <si>
    <t>Bozrah School District</t>
  </si>
  <si>
    <t>Branford School District</t>
  </si>
  <si>
    <t>Norwalk School District</t>
  </si>
  <si>
    <t>Middletown School District</t>
  </si>
  <si>
    <t>East Hampton School District</t>
  </si>
  <si>
    <t>Norwich Free Academy District</t>
  </si>
  <si>
    <t>The Gilbert School District</t>
  </si>
  <si>
    <t>The Woodstock Academy District</t>
  </si>
  <si>
    <t>New Britain School District</t>
  </si>
  <si>
    <t>Naugatuck School District</t>
  </si>
  <si>
    <t>Bethel School District</t>
  </si>
  <si>
    <t>Mansfield School District</t>
  </si>
  <si>
    <t>Monroe School District</t>
  </si>
  <si>
    <t>Darien School District</t>
  </si>
  <si>
    <t>East Lyme School District</t>
  </si>
  <si>
    <t>Norfolk School District</t>
  </si>
  <si>
    <t>North Branford School District</t>
  </si>
  <si>
    <t>Winchester School District</t>
  </si>
  <si>
    <t>Windham School District</t>
  </si>
  <si>
    <t>Old Saybrook School District</t>
  </si>
  <si>
    <t>Regional School District 07</t>
  </si>
  <si>
    <t>Regional School District 08</t>
  </si>
  <si>
    <t>Weston School District</t>
  </si>
  <si>
    <t>Bloomfield School District</t>
  </si>
  <si>
    <t>Groton School District</t>
  </si>
  <si>
    <t>Marlborough School District</t>
  </si>
  <si>
    <t>Meriden School District</t>
  </si>
  <si>
    <t>Barkhamsted School District</t>
  </si>
  <si>
    <t>Berlin School District</t>
  </si>
  <si>
    <t>Torrington School District</t>
  </si>
  <si>
    <t>Colebrook School District</t>
  </si>
  <si>
    <t>Columbia School District</t>
  </si>
  <si>
    <t>Voluntown School District</t>
  </si>
  <si>
    <t>Wallingford School District</t>
  </si>
  <si>
    <t>Wilton School District</t>
  </si>
  <si>
    <t>Farmington School District</t>
  </si>
  <si>
    <t>Windsor Locks School District</t>
  </si>
  <si>
    <t>Regional School District 06</t>
  </si>
  <si>
    <t>Granby School District</t>
  </si>
  <si>
    <t>Greenwich School District</t>
  </si>
  <si>
    <t>Bethany School District</t>
  </si>
  <si>
    <t>Griswold School District</t>
  </si>
  <si>
    <t>Trumbull School District</t>
  </si>
  <si>
    <t>Cornwall School District</t>
  </si>
  <si>
    <t>Suffield School District</t>
  </si>
  <si>
    <t>Cheshire School District</t>
  </si>
  <si>
    <t>New Canaan School District</t>
  </si>
  <si>
    <t>Cromwell School District</t>
  </si>
  <si>
    <t>New Haven School District</t>
  </si>
  <si>
    <t>Watertown School District</t>
  </si>
  <si>
    <t>New Milford School District</t>
  </si>
  <si>
    <t>Wethersfield School District</t>
  </si>
  <si>
    <t>Fairfield School District</t>
  </si>
  <si>
    <t>Westbrook School District</t>
  </si>
  <si>
    <t>West Hartford School District</t>
  </si>
  <si>
    <t>Woodbridge School District</t>
  </si>
  <si>
    <t>Woodstock School District</t>
  </si>
  <si>
    <t>Thomaston School District</t>
  </si>
  <si>
    <t>Thompson School District</t>
  </si>
  <si>
    <t>Tolland School District</t>
  </si>
  <si>
    <t>East Haven School District</t>
  </si>
  <si>
    <t>Chester School District</t>
  </si>
  <si>
    <t>Clinton School District</t>
  </si>
  <si>
    <t>Colchester School District</t>
  </si>
  <si>
    <t>Union School District</t>
  </si>
  <si>
    <t>Danbury School District</t>
  </si>
  <si>
    <t>Vernon School District</t>
  </si>
  <si>
    <t>Newtown School District</t>
  </si>
  <si>
    <t>Bristol School District</t>
  </si>
  <si>
    <t>Stratford School District</t>
  </si>
  <si>
    <t>Chaplin School District</t>
  </si>
  <si>
    <t>Coventry School District</t>
  </si>
  <si>
    <t>New Hartford School District</t>
  </si>
  <si>
    <t>Waterford School District</t>
  </si>
  <si>
    <t>Andover School District</t>
  </si>
  <si>
    <t>Ansonia School District</t>
  </si>
  <si>
    <t>Ashford School District</t>
  </si>
  <si>
    <t>Avon School District</t>
  </si>
  <si>
    <t>East Hartford School District</t>
  </si>
  <si>
    <t>New London School District</t>
  </si>
  <si>
    <t>Westport School District</t>
  </si>
  <si>
    <t>Willington School District</t>
  </si>
  <si>
    <t>Essex School District</t>
  </si>
  <si>
    <t>Norwich School District</t>
  </si>
  <si>
    <t>Wolcott School District</t>
  </si>
  <si>
    <t>Regional School District 01</t>
  </si>
  <si>
    <t>Regional School District 04</t>
  </si>
  <si>
    <t>Regional School District 05</t>
  </si>
  <si>
    <t>Redding School District</t>
  </si>
  <si>
    <t>Ridgefield School District</t>
  </si>
  <si>
    <t>Regional School District 19</t>
  </si>
  <si>
    <t>Capitol Region Education Council</t>
  </si>
  <si>
    <t>Rocky Hill School District</t>
  </si>
  <si>
    <t>Killingly School District</t>
  </si>
  <si>
    <t>Lebanon School District</t>
  </si>
  <si>
    <t>Ledyard School District</t>
  </si>
  <si>
    <t>Lisbon School District</t>
  </si>
  <si>
    <t>Litchfield School District</t>
  </si>
  <si>
    <t>Madison School District</t>
  </si>
  <si>
    <t>Manchester School District</t>
  </si>
  <si>
    <t>South Windsor School District</t>
  </si>
  <si>
    <t>Sprague School District</t>
  </si>
  <si>
    <t>Stafford School District</t>
  </si>
  <si>
    <t>EdAdvance</t>
  </si>
  <si>
    <t>Cooperative Educational Services</t>
  </si>
  <si>
    <t>Area Cooperative Educational Services</t>
  </si>
  <si>
    <t>Learn</t>
  </si>
  <si>
    <t>Eastern Connecticut Regional Educational Service Center (EASTCONN)</t>
  </si>
  <si>
    <t>Jumoke Academy District</t>
  </si>
  <si>
    <t>Odyssey Community School District</t>
  </si>
  <si>
    <t>Integrated Day Charter School District</t>
  </si>
  <si>
    <t>Interdistrict School for Arts and Comm District</t>
  </si>
  <si>
    <t>Common Ground High School District</t>
  </si>
  <si>
    <t>The Bridge Academy District</t>
  </si>
  <si>
    <t>Side By Side Charter School District</t>
  </si>
  <si>
    <t>Explorations District</t>
  </si>
  <si>
    <t>Hartland School District</t>
  </si>
  <si>
    <t>Salem School District</t>
  </si>
  <si>
    <t>Salisbury School District</t>
  </si>
  <si>
    <t>Scotland School District</t>
  </si>
  <si>
    <t>Seymour School District</t>
  </si>
  <si>
    <t>Sharon School District</t>
  </si>
  <si>
    <t>Shelton School District</t>
  </si>
  <si>
    <t>Sherman School District</t>
  </si>
  <si>
    <t>Simsbury School District</t>
  </si>
  <si>
    <t>Somers School District</t>
  </si>
  <si>
    <t>Southington School District</t>
  </si>
  <si>
    <t>Hamden School District</t>
  </si>
  <si>
    <t>Hampton School District</t>
  </si>
  <si>
    <t>Hartford School District</t>
  </si>
  <si>
    <t>Stamford School District</t>
  </si>
  <si>
    <t>Regional School District 11</t>
  </si>
  <si>
    <t>Regional School District 12</t>
  </si>
  <si>
    <t>Regional School District 13</t>
  </si>
  <si>
    <t>Regional School District 14</t>
  </si>
  <si>
    <t>Regional School District 15</t>
  </si>
  <si>
    <t>Regional School District 16</t>
  </si>
  <si>
    <t>Regional School District 17</t>
  </si>
  <si>
    <t>Regional School District 18</t>
  </si>
  <si>
    <t>Guilford School District</t>
  </si>
  <si>
    <t>Plainfield School District</t>
  </si>
  <si>
    <t>Plainville School District</t>
  </si>
  <si>
    <t>Plymouth School District</t>
  </si>
  <si>
    <t>Pomfret School District</t>
  </si>
  <si>
    <t>Portland School District</t>
  </si>
  <si>
    <t>Preston School District</t>
  </si>
  <si>
    <t>Putnam School District</t>
  </si>
  <si>
    <t>Unified School District #2</t>
  </si>
  <si>
    <t>Connecticut Technical Education and Career System</t>
  </si>
  <si>
    <t>Hebron School District</t>
  </si>
  <si>
    <t>Kent School District</t>
  </si>
  <si>
    <t>Sterling School District</t>
  </si>
  <si>
    <t>Stonington School District</t>
  </si>
  <si>
    <t>Trailblazers Academy District</t>
  </si>
  <si>
    <t>Amistad Academy District</t>
  </si>
  <si>
    <t>New Beginnings Inc Family Academy District</t>
  </si>
  <si>
    <t>Stamford Academy District</t>
  </si>
  <si>
    <t>Park City Prep Charter School District</t>
  </si>
  <si>
    <t>Achievement First Bridgeport Academy District</t>
  </si>
  <si>
    <t>Highville Charter School District</t>
  </si>
  <si>
    <t>Achievement First Hartford Academy District</t>
  </si>
  <si>
    <t>Elm City College Preparatory School District</t>
  </si>
  <si>
    <t>Brass City Charter School District</t>
  </si>
  <si>
    <t>Elm City Montessori School District</t>
  </si>
  <si>
    <t>Great Oaks Charter School District</t>
  </si>
  <si>
    <t>Booker T. Washington Academy District</t>
  </si>
  <si>
    <t>Stamford Charter School for Excellence District</t>
  </si>
  <si>
    <t>Capital Preparatory Harbor School District</t>
  </si>
  <si>
    <t>Unified School District #1</t>
  </si>
  <si>
    <t>Andover Elementary School</t>
  </si>
  <si>
    <t>Public Schools</t>
  </si>
  <si>
    <t>PK</t>
  </si>
  <si>
    <t>Targeted Assistance</t>
  </si>
  <si>
    <t>SchoolTot</t>
  </si>
  <si>
    <t>School of Distinction</t>
  </si>
  <si>
    <t>High Performance</t>
  </si>
  <si>
    <t>Ansonia High School</t>
  </si>
  <si>
    <t>Ansonia Middle School</t>
  </si>
  <si>
    <t>Schoolwide</t>
  </si>
  <si>
    <t>Mead School</t>
  </si>
  <si>
    <t>Prendergast School</t>
  </si>
  <si>
    <t>K</t>
  </si>
  <si>
    <t>Ashford School</t>
  </si>
  <si>
    <t>Avon High School</t>
  </si>
  <si>
    <t>Avon Middle School</t>
  </si>
  <si>
    <t>Pine Grove School</t>
  </si>
  <si>
    <t>Roaring Brook School</t>
  </si>
  <si>
    <t>Thompson Brook School</t>
  </si>
  <si>
    <t>Barkhamsted Elementary School</t>
  </si>
  <si>
    <t>Berlin High School</t>
  </si>
  <si>
    <t>Catherine M. McGee Middle School</t>
  </si>
  <si>
    <t>Emma Hart Willard School</t>
  </si>
  <si>
    <t>Mary E. Griswold School</t>
  </si>
  <si>
    <t>Richard D. Hubbard School</t>
  </si>
  <si>
    <t>Bethany Community School</t>
  </si>
  <si>
    <t>Anna H. Rockwell School</t>
  </si>
  <si>
    <t>Bethel High School</t>
  </si>
  <si>
    <t>Bethel Middle School</t>
  </si>
  <si>
    <t>Frank A. Berry School</t>
  </si>
  <si>
    <t>Ralph M. T. Johnson School</t>
  </si>
  <si>
    <t>Bloomfield High School</t>
  </si>
  <si>
    <t>Carmen Arace Intermediate School</t>
  </si>
  <si>
    <t>Carmen Arace Middle School</t>
  </si>
  <si>
    <t>Global Experience Magnet School</t>
  </si>
  <si>
    <t>Laurel School</t>
  </si>
  <si>
    <t>Learning Academy at Bloomfield</t>
  </si>
  <si>
    <t>Metacomet School</t>
  </si>
  <si>
    <t>Bolton Center School</t>
  </si>
  <si>
    <t>Bolton High School</t>
  </si>
  <si>
    <t>High Performance and Great Improvement</t>
  </si>
  <si>
    <t>Fields Memorial School</t>
  </si>
  <si>
    <t>Branford High School</t>
  </si>
  <si>
    <t>Francis Walsh Intermediate School</t>
  </si>
  <si>
    <t>John B. Sliney School</t>
  </si>
  <si>
    <t>Mary R. Tisko School</t>
  </si>
  <si>
    <t>Mary T. Murphy School</t>
  </si>
  <si>
    <t>Aerospace/Hydrospace, Engineering and Physical Sciences Magnet High School</t>
  </si>
  <si>
    <t>Barnum School</t>
  </si>
  <si>
    <t>Turnaround</t>
  </si>
  <si>
    <t>Accountability Index</t>
  </si>
  <si>
    <t>Bassick High School</t>
  </si>
  <si>
    <t>Accountability Index and Graduation Rate</t>
  </si>
  <si>
    <t>Beardsley School</t>
  </si>
  <si>
    <t>Biotechnology, Research &amp; Zoological Studies Magnet High School</t>
  </si>
  <si>
    <t>Black Rock School</t>
  </si>
  <si>
    <t>Blackham School</t>
  </si>
  <si>
    <t>Bridgeport Military Academy</t>
  </si>
  <si>
    <t>Focus</t>
  </si>
  <si>
    <t>High Needs ELA Performance Index and High Needs Math Performance Index</t>
  </si>
  <si>
    <t>Bryant School</t>
  </si>
  <si>
    <t>Central High School</t>
  </si>
  <si>
    <t>Cesar Batalla School</t>
  </si>
  <si>
    <t>Classical Studies Academy</t>
  </si>
  <si>
    <t>Columbus School</t>
  </si>
  <si>
    <t>Edison School</t>
  </si>
  <si>
    <t>Geraldine Claytor Magnet Academy</t>
  </si>
  <si>
    <t>Geraldine Johnson School</t>
  </si>
  <si>
    <t>Hall School</t>
  </si>
  <si>
    <t>Hallen School</t>
  </si>
  <si>
    <t>High Horizons Magnet School</t>
  </si>
  <si>
    <t>Information Technology &amp; Software Engineering Magnet High School</t>
  </si>
  <si>
    <t>Interdistrict Discovery Magnet School</t>
  </si>
  <si>
    <t>James J. Curiale School</t>
  </si>
  <si>
    <t>Jettie S. Tisdale School</t>
  </si>
  <si>
    <t>John Winthrop School</t>
  </si>
  <si>
    <t>Luis Munoz Marin School</t>
  </si>
  <si>
    <t>Madison School</t>
  </si>
  <si>
    <t>Multicultural Magnet School</t>
  </si>
  <si>
    <t>Park City Magnet School</t>
  </si>
  <si>
    <t>Paul Laurence Dunbar School</t>
  </si>
  <si>
    <t>Read School</t>
  </si>
  <si>
    <t>Roosevelt School</t>
  </si>
  <si>
    <t>Thomas Hooker School</t>
  </si>
  <si>
    <t>Waltersville School</t>
  </si>
  <si>
    <t>Warren Harding High School</t>
  </si>
  <si>
    <t>Wilbur Cross School</t>
  </si>
  <si>
    <t>Bristol Central High School</t>
  </si>
  <si>
    <t>Bristol Eastern High School</t>
  </si>
  <si>
    <t>Chippens Hill Middle School</t>
  </si>
  <si>
    <t>Edgewood School</t>
  </si>
  <si>
    <t>High Needs Math Growth</t>
  </si>
  <si>
    <t>Ellen P. Hubbell School</t>
  </si>
  <si>
    <t>Greene-Hills School</t>
  </si>
  <si>
    <t>Ivy Drive School</t>
  </si>
  <si>
    <t>Mountain View School</t>
  </si>
  <si>
    <t>Northeast Middle School</t>
  </si>
  <si>
    <t>South Side School</t>
  </si>
  <si>
    <t>Stafford School</t>
  </si>
  <si>
    <t>West Bristol School</t>
  </si>
  <si>
    <t>Brookfield High School</t>
  </si>
  <si>
    <t>Center Elementary School</t>
  </si>
  <si>
    <t>Huckleberry Hill Elementary School</t>
  </si>
  <si>
    <t>Whisconier Middle School</t>
  </si>
  <si>
    <t>Brooklyn Elementary School</t>
  </si>
  <si>
    <t>High Growth (High Needs Students) - Math</t>
  </si>
  <si>
    <t>Brooklyn Middle School</t>
  </si>
  <si>
    <t>Lee H. Kellogg School</t>
  </si>
  <si>
    <t>Canterbury Elementary School</t>
  </si>
  <si>
    <t>Dr. Helen Baldwin Middle School</t>
  </si>
  <si>
    <t>Canton High School</t>
  </si>
  <si>
    <t>Canton Intermediate School</t>
  </si>
  <si>
    <t>Canton Middle School</t>
  </si>
  <si>
    <t>Cherry Brook Primary School</t>
  </si>
  <si>
    <t>Chaplin Elementary School</t>
  </si>
  <si>
    <t>Chapman School</t>
  </si>
  <si>
    <t>Cheshire High School</t>
  </si>
  <si>
    <t>Darcey School</t>
  </si>
  <si>
    <t>Dodd Middle School</t>
  </si>
  <si>
    <t>Doolittle School</t>
  </si>
  <si>
    <t>Highland School</t>
  </si>
  <si>
    <t>Norton School</t>
  </si>
  <si>
    <t>High Performance and High Growth (All Students) - ELA &amp; Math and High Growth (High Needs Students) - ELA</t>
  </si>
  <si>
    <t>Chester Elementary School</t>
  </si>
  <si>
    <t>High Performance and High Growth (All Students) - ELA and High Growth (High Needs Students) - ELA</t>
  </si>
  <si>
    <t>Abraham Pierson School</t>
  </si>
  <si>
    <t>High Growth (All Students) - Math and High Growth (High Needs Students) - Math</t>
  </si>
  <si>
    <t>Jared Eliot School</t>
  </si>
  <si>
    <t>Lewin G. Joel Jr. School</t>
  </si>
  <si>
    <t>The Morgan School</t>
  </si>
  <si>
    <t>Bacon Academy</t>
  </si>
  <si>
    <t>Colchester Elementary School</t>
  </si>
  <si>
    <t>Jack Jackter Intermediate School</t>
  </si>
  <si>
    <t>William J. Johnston Middle School</t>
  </si>
  <si>
    <t>Colebrook Consolidated School</t>
  </si>
  <si>
    <t>Horace W. Porter School</t>
  </si>
  <si>
    <t>Cornwall Consolidated School</t>
  </si>
  <si>
    <t>Capt. Nathan Hale School</t>
  </si>
  <si>
    <t>Coventry Academy</t>
  </si>
  <si>
    <t>Coventry Grammar School</t>
  </si>
  <si>
    <t>Coventry High School</t>
  </si>
  <si>
    <t>George Hersey Robertson School</t>
  </si>
  <si>
    <t>High Performance and High Growth (All Students) - ELA &amp; Math and High Growth (High Needs Students) - Math</t>
  </si>
  <si>
    <t>Cromwell High School</t>
  </si>
  <si>
    <t>Cromwell Middle School</t>
  </si>
  <si>
    <t>Edna C. Stevens School</t>
  </si>
  <si>
    <t>Woodside Intermediate School</t>
  </si>
  <si>
    <t>Broadview Middle School</t>
  </si>
  <si>
    <t>Danbury High School</t>
  </si>
  <si>
    <t>Ellsworth Avenue School</t>
  </si>
  <si>
    <t>High Growth (All Students) - Math and High Growth (High Needs Students) - ELA &amp; Math</t>
  </si>
  <si>
    <t>Great Plain School</t>
  </si>
  <si>
    <t>High Performance and High Growth (All Students) - ELA and High Growth (High Needs Students) - ELA &amp; Math</t>
  </si>
  <si>
    <t>Hayestown Avenue School</t>
  </si>
  <si>
    <t>King Street Intermediate School</t>
  </si>
  <si>
    <t>King Street Primary School</t>
  </si>
  <si>
    <t>Mill Ridge Primary School</t>
  </si>
  <si>
    <t>Morris Street School</t>
  </si>
  <si>
    <t>Park Avenue School</t>
  </si>
  <si>
    <t>Pembroke School</t>
  </si>
  <si>
    <t>Rogers Park Middle School</t>
  </si>
  <si>
    <t>Shelter Rock School</t>
  </si>
  <si>
    <t>South Street School</t>
  </si>
  <si>
    <t>Stadley Rough School</t>
  </si>
  <si>
    <t>Western CT Academy of International Studies Elementary Magnet School</t>
  </si>
  <si>
    <t>Westside Middle School Academy</t>
  </si>
  <si>
    <t>Darien High School</t>
  </si>
  <si>
    <t>Hindley Elementary School</t>
  </si>
  <si>
    <t>Holmes Elementary School</t>
  </si>
  <si>
    <t>Middlesex Middle School</t>
  </si>
  <si>
    <t>Ox Ridge Elementary School</t>
  </si>
  <si>
    <t>High Performance and High Growth (All Students) - ELA &amp; Math</t>
  </si>
  <si>
    <t>Royle Elementary School</t>
  </si>
  <si>
    <t>Tokeneke Elementary School</t>
  </si>
  <si>
    <t>High Growth (All Students) - ELA</t>
  </si>
  <si>
    <t>Deep River Elementary School</t>
  </si>
  <si>
    <t>Bradley School</t>
  </si>
  <si>
    <t>Derby High School</t>
  </si>
  <si>
    <t>Derby Middle School</t>
  </si>
  <si>
    <t>Irving School</t>
  </si>
  <si>
    <t>Eastford Elementary School</t>
  </si>
  <si>
    <t>Allgrove School</t>
  </si>
  <si>
    <t>East Granby High School</t>
  </si>
  <si>
    <t>East Granby Middle School</t>
  </si>
  <si>
    <t>R. Dudley Seymour School</t>
  </si>
  <si>
    <t>High Growth (All Students) - ELA &amp; Math and High Growth (High Needs Students) - ELA</t>
  </si>
  <si>
    <t>East Haddam Elementary School</t>
  </si>
  <si>
    <t>Nathan Hale-Ray High School</t>
  </si>
  <si>
    <t>Nathan Hale-Ray Middle School</t>
  </si>
  <si>
    <t>Center School</t>
  </si>
  <si>
    <t>East Hampton High School</t>
  </si>
  <si>
    <t>East Hampton Middle School</t>
  </si>
  <si>
    <t>Memorial School</t>
  </si>
  <si>
    <t>Anna E. Norris School</t>
  </si>
  <si>
    <t>Connecticut IB Academy</t>
  </si>
  <si>
    <t>Dr. Franklin H. Mayberry School</t>
  </si>
  <si>
    <t>Dr. John A. Langford School</t>
  </si>
  <si>
    <t>High Growth (High Needs Students) - ELA</t>
  </si>
  <si>
    <t>Dr. Thomas S. O'Connell School</t>
  </si>
  <si>
    <t>East Hartford High School</t>
  </si>
  <si>
    <t>East Hartford Middle School</t>
  </si>
  <si>
    <t>Governor William Pitkin School</t>
  </si>
  <si>
    <t>High Growth (All Students) - ELA and High Growth (High Needs Students) - ELA</t>
  </si>
  <si>
    <t>Joseph O. Goodwin School</t>
  </si>
  <si>
    <t>Robert J. O'Brien School</t>
  </si>
  <si>
    <t>Silver Lane School</t>
  </si>
  <si>
    <t>Sunset Ridge Middle School</t>
  </si>
  <si>
    <t>Synergy Alternative Program</t>
  </si>
  <si>
    <t>Carbone School/East Haven Academy</t>
  </si>
  <si>
    <t>Deer Run School</t>
  </si>
  <si>
    <t>Dominick H. Ferrara School</t>
  </si>
  <si>
    <t>East Haven High School</t>
  </si>
  <si>
    <t>Grove J. Tuttle School</t>
  </si>
  <si>
    <t>Joseph Melillo Middle School</t>
  </si>
  <si>
    <t>Momauguin School</t>
  </si>
  <si>
    <t>East Lyme High School</t>
  </si>
  <si>
    <t>East Lyme Middle School</t>
  </si>
  <si>
    <t>Flanders School</t>
  </si>
  <si>
    <t>Lillie B. Haynes School</t>
  </si>
  <si>
    <t>High Performance and High Growth (All Students) - Math</t>
  </si>
  <si>
    <t>Niantic Center School</t>
  </si>
  <si>
    <t>Helen Keller Middle School</t>
  </si>
  <si>
    <t>Samuel Staples Elementary School</t>
  </si>
  <si>
    <t>Broad Brook Elementary School</t>
  </si>
  <si>
    <t>East Windsor High School</t>
  </si>
  <si>
    <t>East Windsor Middle School</t>
  </si>
  <si>
    <t>Crystal Lake School</t>
  </si>
  <si>
    <t>Ellington High School</t>
  </si>
  <si>
    <t>Ellington Middle School</t>
  </si>
  <si>
    <t>Windermere School</t>
  </si>
  <si>
    <t>Edgar H. Parkman School</t>
  </si>
  <si>
    <t>Eli Whitney School</t>
  </si>
  <si>
    <t>Enfield High School</t>
  </si>
  <si>
    <t>Enfield Street School</t>
  </si>
  <si>
    <t>Hazardville Memorial School</t>
  </si>
  <si>
    <t>Henry Barnard School</t>
  </si>
  <si>
    <t>John F. Kennedy Middle School</t>
  </si>
  <si>
    <t>Prudence Crandall School</t>
  </si>
  <si>
    <t>Essex Elementary School</t>
  </si>
  <si>
    <t>Burr Elementary School</t>
  </si>
  <si>
    <t>High Growth (All Students) - ELA and High Growth (High Needs Students) - Math</t>
  </si>
  <si>
    <t>Dwight Elementary School</t>
  </si>
  <si>
    <t>Fairfield Ludlowe High School</t>
  </si>
  <si>
    <t>Fairfield Warde High School</t>
  </si>
  <si>
    <t>Fairfield Woods Middle School</t>
  </si>
  <si>
    <t>Holland Hill School</t>
  </si>
  <si>
    <t>Jennings School</t>
  </si>
  <si>
    <t>McKinley School</t>
  </si>
  <si>
    <t>Mill Hill School</t>
  </si>
  <si>
    <t>North Stratfield School</t>
  </si>
  <si>
    <t>Osborn Hill School</t>
  </si>
  <si>
    <t>Riverfield School</t>
  </si>
  <si>
    <t>Roger Ludlowe Middle School</t>
  </si>
  <si>
    <t>Sherman School</t>
  </si>
  <si>
    <t>Stratfield School</t>
  </si>
  <si>
    <t>Tomlinson Middle School</t>
  </si>
  <si>
    <t>East Farms School</t>
  </si>
  <si>
    <t>Farmington High School</t>
  </si>
  <si>
    <t>Irving A. Robbins Middle School</t>
  </si>
  <si>
    <t>Noah Wallace School</t>
  </si>
  <si>
    <t>Union School</t>
  </si>
  <si>
    <t>West District School</t>
  </si>
  <si>
    <t>West Woods Upper Elementary School</t>
  </si>
  <si>
    <t>Franklin Elementary School</t>
  </si>
  <si>
    <t>High Growth (All Students) - Math</t>
  </si>
  <si>
    <t>Buttonball Lane School</t>
  </si>
  <si>
    <t>Gideon Welles School</t>
  </si>
  <si>
    <t>Glastonbury High School</t>
  </si>
  <si>
    <t>Hebron Avenue School</t>
  </si>
  <si>
    <t>Hopewell School</t>
  </si>
  <si>
    <t>High Growth (High Needs Students) - ELA &amp; Math</t>
  </si>
  <si>
    <t>Naubuc School</t>
  </si>
  <si>
    <t>Nayaug Elementary School</t>
  </si>
  <si>
    <t>Smith Middle School</t>
  </si>
  <si>
    <t>Granby Memorial High School</t>
  </si>
  <si>
    <t>Granby Memorial Middle School</t>
  </si>
  <si>
    <t>Kelly Lane Primary School</t>
  </si>
  <si>
    <t>Wells Road Intermediate School</t>
  </si>
  <si>
    <t>Central Middle School</t>
  </si>
  <si>
    <t>Cos Cob School</t>
  </si>
  <si>
    <t>Eastern Middle School</t>
  </si>
  <si>
    <t>Glenville School</t>
  </si>
  <si>
    <t>Greenwich High School</t>
  </si>
  <si>
    <t>Hamilton Avenue School</t>
  </si>
  <si>
    <t>International School At Dundee</t>
  </si>
  <si>
    <t>Julian Curtiss School</t>
  </si>
  <si>
    <t>New Lebanon School</t>
  </si>
  <si>
    <t>North Mianus School</t>
  </si>
  <si>
    <t>High Performance and High Growth (All Students) - ELA &amp; Math and High Growth (High Needs Students) - ELA &amp; Math</t>
  </si>
  <si>
    <t>North Street School</t>
  </si>
  <si>
    <t>Old Greenwich School</t>
  </si>
  <si>
    <t>Parkway School</t>
  </si>
  <si>
    <t>Riverside School</t>
  </si>
  <si>
    <t>Western Middle School</t>
  </si>
  <si>
    <t>Griswold Alternative School</t>
  </si>
  <si>
    <t>Griswold Elementary School</t>
  </si>
  <si>
    <t>Griswold High School</t>
  </si>
  <si>
    <t>Griswold Middle School</t>
  </si>
  <si>
    <t>Carl C. Cutler Middle School</t>
  </si>
  <si>
    <t>Catherine Kolnaski Magnet School</t>
  </si>
  <si>
    <t>Charles Barnum School</t>
  </si>
  <si>
    <t>Claude Chester School</t>
  </si>
  <si>
    <t>High Growth (All Students) - ELA and High Growth (High Needs Students) - ELA &amp; Math</t>
  </si>
  <si>
    <t>Mary Morrisson School</t>
  </si>
  <si>
    <t>Northeast Academy Elementary School</t>
  </si>
  <si>
    <t>Robert E. Fitch High School</t>
  </si>
  <si>
    <t>S. B. Butler School</t>
  </si>
  <si>
    <t>West Side Middle School</t>
  </si>
  <si>
    <t>A. Baldwin Middle School</t>
  </si>
  <si>
    <t>A. W. Cox School</t>
  </si>
  <si>
    <t>Calvin Leete School</t>
  </si>
  <si>
    <t>E. C. Adams Middle School</t>
  </si>
  <si>
    <t>Guilford High School</t>
  </si>
  <si>
    <t>Guilford Lakes School</t>
  </si>
  <si>
    <t>Melissa Jones School</t>
  </si>
  <si>
    <t>High Performance and High Growth (All Students) - Math and High Growth (High Needs Students) - ELA &amp; Math</t>
  </si>
  <si>
    <t>Bear Path School</t>
  </si>
  <si>
    <t>Church Street School</t>
  </si>
  <si>
    <t>Dunbar Hill School</t>
  </si>
  <si>
    <t>Hamden High School</t>
  </si>
  <si>
    <t>Hamden Middle School</t>
  </si>
  <si>
    <t>High Needs ELA Growth</t>
  </si>
  <si>
    <t>Helen Street School</t>
  </si>
  <si>
    <t>Ridge Hill School</t>
  </si>
  <si>
    <t>Shepherd Glen School</t>
  </si>
  <si>
    <t>Spring Glen School</t>
  </si>
  <si>
    <t>West Woods School</t>
  </si>
  <si>
    <t>Hampton Elementary School</t>
  </si>
  <si>
    <t>Bellizzi School</t>
  </si>
  <si>
    <t>Betances Learning Lab Magnet School</t>
  </si>
  <si>
    <t>Betances STEM Magnet School</t>
  </si>
  <si>
    <t>Breakthrough Magnet School, North</t>
  </si>
  <si>
    <t>Breakthrough Magnet School, South</t>
  </si>
  <si>
    <t>Bulkeley High School</t>
  </si>
  <si>
    <t>Burns Latino Studies Academy</t>
  </si>
  <si>
    <t>Burr School</t>
  </si>
  <si>
    <t>Capital Community College Magnet Academy</t>
  </si>
  <si>
    <t>Capital Preparatory Magnet School</t>
  </si>
  <si>
    <t>Classical Magnet School</t>
  </si>
  <si>
    <t>Culinary Arts Academy at Weaver High School</t>
  </si>
  <si>
    <t>Environmental Sciences Magnet at Hooker School</t>
  </si>
  <si>
    <t>Expeditionary Learning Academy at Moylan School</t>
  </si>
  <si>
    <t>Global Communications Academy</t>
  </si>
  <si>
    <t>Great Path Academy at MCC</t>
  </si>
  <si>
    <t>HPHS Engineering and Green Technology Academy</t>
  </si>
  <si>
    <t>HPHS Law and Government Academy</t>
  </si>
  <si>
    <t>HPHS Nursing and Health Sciences Academy</t>
  </si>
  <si>
    <t>Hartford Magnet Trinity College Academy</t>
  </si>
  <si>
    <t>High School, Inc.</t>
  </si>
  <si>
    <t>Journalism and Media Academy</t>
  </si>
  <si>
    <t>Kennelly School</t>
  </si>
  <si>
    <t>Kinsella Magnet School of Performing Arts</t>
  </si>
  <si>
    <t>M. D. Fox School</t>
  </si>
  <si>
    <t>M. L. King, Jr. Middle School</t>
  </si>
  <si>
    <t>McDonough Middle School</t>
  </si>
  <si>
    <t>Milner Middle School</t>
  </si>
  <si>
    <t>Montessori Magnet at Batchelder School</t>
  </si>
  <si>
    <t>Montessori Magnet at Fisher School</t>
  </si>
  <si>
    <t>Naylor/CCSU Leadership Academy</t>
  </si>
  <si>
    <t>Parkville Community School</t>
  </si>
  <si>
    <t>Pathways Academy of Technology and Design</t>
  </si>
  <si>
    <t>Rawson School</t>
  </si>
  <si>
    <t>Renzulli Gifted and Talented Academy</t>
  </si>
  <si>
    <t>SAND School</t>
  </si>
  <si>
    <t>STEM Magnet at Annie Fisher School</t>
  </si>
  <si>
    <t>Sanchez School</t>
  </si>
  <si>
    <t>Sport and Medical Sciences Academy</t>
  </si>
  <si>
    <t>University High School of Science and Engineering</t>
  </si>
  <si>
    <t>Webster Micro Society Magnet School</t>
  </si>
  <si>
    <t>West Middle School</t>
  </si>
  <si>
    <t>Wish Museum School</t>
  </si>
  <si>
    <t>Hartland School</t>
  </si>
  <si>
    <t>High Performance and High Growth (High Needs Students) - ELA &amp; Math</t>
  </si>
  <si>
    <t>Gilead Hill School</t>
  </si>
  <si>
    <t>Hebron Elementary School</t>
  </si>
  <si>
    <t>Kent Center School</t>
  </si>
  <si>
    <t>Killingly Central School</t>
  </si>
  <si>
    <t>Killingly High School</t>
  </si>
  <si>
    <t>Killingly Intermediate School</t>
  </si>
  <si>
    <t>Killingly Memorial School</t>
  </si>
  <si>
    <t>Lebanon Elementary School</t>
  </si>
  <si>
    <t>Lebanon Middle School</t>
  </si>
  <si>
    <t>Lyman Memorial High School</t>
  </si>
  <si>
    <t>Gales Ferry School</t>
  </si>
  <si>
    <t>Gallup Hill School</t>
  </si>
  <si>
    <t>Juliet W. Long School</t>
  </si>
  <si>
    <t>Ledyard Center School</t>
  </si>
  <si>
    <t>Ledyard High School</t>
  </si>
  <si>
    <t>Ledyard Middle School</t>
  </si>
  <si>
    <t>Lisbon Central School</t>
  </si>
  <si>
    <t>Litchfield High School</t>
  </si>
  <si>
    <t>Litchfield Intermediate School</t>
  </si>
  <si>
    <t>Litchfield Middle School</t>
  </si>
  <si>
    <t>Daniel Hand High School</t>
  </si>
  <si>
    <t>Dr. Robert H. Brown Intermediate School</t>
  </si>
  <si>
    <t>Island Avenue Elementary School</t>
  </si>
  <si>
    <t>J. Milton Jeffrey Elementary School</t>
  </si>
  <si>
    <t>Kathleen H. Ryerson Elementary School</t>
  </si>
  <si>
    <t>Walter C. Polson Middle School</t>
  </si>
  <si>
    <t>Bowers School</t>
  </si>
  <si>
    <t>Buckley School</t>
  </si>
  <si>
    <t>Elisabeth M. Bennet Academy</t>
  </si>
  <si>
    <t>Highland Park School</t>
  </si>
  <si>
    <t>Illing Middle School</t>
  </si>
  <si>
    <t>Keeney School</t>
  </si>
  <si>
    <t>Manchester High School</t>
  </si>
  <si>
    <t>Martin School</t>
  </si>
  <si>
    <t>Verplanck School</t>
  </si>
  <si>
    <t>Waddell School</t>
  </si>
  <si>
    <t>Washington School</t>
  </si>
  <si>
    <t>Annie E. Vinton School</t>
  </si>
  <si>
    <t>Dorothy C. Goodwin School</t>
  </si>
  <si>
    <t>High Performance and High Growth (All Students) - ELA</t>
  </si>
  <si>
    <t>Mansfield Middle School</t>
  </si>
  <si>
    <t>Southeast Elementary School</t>
  </si>
  <si>
    <t>Elmer Thienes-Mary Hall Elementary School</t>
  </si>
  <si>
    <t>Benjamin Franklin School</t>
  </si>
  <si>
    <t>Casimir Pulaski School</t>
  </si>
  <si>
    <t>Francis T. Maloney High School</t>
  </si>
  <si>
    <t>Hanover School</t>
  </si>
  <si>
    <t>Israel Putnam School</t>
  </si>
  <si>
    <t>John Barry School</t>
  </si>
  <si>
    <t>Lincoln Middle School</t>
  </si>
  <si>
    <t>Nathan Hale School</t>
  </si>
  <si>
    <t>Orville H. Platt High School</t>
  </si>
  <si>
    <t>Roger Sherman School</t>
  </si>
  <si>
    <t>Washington Middle School</t>
  </si>
  <si>
    <t>Bielefield School</t>
  </si>
  <si>
    <t>Farm Hill School</t>
  </si>
  <si>
    <t>Keigwin Middle School</t>
  </si>
  <si>
    <t>Lawrence School</t>
  </si>
  <si>
    <t>MacDonough School</t>
  </si>
  <si>
    <t>Middletown High School</t>
  </si>
  <si>
    <t>Moody School</t>
  </si>
  <si>
    <t>Snow School</t>
  </si>
  <si>
    <t>Spencer School</t>
  </si>
  <si>
    <t>Wesley School</t>
  </si>
  <si>
    <t>Woodrow Wilson Middle School</t>
  </si>
  <si>
    <t>Calf Pen Meadow School</t>
  </si>
  <si>
    <t>East Shore Middle School</t>
  </si>
  <si>
    <t>Harborside Middle School</t>
  </si>
  <si>
    <t>J. F. Kennedy School</t>
  </si>
  <si>
    <t>Jonathan Law High School</t>
  </si>
  <si>
    <t>Joseph A. Foran High School</t>
  </si>
  <si>
    <t>Live Oaks School</t>
  </si>
  <si>
    <t>Mathewson School</t>
  </si>
  <si>
    <t>Meadowside School</t>
  </si>
  <si>
    <t>Orange Avenue School</t>
  </si>
  <si>
    <t>Orchard Hills School</t>
  </si>
  <si>
    <t>Pumpkin Delight School</t>
  </si>
  <si>
    <t>West Shore Middle School</t>
  </si>
  <si>
    <t>Fawn Hollow Elementary School</t>
  </si>
  <si>
    <t>Jockey Hollow School</t>
  </si>
  <si>
    <t>Masuk High School</t>
  </si>
  <si>
    <t>Monroe Elementary School</t>
  </si>
  <si>
    <t>Stepney Elementary School</t>
  </si>
  <si>
    <t>Dr. Charles E. Murphy School</t>
  </si>
  <si>
    <t>Leonard J. Tyl Middle School</t>
  </si>
  <si>
    <t>Mohegan School</t>
  </si>
  <si>
    <t>Montville High School</t>
  </si>
  <si>
    <t>Oakdale School</t>
  </si>
  <si>
    <t>Andrew Avenue School</t>
  </si>
  <si>
    <t>City Hill Middle School</t>
  </si>
  <si>
    <t>Cross Street Intermediate School</t>
  </si>
  <si>
    <t>Hillside Intermediate School</t>
  </si>
  <si>
    <t>Hop Brook Elementary School</t>
  </si>
  <si>
    <t>Maple Hill School</t>
  </si>
  <si>
    <t>Naugatuck High School</t>
  </si>
  <si>
    <t>Salem School</t>
  </si>
  <si>
    <t>Western School</t>
  </si>
  <si>
    <t>High Performance and High Growth (All Students) - Math and High Growth (High Needs Students) - Math</t>
  </si>
  <si>
    <t>Chamberlain  Elementary School</t>
  </si>
  <si>
    <t>DiLoreto Elementary &amp; Middle School</t>
  </si>
  <si>
    <t>Gaffney Elementary School</t>
  </si>
  <si>
    <t>House of Arts Letters and Science (HALS)  Academy</t>
  </si>
  <si>
    <t>Jefferson Elementary School</t>
  </si>
  <si>
    <t>Lincoln Elementary School</t>
  </si>
  <si>
    <t>New Britain High School</t>
  </si>
  <si>
    <t>Northend Elementary School</t>
  </si>
  <si>
    <t>Pulaski Middle School</t>
  </si>
  <si>
    <t>Slade Middle School</t>
  </si>
  <si>
    <t>Smalley Elementary School</t>
  </si>
  <si>
    <t>Smith Elementary School</t>
  </si>
  <si>
    <t>Vance Elementary School</t>
  </si>
  <si>
    <t>East School</t>
  </si>
  <si>
    <t>New Canaan High School</t>
  </si>
  <si>
    <t>Saxe Middle School</t>
  </si>
  <si>
    <t>South School</t>
  </si>
  <si>
    <t>West School</t>
  </si>
  <si>
    <t>Consolidated School</t>
  </si>
  <si>
    <t>Meeting House Hill School</t>
  </si>
  <si>
    <t>New Fairfield High School</t>
  </si>
  <si>
    <t>New Fairfield Middle School</t>
  </si>
  <si>
    <t>Ann Antolini School</t>
  </si>
  <si>
    <t>Bakerville Consolidated School</t>
  </si>
  <si>
    <t>New Hartford Elementary School</t>
  </si>
  <si>
    <t>Augusta Lewis Troup School</t>
  </si>
  <si>
    <t>Barack H. Obama Magnet University School</t>
  </si>
  <si>
    <t>Barnard Environmental Magnet School</t>
  </si>
  <si>
    <t>Beecher School</t>
  </si>
  <si>
    <t>Benjamin Jepson Magnet School</t>
  </si>
  <si>
    <t>Betsy Ross Arts Magnet School</t>
  </si>
  <si>
    <t>Bishop Woods Architecture and Design Magnet School</t>
  </si>
  <si>
    <t>Brennan Rogers School</t>
  </si>
  <si>
    <t>Celentano BioTech, Health and Medical Magnet School</t>
  </si>
  <si>
    <t>Clinton Avenue School</t>
  </si>
  <si>
    <t>Columbus Family Academy</t>
  </si>
  <si>
    <t>Conte/West Hills Magnet School</t>
  </si>
  <si>
    <t>Cooperative High School - Inter-District Magnet</t>
  </si>
  <si>
    <t>Davis Academy for Arts &amp; Design Innovation</t>
  </si>
  <si>
    <t>East Rock Community Magnet School</t>
  </si>
  <si>
    <t>Engineering - Science University Magnet School</t>
  </si>
  <si>
    <t>Fair Haven School</t>
  </si>
  <si>
    <t>High School In The Community</t>
  </si>
  <si>
    <t>Graduation Rate</t>
  </si>
  <si>
    <t>Hill Central Music Academy</t>
  </si>
  <si>
    <t>Hill Regional Career High School</t>
  </si>
  <si>
    <t>James Hillhouse High School</t>
  </si>
  <si>
    <t>John C. Daniels</t>
  </si>
  <si>
    <t>John S. Martinez Sea and Sky STEM School</t>
  </si>
  <si>
    <t>King/Robinson Magnet School</t>
  </si>
  <si>
    <t>Lincoln-Bassett School</t>
  </si>
  <si>
    <t>Mauro-Sheridan Magnet School</t>
  </si>
  <si>
    <t>Metropolitan Business Academy</t>
  </si>
  <si>
    <t>New Haven Academy</t>
  </si>
  <si>
    <t>Quinnipiac Real World Math STEM School</t>
  </si>
  <si>
    <t>Roberto Clemente Leadership Academy for Global Awareness</t>
  </si>
  <si>
    <t>Ross/Woodward School</t>
  </si>
  <si>
    <t>Sound School</t>
  </si>
  <si>
    <t>Truman School</t>
  </si>
  <si>
    <t>West Rock Authors Academy</t>
  </si>
  <si>
    <t>Wexler/Grant Community School</t>
  </si>
  <si>
    <t>Wilbur Cross High School</t>
  </si>
  <si>
    <t>Worthington Hooker School</t>
  </si>
  <si>
    <t>Anna Reynolds School</t>
  </si>
  <si>
    <t>Elizabeth Green School</t>
  </si>
  <si>
    <t>John Paterson School</t>
  </si>
  <si>
    <t>John Wallace Middle School</t>
  </si>
  <si>
    <t>Martin Kellogg Middle School</t>
  </si>
  <si>
    <t>Newington High School</t>
  </si>
  <si>
    <t>Ruth Chaffee School</t>
  </si>
  <si>
    <t>Bennie Dover Jackson Middle School</t>
  </si>
  <si>
    <t>C.B. Jennings International Elementary Magnet</t>
  </si>
  <si>
    <t>Harbor Elementary School</t>
  </si>
  <si>
    <t>Nathan Hale Arts Magnet School</t>
  </si>
  <si>
    <t>New London High School</t>
  </si>
  <si>
    <t>New London Visual and Performing Arts Magnet School</t>
  </si>
  <si>
    <t>Science and Technology Magnet School of Southeastern Connecticut</t>
  </si>
  <si>
    <t>Winthrop STEM Elementary Magnet School</t>
  </si>
  <si>
    <t>Hill And Plain School</t>
  </si>
  <si>
    <t>New Milford High School</t>
  </si>
  <si>
    <t>Northville Elementary School</t>
  </si>
  <si>
    <t>Sarah Noble Intermediate School</t>
  </si>
  <si>
    <t>Schaghticoke Middle School</t>
  </si>
  <si>
    <t>Hawley Elementary School</t>
  </si>
  <si>
    <t>Head O'Meadow Elementary School</t>
  </si>
  <si>
    <t>Middle Gate Elementary School</t>
  </si>
  <si>
    <t>Newtown High School</t>
  </si>
  <si>
    <t>Newtown Middle School</t>
  </si>
  <si>
    <t>Reed Intermediate School</t>
  </si>
  <si>
    <t>Sandy Hook Elementary School</t>
  </si>
  <si>
    <t>Botelle Elementary School</t>
  </si>
  <si>
    <t>Jerome Harrison School</t>
  </si>
  <si>
    <t>North Branford High School</t>
  </si>
  <si>
    <t>North Branford Intermediate School</t>
  </si>
  <si>
    <t>Totoket Valley Elementary School</t>
  </si>
  <si>
    <t>North Canaan Elementary School</t>
  </si>
  <si>
    <t>Clintonville Elementary School</t>
  </si>
  <si>
    <t>Green Acres Elementary School</t>
  </si>
  <si>
    <t>Montowese Elementary School</t>
  </si>
  <si>
    <t>North Haven High School</t>
  </si>
  <si>
    <t>North Haven Middle School</t>
  </si>
  <si>
    <t>Ridge Road Elementary School</t>
  </si>
  <si>
    <t>North Stonington Elementary School</t>
  </si>
  <si>
    <t>Wheeler High School</t>
  </si>
  <si>
    <t>Brien McMahon High School</t>
  </si>
  <si>
    <t>Brookside Elementary School</t>
  </si>
  <si>
    <t>Center for Global Studies</t>
  </si>
  <si>
    <t>Columbus Magnet School</t>
  </si>
  <si>
    <t>Cranbury Elementary School</t>
  </si>
  <si>
    <t>Fox Run Elementary School</t>
  </si>
  <si>
    <t>Jefferson Magnet School</t>
  </si>
  <si>
    <t>Kendall Elementary School</t>
  </si>
  <si>
    <t>Marvin Elementary School</t>
  </si>
  <si>
    <t>Naramake Elementary School</t>
  </si>
  <si>
    <t>Nathan Hale Middle School</t>
  </si>
  <si>
    <t>Norwalk High School</t>
  </si>
  <si>
    <t>Ponus Ridge Middle School</t>
  </si>
  <si>
    <t>Roton Middle School</t>
  </si>
  <si>
    <t>Rowayton School</t>
  </si>
  <si>
    <t>Silvermine Dual Language Magnet School</t>
  </si>
  <si>
    <t>Tracey Magnet School</t>
  </si>
  <si>
    <t>West Rocks Middle School</t>
  </si>
  <si>
    <t>Wolfpit School</t>
  </si>
  <si>
    <t>John B. Stanton School</t>
  </si>
  <si>
    <t>Kelly STEAM Magnet Middle School</t>
  </si>
  <si>
    <t>Moriarty Magnet School</t>
  </si>
  <si>
    <t>Samuel Huntington School</t>
  </si>
  <si>
    <t>Teachers' Memorial Global Studies Magnet Middle School</t>
  </si>
  <si>
    <t>Thomas W. Mahan School</t>
  </si>
  <si>
    <t>Uncas Elementary School</t>
  </si>
  <si>
    <t>Veterans' Memorial School</t>
  </si>
  <si>
    <t>Wequonnoc Magnet School</t>
  </si>
  <si>
    <t>Kathleen E. Goodwin School</t>
  </si>
  <si>
    <t>Old Saybrook Middle School</t>
  </si>
  <si>
    <t>Old Saybrook Senior High School</t>
  </si>
  <si>
    <t>Mary L. Tracy School</t>
  </si>
  <si>
    <t>Peck Place School</t>
  </si>
  <si>
    <t>Race Brook School</t>
  </si>
  <si>
    <t>Turkey Hill School</t>
  </si>
  <si>
    <t>Great Oak Middle School</t>
  </si>
  <si>
    <t>Oxford Center School</t>
  </si>
  <si>
    <t>Oxford High School</t>
  </si>
  <si>
    <t>Quaker Farms School</t>
  </si>
  <si>
    <t>Moosup Elementary School</t>
  </si>
  <si>
    <t>Plainfield Central School</t>
  </si>
  <si>
    <t>Plainfield High School</t>
  </si>
  <si>
    <t>Plainfield Memorial School</t>
  </si>
  <si>
    <t>Shepard Hill Elementary School</t>
  </si>
  <si>
    <t>Great Improvement</t>
  </si>
  <si>
    <t>Frank T. Wheeler School</t>
  </si>
  <si>
    <t>Linden Street School</t>
  </si>
  <si>
    <t>Louis Toffolon School</t>
  </si>
  <si>
    <t>Middle School of Plainville</t>
  </si>
  <si>
    <t>Plainville High School</t>
  </si>
  <si>
    <t>Eli Terry Jr. Middle School</t>
  </si>
  <si>
    <t>Harry S. Fisher Elementary School</t>
  </si>
  <si>
    <t>Plymouth Center School</t>
  </si>
  <si>
    <t>Terryville High School</t>
  </si>
  <si>
    <t>Pomfret Community School</t>
  </si>
  <si>
    <t>Brownstone Intermediate School</t>
  </si>
  <si>
    <t>Gildersleeve School</t>
  </si>
  <si>
    <t>Portland High School</t>
  </si>
  <si>
    <t>Portland Middle School</t>
  </si>
  <si>
    <t>Valley View School</t>
  </si>
  <si>
    <t>Preston Plains School</t>
  </si>
  <si>
    <t>Preston Veterans' Memorial School</t>
  </si>
  <si>
    <t>Putnam Elementary School</t>
  </si>
  <si>
    <t>Putnam High School</t>
  </si>
  <si>
    <t>Putnam Middle School</t>
  </si>
  <si>
    <t>John Read Middle School</t>
  </si>
  <si>
    <t>Redding Elementary School</t>
  </si>
  <si>
    <t>Barlow Mountain Elementary School</t>
  </si>
  <si>
    <t>Branchville Elementary School</t>
  </si>
  <si>
    <t>East Ridge Middle School</t>
  </si>
  <si>
    <t>Farmingville Elementary School</t>
  </si>
  <si>
    <t>Ridgebury Elementary School</t>
  </si>
  <si>
    <t>Ridgefield High School</t>
  </si>
  <si>
    <t>Scotland Elementary School</t>
  </si>
  <si>
    <t>Scotts Ridge Middle School</t>
  </si>
  <si>
    <t>Veterans Park Elementary School</t>
  </si>
  <si>
    <t>Albert D. Griswold Middle School</t>
  </si>
  <si>
    <t>Myrtle H. Stevens School</t>
  </si>
  <si>
    <t>Rocky Hill High School</t>
  </si>
  <si>
    <t>West Hill School</t>
  </si>
  <si>
    <t>Salem Elementary School</t>
  </si>
  <si>
    <t>Salisbury Central School</t>
  </si>
  <si>
    <t>Bungay School</t>
  </si>
  <si>
    <t>Chatfield-LoPresti School</t>
  </si>
  <si>
    <t>Seymour High School</t>
  </si>
  <si>
    <t>Seymour Middle School</t>
  </si>
  <si>
    <t>Sharon Center School</t>
  </si>
  <si>
    <t>Booth Hill School</t>
  </si>
  <si>
    <t>Elizabeth Shelton School</t>
  </si>
  <si>
    <t>Intermediate School</t>
  </si>
  <si>
    <t>Long Hill School</t>
  </si>
  <si>
    <t>Perry Hill Elementary School</t>
  </si>
  <si>
    <t>Shelton High School</t>
  </si>
  <si>
    <t>Sunnyside School</t>
  </si>
  <si>
    <t>Central School</t>
  </si>
  <si>
    <t>Henry James Memorial School</t>
  </si>
  <si>
    <t>Latimer Lane School</t>
  </si>
  <si>
    <t>Simsbury High School</t>
  </si>
  <si>
    <t>Squadron Line School</t>
  </si>
  <si>
    <t>Tariffville School</t>
  </si>
  <si>
    <t>Tootin' Hills School</t>
  </si>
  <si>
    <t>Mabelle B. Avery Middle School</t>
  </si>
  <si>
    <t>Somers Elementary School</t>
  </si>
  <si>
    <t>Somers High School</t>
  </si>
  <si>
    <t>Derynoski Elementary School</t>
  </si>
  <si>
    <t>Flanders Elementary School</t>
  </si>
  <si>
    <t>Hatton Elementary School</t>
  </si>
  <si>
    <t>Joseph A. Depaolo Middle School</t>
  </si>
  <si>
    <t>Oshana Elementary School</t>
  </si>
  <si>
    <t>South End Elementary School</t>
  </si>
  <si>
    <t>Southington High School</t>
  </si>
  <si>
    <t>Strong Elementary School</t>
  </si>
  <si>
    <t>Thalberg Elementary School</t>
  </si>
  <si>
    <t>Urbin T. Kelley School</t>
  </si>
  <si>
    <t>Eli Terry School</t>
  </si>
  <si>
    <t>Orchard Hill School</t>
  </si>
  <si>
    <t>Philip R. Smith School</t>
  </si>
  <si>
    <t>Pleasant Valley School</t>
  </si>
  <si>
    <t>South Windsor High School</t>
  </si>
  <si>
    <t>Timothy Edwards School</t>
  </si>
  <si>
    <t>Sayles School</t>
  </si>
  <si>
    <t>Stafford Elementary School</t>
  </si>
  <si>
    <t>Stafford High School</t>
  </si>
  <si>
    <t>Stafford Middle School</t>
  </si>
  <si>
    <t>Staffordville School</t>
  </si>
  <si>
    <t>West Stafford School</t>
  </si>
  <si>
    <t>Cloonan School</t>
  </si>
  <si>
    <t>Davenport Ridge School</t>
  </si>
  <si>
    <t>Dolan School</t>
  </si>
  <si>
    <t>Hart School</t>
  </si>
  <si>
    <t>Julia A. Stark School</t>
  </si>
  <si>
    <t>K. T. Murphy School</t>
  </si>
  <si>
    <t>Newfield School</t>
  </si>
  <si>
    <t>Northeast School</t>
  </si>
  <si>
    <t>Rippowam Middle School</t>
  </si>
  <si>
    <t>Rogers International School</t>
  </si>
  <si>
    <t>Roxbury School</t>
  </si>
  <si>
    <t>Scofield Middle School</t>
  </si>
  <si>
    <t>Springdale School</t>
  </si>
  <si>
    <t>Stamford High School</t>
  </si>
  <si>
    <t>Stillmeadow School</t>
  </si>
  <si>
    <t>Strawberry Hill an ext. of Rogers International</t>
  </si>
  <si>
    <t>The Academy of Information, Technology &amp; Engineering</t>
  </si>
  <si>
    <t>Toquam Magnet School</t>
  </si>
  <si>
    <t>Turn of River School</t>
  </si>
  <si>
    <t>Westhill High School</t>
  </si>
  <si>
    <t>Westover School</t>
  </si>
  <si>
    <t>Sterling Community School</t>
  </si>
  <si>
    <t>Deans Mill School</t>
  </si>
  <si>
    <t>Pawcatuck Middle School</t>
  </si>
  <si>
    <t>Stonington High School</t>
  </si>
  <si>
    <t>Stonington Middle School</t>
  </si>
  <si>
    <t>West Broad Street School</t>
  </si>
  <si>
    <t>West Vine Street School</t>
  </si>
  <si>
    <t>Bunnell High School</t>
  </si>
  <si>
    <t>Chapel School</t>
  </si>
  <si>
    <t>David Wooster Middle School</t>
  </si>
  <si>
    <t>Franklin School</t>
  </si>
  <si>
    <t>Harry B. Flood Middle School</t>
  </si>
  <si>
    <t>Lordship School</t>
  </si>
  <si>
    <t>Nichols School</t>
  </si>
  <si>
    <t>Second Hill Lane School</t>
  </si>
  <si>
    <t>Stratford Academy - Johnson House</t>
  </si>
  <si>
    <t>Stratford Academy - Victoria Soto School</t>
  </si>
  <si>
    <t>Stratford High School</t>
  </si>
  <si>
    <t>Wilcoxson School</t>
  </si>
  <si>
    <t>A. Ward Spaulding School</t>
  </si>
  <si>
    <t>McAlister Intermediate School</t>
  </si>
  <si>
    <t>Suffield High School</t>
  </si>
  <si>
    <t>Suffield Middle School</t>
  </si>
  <si>
    <t>Thomaston Center School</t>
  </si>
  <si>
    <t>Thomaston High School</t>
  </si>
  <si>
    <t>Mary R. Fisher Elementary School</t>
  </si>
  <si>
    <t>Thompson Middle School</t>
  </si>
  <si>
    <t>Tourtellotte Memorial High School</t>
  </si>
  <si>
    <t>Birch Grove Primary School</t>
  </si>
  <si>
    <t>Tolland High School</t>
  </si>
  <si>
    <t>Tolland Intermediate School</t>
  </si>
  <si>
    <t>Tolland Middle School</t>
  </si>
  <si>
    <t>Forbes School</t>
  </si>
  <si>
    <t>Southwest School</t>
  </si>
  <si>
    <t>Torringford School</t>
  </si>
  <si>
    <t>Torrington High School</t>
  </si>
  <si>
    <t>Torrington Middle School</t>
  </si>
  <si>
    <t>Vogel-Wetmore School</t>
  </si>
  <si>
    <t>Daniels Farm School</t>
  </si>
  <si>
    <t>Frenchtown Elementary School</t>
  </si>
  <si>
    <t>Hillcrest Middle School</t>
  </si>
  <si>
    <t>Jane Ryan School</t>
  </si>
  <si>
    <t>Madison Middle School</t>
  </si>
  <si>
    <t>Middlebrook School</t>
  </si>
  <si>
    <t>Tashua School</t>
  </si>
  <si>
    <t>Trumbull High School</t>
  </si>
  <si>
    <t>Union Elementary School</t>
  </si>
  <si>
    <t>Center Road School</t>
  </si>
  <si>
    <t>Lake Street School</t>
  </si>
  <si>
    <t>Maple Street School</t>
  </si>
  <si>
    <t>Rockville High School</t>
  </si>
  <si>
    <t>Skinner Road School</t>
  </si>
  <si>
    <t>Vernon Center Middle School</t>
  </si>
  <si>
    <t>Voluntown Elementary School</t>
  </si>
  <si>
    <t>Cook Hill School</t>
  </si>
  <si>
    <t>Dag Hammarskjold Middle School</t>
  </si>
  <si>
    <t>Evarts C. Stevens School</t>
  </si>
  <si>
    <t>James H. Moran Middle School</t>
  </si>
  <si>
    <t>Lyman Hall High School</t>
  </si>
  <si>
    <t>Mark T. Sheehan High School</t>
  </si>
  <si>
    <t>Mary G. Fritz Elementary School of Yalesville</t>
  </si>
  <si>
    <t>Moses Y. Beach School</t>
  </si>
  <si>
    <t>Parker Farms School</t>
  </si>
  <si>
    <t>Pond Hill School</t>
  </si>
  <si>
    <t>Rock Hill School</t>
  </si>
  <si>
    <t>B. W. Tinker School</t>
  </si>
  <si>
    <t>Bucks Hill School</t>
  </si>
  <si>
    <t>Bunker Hill School</t>
  </si>
  <si>
    <t>Carrington School</t>
  </si>
  <si>
    <t>Crosby High School</t>
  </si>
  <si>
    <t>Driggs School</t>
  </si>
  <si>
    <t>Duggan School</t>
  </si>
  <si>
    <t>F. J. Kingsbury School</t>
  </si>
  <si>
    <t>Gilmartin School</t>
  </si>
  <si>
    <t>H. S. Chase School</t>
  </si>
  <si>
    <t>Hopeville School</t>
  </si>
  <si>
    <t>John F. Kennedy High School</t>
  </si>
  <si>
    <t>Maloney Interdistrict Magnet School</t>
  </si>
  <si>
    <t>Margaret M. Generali Elementary School</t>
  </si>
  <si>
    <t>Michael F. Wallace Middle School</t>
  </si>
  <si>
    <t>North End Middle School</t>
  </si>
  <si>
    <t>Reed School</t>
  </si>
  <si>
    <t>Regan School</t>
  </si>
  <si>
    <t>Rotella Interdistrict Magnet School</t>
  </si>
  <si>
    <t>Sprague School</t>
  </si>
  <si>
    <t>Walsh School</t>
  </si>
  <si>
    <t>Waterbury Arts Magnet School (High)</t>
  </si>
  <si>
    <t>Waterbury Arts Magnet School (Middle)</t>
  </si>
  <si>
    <t>Waterbury Career Academy</t>
  </si>
  <si>
    <t>Wendell L. Cross School</t>
  </si>
  <si>
    <t>Wilby High School</t>
  </si>
  <si>
    <t>Woodrow Wilson School</t>
  </si>
  <si>
    <t>Clark Lane Middle School</t>
  </si>
  <si>
    <t>Great Neck Elementary School</t>
  </si>
  <si>
    <t>Oswegatchie Elementary School</t>
  </si>
  <si>
    <t>Quaker Hill Elementary School</t>
  </si>
  <si>
    <t>Waterford High School</t>
  </si>
  <si>
    <t>Fletcher W. Judson School</t>
  </si>
  <si>
    <t>John Trumbull Primary School</t>
  </si>
  <si>
    <t>Polk School</t>
  </si>
  <si>
    <t>Swift Middle School</t>
  </si>
  <si>
    <t>Watertown High School</t>
  </si>
  <si>
    <t>Daisy Ingraham School</t>
  </si>
  <si>
    <t>Westbrook High School</t>
  </si>
  <si>
    <t>Westbrook Middle School</t>
  </si>
  <si>
    <t>Aiken School</t>
  </si>
  <si>
    <t>Braeburn School</t>
  </si>
  <si>
    <t>Bristow Middle School</t>
  </si>
  <si>
    <t>Bugbee School</t>
  </si>
  <si>
    <t>Charter Oak International Academy</t>
  </si>
  <si>
    <t>Conard High School</t>
  </si>
  <si>
    <t>Duffy School</t>
  </si>
  <si>
    <t>Hall High School</t>
  </si>
  <si>
    <t>King Philip Middle School</t>
  </si>
  <si>
    <t>Morley School</t>
  </si>
  <si>
    <t>Norfeldt School</t>
  </si>
  <si>
    <t>Sedgwick Middle School</t>
  </si>
  <si>
    <t>Smith School</t>
  </si>
  <si>
    <t>Webster Hill School</t>
  </si>
  <si>
    <t>Whiting Lane School</t>
  </si>
  <si>
    <t>High Growth (All Students) - ELA &amp; Math and High Growth (High Needs Students) - ELA &amp; Math</t>
  </si>
  <si>
    <t>Wolcott School</t>
  </si>
  <si>
    <t>Alma E. Pagels School</t>
  </si>
  <si>
    <t>Carrigan 5/6 Intermediate School</t>
  </si>
  <si>
    <t>Edith E. Mackrille School</t>
  </si>
  <si>
    <t>Forest School</t>
  </si>
  <si>
    <t>Harry M. Bailey Middle School</t>
  </si>
  <si>
    <t>Savin Rock Community School</t>
  </si>
  <si>
    <t>Seth G. Haley School</t>
  </si>
  <si>
    <t>West Haven High School</t>
  </si>
  <si>
    <t>Hurlbutt Elementary School</t>
  </si>
  <si>
    <t>Weston High School</t>
  </si>
  <si>
    <t>Weston Intermediate School</t>
  </si>
  <si>
    <t>Weston Middle School</t>
  </si>
  <si>
    <t>Bedford Middle School</t>
  </si>
  <si>
    <t>Coleytown Elementary School</t>
  </si>
  <si>
    <t>Coleytown Middle School</t>
  </si>
  <si>
    <t>Green's Farms School</t>
  </si>
  <si>
    <t>King's Highway Elementary School</t>
  </si>
  <si>
    <t>Long Lots School</t>
  </si>
  <si>
    <t>Saugatuck Elementary School</t>
  </si>
  <si>
    <t>Staples High School</t>
  </si>
  <si>
    <t>Alfred W. Hanmer School</t>
  </si>
  <si>
    <t>Charles Wright School</t>
  </si>
  <si>
    <t>Emerson-Williams School</t>
  </si>
  <si>
    <t>Highcrest School</t>
  </si>
  <si>
    <t>Samuel B. Webb Elementary School</t>
  </si>
  <si>
    <t>Silas Deane Middle School</t>
  </si>
  <si>
    <t>Wethersfield High School</t>
  </si>
  <si>
    <t>Hall Memorial School</t>
  </si>
  <si>
    <t>Cider Mill School</t>
  </si>
  <si>
    <t>Miller-Driscoll School</t>
  </si>
  <si>
    <t>Wilton High School</t>
  </si>
  <si>
    <t>Batcheller Early Education Center</t>
  </si>
  <si>
    <t>Pearson School</t>
  </si>
  <si>
    <t>Charles H. Barrows STEM Academy</t>
  </si>
  <si>
    <t>Natchaug School</t>
  </si>
  <si>
    <t>North Windham School</t>
  </si>
  <si>
    <t>W. B. Sweeney School</t>
  </si>
  <si>
    <t>Windham Center School</t>
  </si>
  <si>
    <t>Windham High School</t>
  </si>
  <si>
    <t>Windham Middle School</t>
  </si>
  <si>
    <t>Windham STEPS Academy</t>
  </si>
  <si>
    <t>Clover Street School</t>
  </si>
  <si>
    <t>John F. Kennedy School</t>
  </si>
  <si>
    <t>Oliver Ellsworth School</t>
  </si>
  <si>
    <t>Poquonock Elementary School</t>
  </si>
  <si>
    <t>Sage Park Middle School</t>
  </si>
  <si>
    <t>Windsor High School</t>
  </si>
  <si>
    <t>South Elementary School</t>
  </si>
  <si>
    <t>Windsor Locks High School</t>
  </si>
  <si>
    <t>Windsor Locks Middle School</t>
  </si>
  <si>
    <t>Alcott School</t>
  </si>
  <si>
    <t>Frisbie School</t>
  </si>
  <si>
    <t>Tyrrell Middle School</t>
  </si>
  <si>
    <t>Wakelee School</t>
  </si>
  <si>
    <t>Wolcott High School</t>
  </si>
  <si>
    <t>Beecher Road School</t>
  </si>
  <si>
    <t>Woodstock Elementary School</t>
  </si>
  <si>
    <t>Woodstock Middle School</t>
  </si>
  <si>
    <t>Housatonic Valley Regional High School</t>
  </si>
  <si>
    <t>Regional Schools</t>
  </si>
  <si>
    <t>John Winthrop Middle School</t>
  </si>
  <si>
    <t>Valley Regional High School</t>
  </si>
  <si>
    <t>Amity Middle School: Bethany</t>
  </si>
  <si>
    <t>Amity Middle School: Orange</t>
  </si>
  <si>
    <t>Amity Regional High School</t>
  </si>
  <si>
    <t>Goshen Center School</t>
  </si>
  <si>
    <t>James Morris School</t>
  </si>
  <si>
    <t>Wamogo Regional High School</t>
  </si>
  <si>
    <t>Warren Elementary School</t>
  </si>
  <si>
    <t>Northwestern Regional High School</t>
  </si>
  <si>
    <t>Northwestern Regional Middle School</t>
  </si>
  <si>
    <t>RHAM High School</t>
  </si>
  <si>
    <t>RHAM Middle School</t>
  </si>
  <si>
    <t>Joel Barlow High School</t>
  </si>
  <si>
    <t>Har-Bur Middle School</t>
  </si>
  <si>
    <t>Harwinton Consolidated School</t>
  </si>
  <si>
    <t>Lake Garda Elementary School</t>
  </si>
  <si>
    <t>Lewis S. Mills High School</t>
  </si>
  <si>
    <t>Parish Hill High School</t>
  </si>
  <si>
    <t>High Needs ELA Growth and High Needs Math Growth</t>
  </si>
  <si>
    <t>Booth Free School</t>
  </si>
  <si>
    <t>Shepaug Valley School</t>
  </si>
  <si>
    <t>The Burnham School</t>
  </si>
  <si>
    <t>Washington Primary School</t>
  </si>
  <si>
    <t>Coginchaug Regional High School</t>
  </si>
  <si>
    <t>Frank Ward Strong School</t>
  </si>
  <si>
    <t>Frederick Brewster School</t>
  </si>
  <si>
    <t>John Lyman School</t>
  </si>
  <si>
    <t>Middlefield Memorial School</t>
  </si>
  <si>
    <t>Bethlehem Elementary School</t>
  </si>
  <si>
    <t>Mitchell Elementary School</t>
  </si>
  <si>
    <t>Nonnewaug High School</t>
  </si>
  <si>
    <t>Woodbury Middle School</t>
  </si>
  <si>
    <t>Gainfield Elementary School</t>
  </si>
  <si>
    <t>Long Meadow Elementary School</t>
  </si>
  <si>
    <t>Memorial Middle School</t>
  </si>
  <si>
    <t>Middlebury Elementary School</t>
  </si>
  <si>
    <t>Pomperaug Regional High School</t>
  </si>
  <si>
    <t>Pomperaug School</t>
  </si>
  <si>
    <t>Rochambeau Middle School</t>
  </si>
  <si>
    <t>Laurel Ledge School</t>
  </si>
  <si>
    <t>Long River Middle School</t>
  </si>
  <si>
    <t>Prospect Elementary School</t>
  </si>
  <si>
    <t>Woodland Regional High School</t>
  </si>
  <si>
    <t>Burr District Elementary School</t>
  </si>
  <si>
    <t>Haddam Elementary School</t>
  </si>
  <si>
    <t>Haddam-Killingworth High School</t>
  </si>
  <si>
    <t>Haddam-Killingworth Middle School</t>
  </si>
  <si>
    <t>Killingworth Elementary School</t>
  </si>
  <si>
    <t>Lyme Consolidated School</t>
  </si>
  <si>
    <t>Lyme-Old Lyme High School</t>
  </si>
  <si>
    <t>Lyme-Old Lyme Middle School</t>
  </si>
  <si>
    <t>Mile Creek School</t>
  </si>
  <si>
    <t>E. O. Smith High School</t>
  </si>
  <si>
    <t>Academy of Aerospace and Engineering Elementary</t>
  </si>
  <si>
    <t>Regional Education Service Center Schools</t>
  </si>
  <si>
    <t>Academy of Aerospace and Engineering</t>
  </si>
  <si>
    <t>Academy of Science and Innovation</t>
  </si>
  <si>
    <t>Ana Grace Academy of the Arts Elementary School</t>
  </si>
  <si>
    <t>Civic Leadership High School</t>
  </si>
  <si>
    <t>High Needs Math Performance Index</t>
  </si>
  <si>
    <t>Discovery Academy</t>
  </si>
  <si>
    <t>Glastonbury/East Hartford Magnet School</t>
  </si>
  <si>
    <t>Greater Hartford Academy of  the Arts High School - Full Time</t>
  </si>
  <si>
    <t>Greater Hartford Academy of the Arts Magnet Middle</t>
  </si>
  <si>
    <t>International Magnet School for Global Citizenship</t>
  </si>
  <si>
    <t>Metropolitan Learning Center for Global and International Studies</t>
  </si>
  <si>
    <t>Montessori Magnet School</t>
  </si>
  <si>
    <t>Museum Academy</t>
  </si>
  <si>
    <t>Reggio Magnet School of the Arts</t>
  </si>
  <si>
    <t>Two Rivers Magnet Middle School</t>
  </si>
  <si>
    <t>University of Hartford Magnet School</t>
  </si>
  <si>
    <t>Six-Six Magnet School</t>
  </si>
  <si>
    <t>Thomas Edison Magnet Middle School</t>
  </si>
  <si>
    <t>Wintergreen Interdistrict  Magnet School</t>
  </si>
  <si>
    <t>Connecticut River Academy</t>
  </si>
  <si>
    <t>Dual Language &amp; Arts Magnet Middle School</t>
  </si>
  <si>
    <t>Marine Science Magnet High School</t>
  </si>
  <si>
    <t>Regional Multicultural Magnet School</t>
  </si>
  <si>
    <t>Riverside Magnet School at Goodwin College</t>
  </si>
  <si>
    <t>The Friendship School</t>
  </si>
  <si>
    <t>Three Rivers Middle College Magnet School</t>
  </si>
  <si>
    <t>Arts at the Capitol Theater Magnet School (ACT)</t>
  </si>
  <si>
    <t>Quinebaug Middle College</t>
  </si>
  <si>
    <t>Jumoke Academy</t>
  </si>
  <si>
    <t>Public Charter Schools</t>
  </si>
  <si>
    <t>Odyssey Community School</t>
  </si>
  <si>
    <t>Integrated Day Charter School</t>
  </si>
  <si>
    <t>Interdistrict School For Arts And Communication</t>
  </si>
  <si>
    <t>Common Ground High School</t>
  </si>
  <si>
    <t>The Bridge Academy</t>
  </si>
  <si>
    <t>Side By Side Charter School</t>
  </si>
  <si>
    <t>Explorations</t>
  </si>
  <si>
    <t>Trailblazers Academy</t>
  </si>
  <si>
    <t>Amistad Academy</t>
  </si>
  <si>
    <t>New Beginnings Inc Family Academy</t>
  </si>
  <si>
    <t>Stamford Academy</t>
  </si>
  <si>
    <t>Park City Prep Charter School</t>
  </si>
  <si>
    <t>Achievement First Bridgeport Academy</t>
  </si>
  <si>
    <t>Highville Charter School</t>
  </si>
  <si>
    <t>Achievement First Hartford Academy</t>
  </si>
  <si>
    <t>Elm City College Preparatory School</t>
  </si>
  <si>
    <t>Brass City Charter School</t>
  </si>
  <si>
    <t>Elm City Montessori School</t>
  </si>
  <si>
    <t>Great Oaks Charter School</t>
  </si>
  <si>
    <t>Booker T. Washington Academy</t>
  </si>
  <si>
    <t>Stamford Charter School for Excellence</t>
  </si>
  <si>
    <t>Capital Preparatory Harbor School</t>
  </si>
  <si>
    <t>Bridgeport Correctional Center</t>
  </si>
  <si>
    <t>State Agency Facilities</t>
  </si>
  <si>
    <t>Cheshire Correctional Institution</t>
  </si>
  <si>
    <t>Corrigan/Radgowski Correctional Institution</t>
  </si>
  <si>
    <t>Garner Correctional Institution</t>
  </si>
  <si>
    <t>MacDougall/Walker Correctional Institution</t>
  </si>
  <si>
    <t>Manson Youth Institution</t>
  </si>
  <si>
    <t>Northern Correctional Institution</t>
  </si>
  <si>
    <t>Osborn Correctional Institution</t>
  </si>
  <si>
    <t>Robinson Correctional Institution</t>
  </si>
  <si>
    <t>Willard/Cybulski Correctional Institution</t>
  </si>
  <si>
    <t>York Correctional Institution</t>
  </si>
  <si>
    <t>Children's Place School</t>
  </si>
  <si>
    <t>Riverview School</t>
  </si>
  <si>
    <t>A. I. Prince Technical High School</t>
  </si>
  <si>
    <t>CT Technical Education and Career Schools</t>
  </si>
  <si>
    <t>Bullard-Havens Technical High School</t>
  </si>
  <si>
    <t>E. C. Goodwin Technical High School</t>
  </si>
  <si>
    <t>Eli Whitney Technical High School</t>
  </si>
  <si>
    <t>Ella T. Grasso Technical High School</t>
  </si>
  <si>
    <t>Emmett O'Brien Technical High School</t>
  </si>
  <si>
    <t>H. C. Wilcox Technical High School</t>
  </si>
  <si>
    <t>H. H. Ellis Technical High School</t>
  </si>
  <si>
    <t>Henry Abbott Technical High School</t>
  </si>
  <si>
    <t>Howell Cheney Technical High School</t>
  </si>
  <si>
    <t>J. M. Wright Technical High School</t>
  </si>
  <si>
    <t>Norwich Technical High School</t>
  </si>
  <si>
    <t>Oliver Wolcott Technical High School</t>
  </si>
  <si>
    <t>Platt Technical High School</t>
  </si>
  <si>
    <t>Vinal Technical High School</t>
  </si>
  <si>
    <t>W. F. Kaynor Technical High School</t>
  </si>
  <si>
    <t>Windham Technical High School</t>
  </si>
  <si>
    <t>Norwich Free Academy</t>
  </si>
  <si>
    <t>Endowed and Incorporated Academies Schools</t>
  </si>
  <si>
    <t>The Gilbert School</t>
  </si>
  <si>
    <t>The Woodstock Academy</t>
  </si>
  <si>
    <t>State of Connecticut</t>
  </si>
  <si>
    <t>StateTot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</si>
</sst>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225"/>
  <sheetViews>
    <sheetView tabSelected="1" zoomScaleNormal="100" workbookViewId="0">
      <selection activeCell="D9" sqref="D9"/>
    </sheetView>
  </sheetViews>
  <sheetFormatPr baseColWidth="10" defaultColWidth="11.5" defaultRowHeight="13" x14ac:dyDescent="0.15"/>
  <cols>
    <col min="1" max="1" width="33.83203125" customWidth="1"/>
    <col min="2" max="2" width="59.6640625" customWidth="1"/>
    <col min="3" max="3" width="19.1640625" customWidth="1"/>
    <col min="4" max="4" width="66.83203125" customWidth="1"/>
    <col min="5" max="5" width="11.33203125" customWidth="1"/>
    <col min="6" max="6" width="39.5" customWidth="1"/>
    <col min="7" max="7" width="15.1640625" customWidth="1"/>
    <col min="8" max="8" width="15.6640625" customWidth="1"/>
    <col min="9" max="9" width="18" customWidth="1"/>
    <col min="10" max="10" width="9.83203125" customWidth="1"/>
    <col min="11" max="11" width="10.6640625" customWidth="1"/>
    <col min="12" max="12" width="17.5" customWidth="1"/>
    <col min="13" max="13" width="15.5" customWidth="1"/>
    <col min="14" max="14" width="12.6640625" customWidth="1"/>
    <col min="15" max="15" width="19" customWidth="1"/>
    <col min="16" max="16" width="16.33203125" customWidth="1"/>
    <col min="17" max="17" width="17.6640625" customWidth="1"/>
    <col min="18" max="18" width="24.6640625" customWidth="1"/>
    <col min="19" max="19" width="16.6640625" customWidth="1"/>
    <col min="20" max="20" width="18" customWidth="1"/>
    <col min="21" max="21" width="18.1640625" customWidth="1"/>
    <col min="22" max="22" width="25" customWidth="1"/>
    <col min="23" max="23" width="16.83203125" customWidth="1"/>
    <col min="24" max="24" width="18.33203125" customWidth="1"/>
    <col min="25" max="25" width="25.1640625" customWidth="1"/>
    <col min="26" max="26" width="18.5" customWidth="1"/>
    <col min="27" max="27" width="17.33203125" customWidth="1"/>
    <col min="28" max="28" width="18.6640625" customWidth="1"/>
    <col min="29" max="29" width="25.6640625" customWidth="1"/>
    <col min="30" max="30" width="15.5" customWidth="1"/>
    <col min="31" max="31" width="16.83203125" customWidth="1"/>
    <col min="32" max="32" width="23.83203125" customWidth="1"/>
    <col min="33" max="33" width="15.83203125" customWidth="1"/>
    <col min="34" max="34" width="17.1640625" customWidth="1"/>
    <col min="35" max="35" width="17.33203125" customWidth="1"/>
    <col min="36" max="36" width="24.1640625" customWidth="1"/>
    <col min="37" max="37" width="11.83203125" customWidth="1"/>
    <col min="38" max="38" width="12.5" customWidth="1"/>
    <col min="39" max="39" width="11" customWidth="1"/>
    <col min="40" max="40" width="16.33203125" customWidth="1"/>
    <col min="41" max="41" width="17.6640625" customWidth="1"/>
    <col min="42" max="42" width="24.33203125" customWidth="1"/>
    <col min="43" max="43" width="16.83203125" customWidth="1"/>
    <col min="44" max="44" width="18.33203125" customWidth="1"/>
    <col min="45" max="45" width="25" customWidth="1"/>
    <col min="46" max="46" width="16.6640625" customWidth="1"/>
    <col min="47" max="47" width="18" customWidth="1"/>
    <col min="48" max="48" width="18.1640625" customWidth="1"/>
    <col min="49" max="49" width="24.83203125" customWidth="1"/>
    <col min="50" max="50" width="17.33203125" customWidth="1"/>
    <col min="51" max="51" width="18.5" customWidth="1"/>
    <col min="52" max="52" width="18.6640625" customWidth="1"/>
    <col min="53" max="53" width="25.33203125" customWidth="1"/>
    <col min="54" max="54" width="18.6640625" customWidth="1"/>
    <col min="55" max="55" width="20" customWidth="1"/>
    <col min="56" max="56" width="27" customWidth="1"/>
    <col min="57" max="57" width="19.1640625" customWidth="1"/>
    <col min="58" max="58" width="20.5" customWidth="1"/>
    <col min="59" max="59" width="27.5" customWidth="1"/>
    <col min="60" max="60" width="15.6640625" customWidth="1"/>
    <col min="61" max="61" width="16.33203125" customWidth="1"/>
    <col min="62" max="62" width="16.6640625" customWidth="1"/>
    <col min="63" max="63" width="18" customWidth="1"/>
    <col min="64" max="64" width="16.83203125" customWidth="1"/>
    <col min="65" max="65" width="17.33203125" customWidth="1"/>
    <col min="66" max="66" width="18.5" customWidth="1"/>
    <col min="67" max="67" width="15.5" customWidth="1"/>
    <col min="68" max="68" width="15.83203125" customWidth="1"/>
    <col min="69" max="69" width="17.1640625" customWidth="1"/>
    <col min="70" max="70" width="8.83203125" customWidth="1"/>
    <col min="71" max="71" width="10.1640625" customWidth="1"/>
    <col min="72" max="72" width="17.1640625" customWidth="1"/>
    <col min="73" max="73" width="11.33203125" customWidth="1"/>
    <col min="74" max="74" width="12.6640625" customWidth="1"/>
    <col min="75" max="75" width="19.6640625" customWidth="1"/>
    <col min="76" max="76" width="8.83203125" customWidth="1"/>
    <col min="77" max="77" width="10.1640625" customWidth="1"/>
    <col min="78" max="78" width="17.1640625" customWidth="1"/>
    <col min="79" max="79" width="8.83203125" customWidth="1"/>
    <col min="80" max="80" width="10.1640625" customWidth="1"/>
    <col min="81" max="81" width="17.1640625" customWidth="1"/>
    <col min="82" max="82" width="8.83203125" customWidth="1"/>
    <col min="83" max="83" width="10" customWidth="1"/>
    <col min="84" max="84" width="17.1640625" customWidth="1"/>
    <col min="85" max="85" width="8.83203125" customWidth="1"/>
    <col min="86" max="86" width="10.1640625" customWidth="1"/>
    <col min="87" max="87" width="17.1640625" customWidth="1"/>
    <col min="88" max="88" width="12.33203125" customWidth="1"/>
    <col min="89" max="89" width="8.83203125" customWidth="1"/>
    <col min="90" max="90" width="10.1640625" customWidth="1"/>
    <col min="91" max="91" width="17.1640625" customWidth="1"/>
    <col min="92" max="92" width="9.83203125" customWidth="1"/>
    <col min="93" max="93" width="11.1640625" customWidth="1"/>
    <col min="94" max="94" width="18.1640625" customWidth="1"/>
    <col min="95" max="95" width="15.6640625" customWidth="1"/>
    <col min="96" max="96" width="19.6640625" customWidth="1"/>
    <col min="97" max="97" width="11" customWidth="1"/>
    <col min="98" max="98" width="18" customWidth="1"/>
    <col min="99" max="99" width="9.83203125" customWidth="1"/>
    <col min="100" max="100" width="11.1640625" customWidth="1"/>
    <col min="101" max="101" width="18.1640625" customWidth="1"/>
    <col min="102" max="102" width="14.5" customWidth="1"/>
    <col min="103" max="103" width="15.83203125" customWidth="1"/>
    <col min="104" max="104" width="17.1640625" customWidth="1"/>
    <col min="105" max="105" width="16.6640625" customWidth="1"/>
    <col min="106" max="106" width="17.1640625" customWidth="1"/>
    <col min="107" max="107" width="15.83203125" customWidth="1"/>
    <col min="108" max="108" width="18" customWidth="1"/>
    <col min="109" max="109" width="16" customWidth="1"/>
    <col min="110" max="110" width="10.5" customWidth="1"/>
    <col min="111" max="111" width="64.5" customWidth="1"/>
    <col min="112" max="112" width="18.33203125" customWidth="1"/>
    <col min="113" max="113" width="97" customWidth="1"/>
    <col min="114" max="114" width="8" customWidth="1"/>
    <col min="115" max="115" width="12.6640625" customWidth="1"/>
    <col min="116" max="116" width="13.33203125" customWidth="1"/>
    <col min="117" max="117" width="12" customWidth="1"/>
    <col min="118" max="118" width="12.5" customWidth="1"/>
    <col min="119" max="119" width="8.1640625" customWidth="1"/>
    <col min="120" max="120" width="11.6640625" customWidth="1"/>
    <col min="121" max="121" width="10.33203125" customWidth="1"/>
  </cols>
  <sheetData>
    <row r="1" spans="1:121" x14ac:dyDescent="0.15">
      <c r="A1" t="s">
        <v>0</v>
      </c>
    </row>
    <row r="3" spans="1:12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</row>
    <row r="4" spans="1:121" x14ac:dyDescent="0.15">
      <c r="A4">
        <v>2018</v>
      </c>
      <c r="B4" t="s">
        <v>122</v>
      </c>
      <c r="C4" t="str">
        <f>"0150011"</f>
        <v>0150011</v>
      </c>
      <c r="D4" t="s">
        <v>123</v>
      </c>
      <c r="E4" t="str">
        <f t="shared" ref="E4:E204" si="0">"0000000"</f>
        <v>0000000</v>
      </c>
      <c r="F4" t="s">
        <v>123</v>
      </c>
      <c r="G4" t="s">
        <v>123</v>
      </c>
      <c r="H4" t="s">
        <v>123</v>
      </c>
      <c r="J4" t="s">
        <v>124</v>
      </c>
      <c r="K4">
        <v>887.21770000000004</v>
      </c>
      <c r="L4">
        <v>1450</v>
      </c>
      <c r="M4">
        <v>61.187427999999997</v>
      </c>
      <c r="N4" t="s">
        <v>125</v>
      </c>
      <c r="O4">
        <v>0</v>
      </c>
      <c r="P4">
        <v>54.307437999999998</v>
      </c>
      <c r="Q4">
        <v>36.204957999999998</v>
      </c>
      <c r="R4">
        <v>50</v>
      </c>
      <c r="S4">
        <v>52.315897999999997</v>
      </c>
      <c r="T4">
        <v>63.412596000000001</v>
      </c>
      <c r="U4">
        <v>34.877265000000001</v>
      </c>
      <c r="V4">
        <v>50</v>
      </c>
      <c r="W4">
        <v>46.399853</v>
      </c>
      <c r="X4">
        <v>30.933235</v>
      </c>
      <c r="Y4">
        <v>50</v>
      </c>
      <c r="Z4">
        <v>54.813437</v>
      </c>
      <c r="AA4">
        <v>44.559283000000001</v>
      </c>
      <c r="AB4">
        <v>29.706188999999998</v>
      </c>
      <c r="AC4">
        <v>50</v>
      </c>
      <c r="AD4">
        <v>48.663266999999998</v>
      </c>
      <c r="AE4">
        <v>32.442177999999998</v>
      </c>
      <c r="AF4">
        <v>50</v>
      </c>
      <c r="AG4">
        <v>46.902611999999998</v>
      </c>
      <c r="AH4">
        <v>55.517812999999997</v>
      </c>
      <c r="AI4">
        <v>31.268408000000001</v>
      </c>
      <c r="AJ4">
        <v>50</v>
      </c>
      <c r="AK4">
        <v>11.09</v>
      </c>
      <c r="AL4">
        <v>10.25</v>
      </c>
      <c r="AM4">
        <v>8.61</v>
      </c>
      <c r="AN4">
        <v>0.53382099999999999</v>
      </c>
      <c r="AO4">
        <v>53.382088000000003</v>
      </c>
      <c r="AP4">
        <v>100</v>
      </c>
      <c r="AQ4">
        <v>0.52615299999999998</v>
      </c>
      <c r="AR4">
        <v>52.615276000000001</v>
      </c>
      <c r="AS4">
        <v>100</v>
      </c>
      <c r="AT4">
        <v>0.52443899999999999</v>
      </c>
      <c r="AU4">
        <v>0.57599800000000001</v>
      </c>
      <c r="AV4">
        <v>52.443913999999999</v>
      </c>
      <c r="AW4">
        <v>100</v>
      </c>
      <c r="AX4">
        <v>0.51794399999999996</v>
      </c>
      <c r="AY4">
        <v>0.56301000000000001</v>
      </c>
      <c r="AZ4">
        <v>51.794437000000002</v>
      </c>
      <c r="BA4">
        <v>100</v>
      </c>
      <c r="BB4">
        <v>0.53875300000000004</v>
      </c>
      <c r="BC4">
        <v>26.937667999999999</v>
      </c>
      <c r="BD4">
        <v>50</v>
      </c>
      <c r="BE4">
        <v>0.46003100000000002</v>
      </c>
      <c r="BF4">
        <v>23.001546999999999</v>
      </c>
      <c r="BG4">
        <v>50</v>
      </c>
      <c r="BH4">
        <v>0</v>
      </c>
      <c r="BI4">
        <v>0.98691700000000004</v>
      </c>
      <c r="BJ4">
        <v>0.98550899999999997</v>
      </c>
      <c r="BK4">
        <v>0.99360000000000004</v>
      </c>
      <c r="BL4">
        <v>0.98624500000000004</v>
      </c>
      <c r="BM4">
        <v>0.98492299999999999</v>
      </c>
      <c r="BN4">
        <v>0.99252099999999999</v>
      </c>
      <c r="BO4">
        <v>0.97477599999999998</v>
      </c>
      <c r="BP4">
        <v>0.972418</v>
      </c>
      <c r="BQ4">
        <v>0.98441199999999995</v>
      </c>
      <c r="BR4">
        <v>0.18839700000000001</v>
      </c>
      <c r="BS4">
        <v>22.320616999999999</v>
      </c>
      <c r="BT4">
        <v>50</v>
      </c>
      <c r="BU4">
        <v>0.208208</v>
      </c>
      <c r="BV4">
        <v>18.358471999999999</v>
      </c>
      <c r="BW4">
        <v>50</v>
      </c>
      <c r="BX4">
        <v>0.54727199999999998</v>
      </c>
      <c r="BY4">
        <v>36.484797999999998</v>
      </c>
      <c r="BZ4">
        <v>50</v>
      </c>
      <c r="CA4">
        <v>0.16868</v>
      </c>
      <c r="CB4">
        <v>11.245314</v>
      </c>
      <c r="CC4">
        <v>50</v>
      </c>
      <c r="CD4">
        <v>0.71330899999999997</v>
      </c>
      <c r="CE4">
        <v>37.941986999999997</v>
      </c>
      <c r="CF4">
        <v>50</v>
      </c>
      <c r="CG4">
        <v>0.75103699999999995</v>
      </c>
      <c r="CH4">
        <v>79.897589999999994</v>
      </c>
      <c r="CI4">
        <v>100</v>
      </c>
      <c r="CJ4">
        <v>0</v>
      </c>
      <c r="CK4">
        <v>0.73131000000000002</v>
      </c>
      <c r="CL4">
        <v>77.798951000000002</v>
      </c>
      <c r="CM4">
        <v>100</v>
      </c>
      <c r="CN4">
        <v>0.60399999999999998</v>
      </c>
      <c r="CO4">
        <v>80.592592999999994</v>
      </c>
      <c r="CP4">
        <v>100</v>
      </c>
      <c r="CQ4">
        <v>0.52303599999999995</v>
      </c>
      <c r="CR4">
        <v>0.97199199999999997</v>
      </c>
      <c r="CS4">
        <v>34.869045999999997</v>
      </c>
      <c r="CT4">
        <v>50</v>
      </c>
      <c r="CU4">
        <v>0.385214</v>
      </c>
      <c r="CV4">
        <v>32.101166999999997</v>
      </c>
      <c r="CW4">
        <v>50</v>
      </c>
      <c r="CX4">
        <v>0.73131000000000002</v>
      </c>
      <c r="CY4" t="s">
        <v>125</v>
      </c>
      <c r="CZ4" t="s">
        <v>125</v>
      </c>
      <c r="DA4">
        <v>15.389535</v>
      </c>
      <c r="DB4">
        <v>17.608319000000002</v>
      </c>
      <c r="DC4">
        <v>16.064022999999999</v>
      </c>
      <c r="DD4">
        <v>11.115401</v>
      </c>
      <c r="DE4" t="s">
        <v>125</v>
      </c>
      <c r="DJ4" t="s">
        <v>125</v>
      </c>
      <c r="DK4" t="s">
        <v>125</v>
      </c>
      <c r="DL4" t="s">
        <v>125</v>
      </c>
      <c r="DM4" t="s">
        <v>125</v>
      </c>
      <c r="DN4" t="s">
        <v>125</v>
      </c>
      <c r="DO4" t="s">
        <v>125</v>
      </c>
      <c r="DQ4" t="s">
        <v>126</v>
      </c>
    </row>
    <row r="5" spans="1:121" x14ac:dyDescent="0.15">
      <c r="A5">
        <v>2018</v>
      </c>
      <c r="B5" t="s">
        <v>127</v>
      </c>
      <c r="C5" t="str">
        <f>"0180011"</f>
        <v>0180011</v>
      </c>
      <c r="D5" t="s">
        <v>123</v>
      </c>
      <c r="E5" t="str">
        <f t="shared" si="0"/>
        <v>0000000</v>
      </c>
      <c r="F5" t="s">
        <v>123</v>
      </c>
      <c r="G5" t="s">
        <v>123</v>
      </c>
      <c r="H5" t="s">
        <v>123</v>
      </c>
      <c r="J5" t="s">
        <v>124</v>
      </c>
      <c r="K5">
        <v>1229.0023630000001</v>
      </c>
      <c r="L5">
        <v>1450</v>
      </c>
      <c r="M5">
        <v>84.758784000000006</v>
      </c>
      <c r="N5" t="s">
        <v>125</v>
      </c>
      <c r="O5">
        <v>0</v>
      </c>
      <c r="P5">
        <v>72.999046000000007</v>
      </c>
      <c r="Q5">
        <v>48.666029999999999</v>
      </c>
      <c r="R5">
        <v>50</v>
      </c>
      <c r="S5">
        <v>62.753655000000002</v>
      </c>
      <c r="T5">
        <v>75</v>
      </c>
      <c r="U5">
        <v>41.835769999999997</v>
      </c>
      <c r="V5">
        <v>50</v>
      </c>
      <c r="W5">
        <v>70.562889999999996</v>
      </c>
      <c r="X5">
        <v>47.041925999999997</v>
      </c>
      <c r="Y5">
        <v>50</v>
      </c>
      <c r="Z5">
        <v>75</v>
      </c>
      <c r="AA5">
        <v>61.299163</v>
      </c>
      <c r="AB5">
        <v>40.866109000000002</v>
      </c>
      <c r="AC5">
        <v>50</v>
      </c>
      <c r="AD5">
        <v>70.584306999999995</v>
      </c>
      <c r="AE5">
        <v>47.056204999999999</v>
      </c>
      <c r="AF5">
        <v>50</v>
      </c>
      <c r="AG5">
        <v>61.342722999999999</v>
      </c>
      <c r="AH5">
        <v>75</v>
      </c>
      <c r="AI5">
        <v>40.895147999999999</v>
      </c>
      <c r="AJ5">
        <v>50</v>
      </c>
      <c r="AK5">
        <v>12.24</v>
      </c>
      <c r="AL5">
        <v>13.7</v>
      </c>
      <c r="AM5">
        <v>13.65</v>
      </c>
      <c r="AN5">
        <v>0.65032100000000004</v>
      </c>
      <c r="AO5">
        <v>65.032111999999998</v>
      </c>
      <c r="AP5">
        <v>100</v>
      </c>
      <c r="AQ5">
        <v>0.76744999999999997</v>
      </c>
      <c r="AR5">
        <v>76.745034000000004</v>
      </c>
      <c r="AS5">
        <v>100</v>
      </c>
      <c r="AT5">
        <v>0.57708599999999999</v>
      </c>
      <c r="AU5">
        <v>0.68214200000000003</v>
      </c>
      <c r="AV5">
        <v>57.708570999999999</v>
      </c>
      <c r="AW5">
        <v>100</v>
      </c>
      <c r="AX5">
        <v>0.73893500000000001</v>
      </c>
      <c r="AY5">
        <v>0.77976900000000005</v>
      </c>
      <c r="AZ5">
        <v>73.893522000000004</v>
      </c>
      <c r="BA5">
        <v>100</v>
      </c>
      <c r="BB5">
        <v>0.79159500000000005</v>
      </c>
      <c r="BC5">
        <v>39.579732</v>
      </c>
      <c r="BD5">
        <v>50</v>
      </c>
      <c r="BE5">
        <v>0.62793299999999996</v>
      </c>
      <c r="BF5">
        <v>31.396661999999999</v>
      </c>
      <c r="BG5">
        <v>50</v>
      </c>
      <c r="BH5">
        <v>0</v>
      </c>
      <c r="BI5">
        <v>0.96348299999999998</v>
      </c>
      <c r="BJ5">
        <v>0.95501000000000003</v>
      </c>
      <c r="BK5">
        <v>0.96791400000000005</v>
      </c>
      <c r="BL5">
        <v>0.96137600000000001</v>
      </c>
      <c r="BM5">
        <v>0.95091999999999999</v>
      </c>
      <c r="BN5">
        <v>0.96684499999999995</v>
      </c>
      <c r="BO5">
        <v>0.96864700000000004</v>
      </c>
      <c r="BP5">
        <v>0.97073200000000004</v>
      </c>
      <c r="BQ5">
        <v>0.96758100000000002</v>
      </c>
      <c r="BR5">
        <v>4.6959000000000001E-2</v>
      </c>
      <c r="BS5">
        <v>50</v>
      </c>
      <c r="BT5">
        <v>50</v>
      </c>
      <c r="BU5">
        <v>8.3028000000000005E-2</v>
      </c>
      <c r="BV5">
        <v>43.394382999999998</v>
      </c>
      <c r="BW5">
        <v>50</v>
      </c>
      <c r="BX5">
        <v>0.94724200000000003</v>
      </c>
      <c r="BY5">
        <v>50</v>
      </c>
      <c r="BZ5">
        <v>50</v>
      </c>
      <c r="CA5">
        <v>0.68345299999999998</v>
      </c>
      <c r="CB5">
        <v>45.563549000000002</v>
      </c>
      <c r="CC5">
        <v>50</v>
      </c>
      <c r="CD5">
        <v>0.95698899999999998</v>
      </c>
      <c r="CE5">
        <v>50</v>
      </c>
      <c r="CF5">
        <v>50</v>
      </c>
      <c r="CG5">
        <v>0.96226400000000001</v>
      </c>
      <c r="CH5">
        <v>100</v>
      </c>
      <c r="CI5">
        <v>100</v>
      </c>
      <c r="CJ5">
        <v>0</v>
      </c>
      <c r="CK5">
        <v>0.90196100000000001</v>
      </c>
      <c r="CL5">
        <v>95.953275000000005</v>
      </c>
      <c r="CM5">
        <v>100</v>
      </c>
      <c r="CN5">
        <v>0.86499999999999999</v>
      </c>
      <c r="CO5">
        <v>100</v>
      </c>
      <c r="CP5">
        <v>100</v>
      </c>
      <c r="CQ5">
        <v>0.50061500000000003</v>
      </c>
      <c r="CR5">
        <v>0.98545499999999997</v>
      </c>
      <c r="CS5">
        <v>33.374333999999998</v>
      </c>
      <c r="CT5">
        <v>50</v>
      </c>
      <c r="CU5">
        <v>0.60295799999999999</v>
      </c>
      <c r="CV5">
        <v>50</v>
      </c>
      <c r="CW5">
        <v>50</v>
      </c>
      <c r="CX5">
        <v>0.90196100000000001</v>
      </c>
      <c r="CY5">
        <v>0.94</v>
      </c>
      <c r="CZ5">
        <v>3.8039000000000003E-2</v>
      </c>
      <c r="DA5">
        <v>15.389535</v>
      </c>
      <c r="DB5">
        <v>17.608319000000002</v>
      </c>
      <c r="DC5">
        <v>16.064022999999999</v>
      </c>
      <c r="DD5">
        <v>11.115401</v>
      </c>
      <c r="DE5" t="s">
        <v>125</v>
      </c>
      <c r="DJ5" t="s">
        <v>125</v>
      </c>
      <c r="DK5" t="s">
        <v>125</v>
      </c>
      <c r="DL5" t="s">
        <v>125</v>
      </c>
      <c r="DM5" t="s">
        <v>125</v>
      </c>
      <c r="DN5" t="s">
        <v>125</v>
      </c>
      <c r="DO5" t="s">
        <v>125</v>
      </c>
      <c r="DQ5" t="s">
        <v>126</v>
      </c>
    </row>
    <row r="6" spans="1:121" x14ac:dyDescent="0.15">
      <c r="A6">
        <v>2018</v>
      </c>
      <c r="B6" t="s">
        <v>128</v>
      </c>
      <c r="C6" t="str">
        <f>"0390011"</f>
        <v>0390011</v>
      </c>
      <c r="D6" t="s">
        <v>123</v>
      </c>
      <c r="E6" t="str">
        <f t="shared" si="0"/>
        <v>0000000</v>
      </c>
      <c r="F6" t="s">
        <v>123</v>
      </c>
      <c r="G6" t="s">
        <v>123</v>
      </c>
      <c r="H6" t="s">
        <v>123</v>
      </c>
      <c r="J6" t="s">
        <v>124</v>
      </c>
      <c r="K6">
        <v>607.31827099999998</v>
      </c>
      <c r="L6">
        <v>800</v>
      </c>
      <c r="M6">
        <v>75.914783999999997</v>
      </c>
      <c r="N6" t="s">
        <v>125</v>
      </c>
      <c r="O6">
        <v>0</v>
      </c>
      <c r="P6">
        <v>71.095335000000006</v>
      </c>
      <c r="Q6">
        <v>47.396889999999999</v>
      </c>
      <c r="R6">
        <v>50</v>
      </c>
      <c r="S6">
        <v>66.505219999999994</v>
      </c>
      <c r="T6">
        <v>75</v>
      </c>
      <c r="U6">
        <v>44.336812999999999</v>
      </c>
      <c r="V6">
        <v>50</v>
      </c>
      <c r="W6">
        <v>69.862830000000002</v>
      </c>
      <c r="X6">
        <v>46.575220000000002</v>
      </c>
      <c r="Y6">
        <v>50</v>
      </c>
      <c r="Z6">
        <v>74.345657000000003</v>
      </c>
      <c r="AA6">
        <v>64.614641000000006</v>
      </c>
      <c r="AB6">
        <v>43.076427000000002</v>
      </c>
      <c r="AC6">
        <v>50</v>
      </c>
      <c r="AD6">
        <v>63.388733000000002</v>
      </c>
      <c r="AE6">
        <v>42.259155</v>
      </c>
      <c r="AF6">
        <v>50</v>
      </c>
      <c r="AG6" t="s">
        <v>125</v>
      </c>
      <c r="AH6">
        <v>66.355951000000005</v>
      </c>
      <c r="AI6" t="s">
        <v>125</v>
      </c>
      <c r="AJ6" t="s">
        <v>125</v>
      </c>
      <c r="AK6">
        <v>8.49</v>
      </c>
      <c r="AL6">
        <v>9.73</v>
      </c>
      <c r="AM6" t="s">
        <v>125</v>
      </c>
      <c r="AN6">
        <v>0.53627100000000005</v>
      </c>
      <c r="AO6">
        <v>53.627130999999999</v>
      </c>
      <c r="AP6">
        <v>100</v>
      </c>
      <c r="AQ6">
        <v>0.67723199999999995</v>
      </c>
      <c r="AR6">
        <v>67.723198999999994</v>
      </c>
      <c r="AS6">
        <v>100</v>
      </c>
      <c r="AT6">
        <v>0.53748300000000004</v>
      </c>
      <c r="AU6">
        <v>0.53512199999999999</v>
      </c>
      <c r="AV6">
        <v>53.748272</v>
      </c>
      <c r="AW6">
        <v>100</v>
      </c>
      <c r="AX6">
        <v>0.674404</v>
      </c>
      <c r="AY6">
        <v>0.67991500000000005</v>
      </c>
      <c r="AZ6">
        <v>67.440411999999995</v>
      </c>
      <c r="BA6">
        <v>100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 t="s">
        <v>125</v>
      </c>
      <c r="BQ6">
        <v>1</v>
      </c>
      <c r="BR6">
        <v>4.1096000000000001E-2</v>
      </c>
      <c r="BS6">
        <v>50</v>
      </c>
      <c r="BT6">
        <v>50</v>
      </c>
      <c r="BU6">
        <v>4.4117999999999997E-2</v>
      </c>
      <c r="BV6">
        <v>50</v>
      </c>
      <c r="BW6">
        <v>50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>
        <v>0.61702100000000004</v>
      </c>
      <c r="CR6">
        <v>0.94</v>
      </c>
      <c r="CS6">
        <v>41.134751999999999</v>
      </c>
      <c r="CT6">
        <v>50</v>
      </c>
      <c r="CU6" t="s">
        <v>125</v>
      </c>
      <c r="CV6" t="s">
        <v>125</v>
      </c>
      <c r="CW6" t="s">
        <v>125</v>
      </c>
      <c r="CX6" t="s">
        <v>125</v>
      </c>
      <c r="CY6" t="s">
        <v>125</v>
      </c>
      <c r="CZ6" t="s">
        <v>125</v>
      </c>
      <c r="DA6">
        <v>15.389535</v>
      </c>
      <c r="DB6">
        <v>17.608319000000002</v>
      </c>
      <c r="DC6">
        <v>16.064022999999999</v>
      </c>
      <c r="DD6" t="s">
        <v>125</v>
      </c>
      <c r="DE6" t="s">
        <v>125</v>
      </c>
      <c r="DJ6" t="s">
        <v>125</v>
      </c>
      <c r="DK6" t="s">
        <v>125</v>
      </c>
      <c r="DL6" t="s">
        <v>125</v>
      </c>
      <c r="DM6" t="s">
        <v>125</v>
      </c>
      <c r="DN6" t="s">
        <v>125</v>
      </c>
      <c r="DO6" t="s">
        <v>125</v>
      </c>
      <c r="DQ6" t="s">
        <v>126</v>
      </c>
    </row>
    <row r="7" spans="1:121" x14ac:dyDescent="0.15">
      <c r="A7">
        <v>2018</v>
      </c>
      <c r="B7" t="s">
        <v>129</v>
      </c>
      <c r="C7" t="str">
        <f>"0410011"</f>
        <v>0410011</v>
      </c>
      <c r="D7" t="s">
        <v>123</v>
      </c>
      <c r="E7" t="str">
        <f t="shared" si="0"/>
        <v>0000000</v>
      </c>
      <c r="F7" t="s">
        <v>123</v>
      </c>
      <c r="G7" t="s">
        <v>123</v>
      </c>
      <c r="H7" t="s">
        <v>123</v>
      </c>
      <c r="J7" t="s">
        <v>124</v>
      </c>
      <c r="K7">
        <v>1109.746333</v>
      </c>
      <c r="L7">
        <v>1350</v>
      </c>
      <c r="M7">
        <v>82.203432000000006</v>
      </c>
      <c r="N7" t="s">
        <v>125</v>
      </c>
      <c r="O7">
        <v>0</v>
      </c>
      <c r="P7">
        <v>73.938706999999994</v>
      </c>
      <c r="Q7">
        <v>49.292470999999999</v>
      </c>
      <c r="R7">
        <v>50</v>
      </c>
      <c r="S7">
        <v>65.331518000000003</v>
      </c>
      <c r="T7">
        <v>75</v>
      </c>
      <c r="U7">
        <v>43.554344999999998</v>
      </c>
      <c r="V7">
        <v>50</v>
      </c>
      <c r="W7">
        <v>67.616928999999999</v>
      </c>
      <c r="X7">
        <v>45.077953000000001</v>
      </c>
      <c r="Y7">
        <v>50</v>
      </c>
      <c r="Z7">
        <v>72.274795999999995</v>
      </c>
      <c r="AA7">
        <v>58.801192999999998</v>
      </c>
      <c r="AB7">
        <v>39.200795999999997</v>
      </c>
      <c r="AC7">
        <v>50</v>
      </c>
      <c r="AD7">
        <v>67.636978999999997</v>
      </c>
      <c r="AE7">
        <v>45.091318999999999</v>
      </c>
      <c r="AF7">
        <v>50</v>
      </c>
      <c r="AG7">
        <v>59.688701000000002</v>
      </c>
      <c r="AH7">
        <v>70.836285000000004</v>
      </c>
      <c r="AI7">
        <v>39.792468</v>
      </c>
      <c r="AJ7">
        <v>50</v>
      </c>
      <c r="AK7">
        <v>9.66</v>
      </c>
      <c r="AL7">
        <v>13.47</v>
      </c>
      <c r="AM7">
        <v>11.14</v>
      </c>
      <c r="AN7">
        <v>0.66315199999999996</v>
      </c>
      <c r="AO7">
        <v>66.315207999999998</v>
      </c>
      <c r="AP7">
        <v>100</v>
      </c>
      <c r="AQ7">
        <v>0.66435299999999997</v>
      </c>
      <c r="AR7">
        <v>66.435276999999999</v>
      </c>
      <c r="AS7">
        <v>100</v>
      </c>
      <c r="AT7">
        <v>0.63939299999999999</v>
      </c>
      <c r="AU7">
        <v>0.67554800000000004</v>
      </c>
      <c r="AV7">
        <v>63.939292999999999</v>
      </c>
      <c r="AW7">
        <v>100</v>
      </c>
      <c r="AX7">
        <v>0.643841</v>
      </c>
      <c r="AY7">
        <v>0.67501500000000003</v>
      </c>
      <c r="AZ7">
        <v>64.384140000000002</v>
      </c>
      <c r="BA7">
        <v>100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125</v>
      </c>
      <c r="BH7">
        <v>0</v>
      </c>
      <c r="BI7">
        <v>0.99245300000000003</v>
      </c>
      <c r="BJ7">
        <v>1</v>
      </c>
      <c r="BK7">
        <v>0.98840600000000001</v>
      </c>
      <c r="BL7">
        <v>0.98301899999999998</v>
      </c>
      <c r="BM7">
        <v>0.98918899999999998</v>
      </c>
      <c r="BN7">
        <v>0.97970999999999997</v>
      </c>
      <c r="BO7">
        <v>0.99557499999999999</v>
      </c>
      <c r="BP7">
        <v>1</v>
      </c>
      <c r="BQ7">
        <v>0.99375000000000002</v>
      </c>
      <c r="BR7">
        <v>4.1965000000000002E-2</v>
      </c>
      <c r="BS7">
        <v>50</v>
      </c>
      <c r="BT7">
        <v>50</v>
      </c>
      <c r="BU7">
        <v>6.7873000000000003E-2</v>
      </c>
      <c r="BV7">
        <v>46.425339000000001</v>
      </c>
      <c r="BW7">
        <v>50</v>
      </c>
      <c r="BX7">
        <v>0.980769</v>
      </c>
      <c r="BY7">
        <v>50</v>
      </c>
      <c r="BZ7">
        <v>50</v>
      </c>
      <c r="CA7">
        <v>0.50641000000000003</v>
      </c>
      <c r="CB7">
        <v>33.760683999999998</v>
      </c>
      <c r="CC7">
        <v>50</v>
      </c>
      <c r="CD7">
        <v>1</v>
      </c>
      <c r="CE7">
        <v>50</v>
      </c>
      <c r="CF7">
        <v>50</v>
      </c>
      <c r="CG7">
        <v>0.92857100000000004</v>
      </c>
      <c r="CH7">
        <v>98.784194999999997</v>
      </c>
      <c r="CI7">
        <v>100</v>
      </c>
      <c r="CJ7">
        <v>0</v>
      </c>
      <c r="CK7">
        <v>0.91304300000000005</v>
      </c>
      <c r="CL7">
        <v>97.132284999999996</v>
      </c>
      <c r="CM7">
        <v>100</v>
      </c>
      <c r="CN7">
        <v>0.55600000000000005</v>
      </c>
      <c r="CO7">
        <v>74.074073999999996</v>
      </c>
      <c r="CP7">
        <v>100</v>
      </c>
      <c r="CQ7">
        <v>0.54729700000000003</v>
      </c>
      <c r="CR7">
        <v>0.94267500000000004</v>
      </c>
      <c r="CS7">
        <v>36.486485999999999</v>
      </c>
      <c r="CT7">
        <v>50</v>
      </c>
      <c r="CU7">
        <v>0.69062500000000004</v>
      </c>
      <c r="CV7">
        <v>50</v>
      </c>
      <c r="CW7">
        <v>50</v>
      </c>
      <c r="CX7">
        <v>0.91304300000000005</v>
      </c>
      <c r="CY7">
        <v>0.94</v>
      </c>
      <c r="CZ7">
        <v>2.6956999999999998E-2</v>
      </c>
      <c r="DA7">
        <v>15.389535</v>
      </c>
      <c r="DB7">
        <v>17.608319000000002</v>
      </c>
      <c r="DC7">
        <v>16.064022999999999</v>
      </c>
      <c r="DD7">
        <v>11.115401</v>
      </c>
      <c r="DE7" t="s">
        <v>125</v>
      </c>
      <c r="DJ7" t="s">
        <v>125</v>
      </c>
      <c r="DK7" t="s">
        <v>125</v>
      </c>
      <c r="DL7" t="s">
        <v>125</v>
      </c>
      <c r="DM7" t="s">
        <v>125</v>
      </c>
      <c r="DN7" t="s">
        <v>125</v>
      </c>
      <c r="DO7" t="s">
        <v>125</v>
      </c>
      <c r="DQ7" t="s">
        <v>126</v>
      </c>
    </row>
    <row r="8" spans="1:121" x14ac:dyDescent="0.15">
      <c r="A8">
        <v>2018</v>
      </c>
      <c r="B8" t="s">
        <v>130</v>
      </c>
      <c r="C8" t="str">
        <f>"0480011"</f>
        <v>0480011</v>
      </c>
      <c r="D8" t="s">
        <v>123</v>
      </c>
      <c r="E8" t="str">
        <f t="shared" si="0"/>
        <v>0000000</v>
      </c>
      <c r="F8" t="s">
        <v>123</v>
      </c>
      <c r="G8" t="s">
        <v>123</v>
      </c>
      <c r="H8" t="s">
        <v>123</v>
      </c>
      <c r="J8" t="s">
        <v>124</v>
      </c>
      <c r="K8">
        <v>1173.431429</v>
      </c>
      <c r="L8">
        <v>1450</v>
      </c>
      <c r="M8">
        <v>80.926304999999999</v>
      </c>
      <c r="N8" t="s">
        <v>125</v>
      </c>
      <c r="O8">
        <v>1</v>
      </c>
      <c r="P8">
        <v>73.156119000000004</v>
      </c>
      <c r="Q8">
        <v>48.770746000000003</v>
      </c>
      <c r="R8">
        <v>50</v>
      </c>
      <c r="S8">
        <v>60.155918</v>
      </c>
      <c r="T8">
        <v>75</v>
      </c>
      <c r="U8">
        <v>40.103945000000003</v>
      </c>
      <c r="V8">
        <v>50</v>
      </c>
      <c r="W8">
        <v>70.453717999999995</v>
      </c>
      <c r="X8">
        <v>46.969146000000002</v>
      </c>
      <c r="Y8">
        <v>50</v>
      </c>
      <c r="Z8">
        <v>75</v>
      </c>
      <c r="AA8">
        <v>56.537382999999998</v>
      </c>
      <c r="AB8">
        <v>37.691589</v>
      </c>
      <c r="AC8">
        <v>50</v>
      </c>
      <c r="AD8">
        <v>72.302272000000002</v>
      </c>
      <c r="AE8">
        <v>48.201515000000001</v>
      </c>
      <c r="AF8">
        <v>50</v>
      </c>
      <c r="AG8">
        <v>61.279905999999997</v>
      </c>
      <c r="AH8">
        <v>75</v>
      </c>
      <c r="AI8">
        <v>40.853270999999999</v>
      </c>
      <c r="AJ8">
        <v>50</v>
      </c>
      <c r="AK8">
        <v>14.84</v>
      </c>
      <c r="AL8">
        <v>18.46</v>
      </c>
      <c r="AM8">
        <v>13.72</v>
      </c>
      <c r="AN8">
        <v>0.59501000000000004</v>
      </c>
      <c r="AO8">
        <v>59.500951000000001</v>
      </c>
      <c r="AP8">
        <v>100</v>
      </c>
      <c r="AQ8">
        <v>0.681508</v>
      </c>
      <c r="AR8">
        <v>68.150830999999997</v>
      </c>
      <c r="AS8">
        <v>100</v>
      </c>
      <c r="AT8">
        <v>0.56111100000000003</v>
      </c>
      <c r="AU8">
        <v>0.60730700000000004</v>
      </c>
      <c r="AV8">
        <v>56.111061999999997</v>
      </c>
      <c r="AW8">
        <v>100</v>
      </c>
      <c r="AX8">
        <v>0.62720299999999995</v>
      </c>
      <c r="AY8">
        <v>0.70096599999999998</v>
      </c>
      <c r="AZ8">
        <v>62.720297000000002</v>
      </c>
      <c r="BA8">
        <v>100</v>
      </c>
      <c r="BB8">
        <v>0.78707000000000005</v>
      </c>
      <c r="BC8">
        <v>39.353495000000002</v>
      </c>
      <c r="BD8">
        <v>50</v>
      </c>
      <c r="BE8">
        <v>0.65563099999999996</v>
      </c>
      <c r="BF8">
        <v>32.781548999999998</v>
      </c>
      <c r="BG8">
        <v>50</v>
      </c>
      <c r="BH8">
        <v>0</v>
      </c>
      <c r="BI8">
        <v>0.99015500000000001</v>
      </c>
      <c r="BJ8">
        <v>0.97841699999999998</v>
      </c>
      <c r="BK8">
        <v>0.99502500000000005</v>
      </c>
      <c r="BL8">
        <v>0.99015500000000001</v>
      </c>
      <c r="BM8">
        <v>0.97841699999999998</v>
      </c>
      <c r="BN8">
        <v>0.99502500000000005</v>
      </c>
      <c r="BO8">
        <v>0.98694899999999997</v>
      </c>
      <c r="BP8">
        <v>0.96470599999999995</v>
      </c>
      <c r="BQ8">
        <v>0.99548499999999995</v>
      </c>
      <c r="BR8">
        <v>7.5465000000000004E-2</v>
      </c>
      <c r="BS8">
        <v>44.907091000000001</v>
      </c>
      <c r="BT8">
        <v>50</v>
      </c>
      <c r="BU8">
        <v>0.160167</v>
      </c>
      <c r="BV8">
        <v>27.966574000000001</v>
      </c>
      <c r="BW8">
        <v>50</v>
      </c>
      <c r="BX8">
        <v>0.94559599999999999</v>
      </c>
      <c r="BY8">
        <v>50</v>
      </c>
      <c r="BZ8">
        <v>50</v>
      </c>
      <c r="CA8">
        <v>0.531088</v>
      </c>
      <c r="CB8">
        <v>35.405872000000002</v>
      </c>
      <c r="CC8">
        <v>50</v>
      </c>
      <c r="CD8">
        <v>0.95724500000000001</v>
      </c>
      <c r="CE8">
        <v>50</v>
      </c>
      <c r="CF8">
        <v>50</v>
      </c>
      <c r="CG8">
        <v>0.96685100000000002</v>
      </c>
      <c r="CH8">
        <v>100</v>
      </c>
      <c r="CI8">
        <v>100</v>
      </c>
      <c r="CJ8">
        <v>0</v>
      </c>
      <c r="CK8">
        <v>0.91428600000000004</v>
      </c>
      <c r="CL8">
        <v>97.264437999999998</v>
      </c>
      <c r="CM8">
        <v>100</v>
      </c>
      <c r="CN8">
        <v>0.75700000000000001</v>
      </c>
      <c r="CO8">
        <v>100</v>
      </c>
      <c r="CP8">
        <v>100</v>
      </c>
      <c r="CQ8">
        <v>0.55018599999999995</v>
      </c>
      <c r="CR8">
        <v>0.98655300000000001</v>
      </c>
      <c r="CS8">
        <v>36.679057999999998</v>
      </c>
      <c r="CT8">
        <v>50</v>
      </c>
      <c r="CU8">
        <v>0.6</v>
      </c>
      <c r="CV8">
        <v>50</v>
      </c>
      <c r="CW8">
        <v>50</v>
      </c>
      <c r="CX8">
        <v>0.91428600000000004</v>
      </c>
      <c r="CY8">
        <v>0.94</v>
      </c>
      <c r="CZ8">
        <v>2.5714000000000001E-2</v>
      </c>
      <c r="DA8">
        <v>15.389535</v>
      </c>
      <c r="DB8">
        <v>17.608319000000002</v>
      </c>
      <c r="DC8">
        <v>16.064022999999999</v>
      </c>
      <c r="DD8">
        <v>11.115401</v>
      </c>
      <c r="DE8" t="s">
        <v>125</v>
      </c>
      <c r="DJ8" t="s">
        <v>125</v>
      </c>
      <c r="DK8" t="s">
        <v>125</v>
      </c>
      <c r="DL8" t="s">
        <v>125</v>
      </c>
      <c r="DM8" t="s">
        <v>125</v>
      </c>
      <c r="DN8" t="s">
        <v>125</v>
      </c>
      <c r="DO8" t="s">
        <v>125</v>
      </c>
      <c r="DQ8" t="s">
        <v>126</v>
      </c>
    </row>
    <row r="9" spans="1:121" x14ac:dyDescent="0.15">
      <c r="A9">
        <v>2018</v>
      </c>
      <c r="B9" t="s">
        <v>131</v>
      </c>
      <c r="C9" t="str">
        <f>"0210011"</f>
        <v>0210011</v>
      </c>
      <c r="D9" t="s">
        <v>123</v>
      </c>
      <c r="E9" t="str">
        <f t="shared" si="0"/>
        <v>0000000</v>
      </c>
      <c r="F9" t="s">
        <v>123</v>
      </c>
      <c r="G9" t="s">
        <v>123</v>
      </c>
      <c r="H9" t="s">
        <v>123</v>
      </c>
      <c r="J9" t="s">
        <v>124</v>
      </c>
      <c r="K9">
        <v>329.16262999999998</v>
      </c>
      <c r="L9">
        <v>450</v>
      </c>
      <c r="M9">
        <v>73.147250999999997</v>
      </c>
      <c r="N9" t="s">
        <v>125</v>
      </c>
      <c r="O9">
        <v>0</v>
      </c>
      <c r="P9">
        <v>76.292077000000006</v>
      </c>
      <c r="Q9">
        <v>50</v>
      </c>
      <c r="R9">
        <v>50</v>
      </c>
      <c r="S9" t="s">
        <v>125</v>
      </c>
      <c r="T9">
        <v>75</v>
      </c>
      <c r="U9" t="s">
        <v>125</v>
      </c>
      <c r="V9" t="s">
        <v>125</v>
      </c>
      <c r="W9">
        <v>66.500680000000003</v>
      </c>
      <c r="X9">
        <v>44.333786000000003</v>
      </c>
      <c r="Y9">
        <v>50</v>
      </c>
      <c r="Z9">
        <v>72.727650999999994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125</v>
      </c>
      <c r="AM9" t="s">
        <v>125</v>
      </c>
      <c r="AN9">
        <v>0.64334800000000003</v>
      </c>
      <c r="AO9">
        <v>64.334785999999994</v>
      </c>
      <c r="AP9">
        <v>100</v>
      </c>
      <c r="AQ9">
        <v>0.67356799999999994</v>
      </c>
      <c r="AR9">
        <v>67.356802000000002</v>
      </c>
      <c r="AS9">
        <v>100</v>
      </c>
      <c r="AT9" t="s">
        <v>125</v>
      </c>
      <c r="AU9">
        <v>0.65602199999999999</v>
      </c>
      <c r="AV9" t="s">
        <v>125</v>
      </c>
      <c r="AW9" t="s">
        <v>125</v>
      </c>
      <c r="AX9" t="s">
        <v>125</v>
      </c>
      <c r="AY9">
        <v>0.68669400000000003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125</v>
      </c>
      <c r="BF9" t="s">
        <v>125</v>
      </c>
      <c r="BG9" t="s">
        <v>125</v>
      </c>
      <c r="BH9">
        <v>0</v>
      </c>
      <c r="BI9">
        <v>0.97727299999999995</v>
      </c>
      <c r="BJ9" t="s">
        <v>125</v>
      </c>
      <c r="BK9">
        <v>1</v>
      </c>
      <c r="BL9">
        <v>0.97727299999999995</v>
      </c>
      <c r="BM9" t="s">
        <v>125</v>
      </c>
      <c r="BN9">
        <v>1</v>
      </c>
      <c r="BO9" t="s">
        <v>125</v>
      </c>
      <c r="BP9" t="s">
        <v>125</v>
      </c>
      <c r="BQ9" t="s">
        <v>125</v>
      </c>
      <c r="BR9">
        <v>0.117647</v>
      </c>
      <c r="BS9">
        <v>36.470587999999999</v>
      </c>
      <c r="BT9">
        <v>50</v>
      </c>
      <c r="BU9">
        <v>0.2</v>
      </c>
      <c r="BV9">
        <v>20</v>
      </c>
      <c r="BW9">
        <v>50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  <c r="CJ9" t="s">
        <v>125</v>
      </c>
      <c r="CK9" t="s">
        <v>125</v>
      </c>
      <c r="CL9" t="s">
        <v>125</v>
      </c>
      <c r="CM9" t="s">
        <v>125</v>
      </c>
      <c r="CN9" t="s">
        <v>125</v>
      </c>
      <c r="CO9" t="s">
        <v>125</v>
      </c>
      <c r="CP9" t="s">
        <v>125</v>
      </c>
      <c r="CQ9">
        <v>0.7</v>
      </c>
      <c r="CR9">
        <v>1</v>
      </c>
      <c r="CS9">
        <v>46.666666999999997</v>
      </c>
      <c r="CT9">
        <v>50</v>
      </c>
      <c r="CU9" t="s">
        <v>125</v>
      </c>
      <c r="CV9" t="s">
        <v>125</v>
      </c>
      <c r="CW9" t="s">
        <v>125</v>
      </c>
      <c r="CX9" t="s">
        <v>125</v>
      </c>
      <c r="CY9" t="s">
        <v>125</v>
      </c>
      <c r="CZ9" t="s">
        <v>125</v>
      </c>
      <c r="DA9">
        <v>15.389535</v>
      </c>
      <c r="DB9">
        <v>17.608319000000002</v>
      </c>
      <c r="DC9">
        <v>16.064022999999999</v>
      </c>
      <c r="DD9" t="s">
        <v>125</v>
      </c>
      <c r="DE9" t="s">
        <v>125</v>
      </c>
      <c r="DJ9" t="s">
        <v>125</v>
      </c>
      <c r="DK9" t="s">
        <v>125</v>
      </c>
      <c r="DL9" t="s">
        <v>125</v>
      </c>
      <c r="DM9" t="s">
        <v>125</v>
      </c>
      <c r="DN9" t="s">
        <v>125</v>
      </c>
      <c r="DO9" t="s">
        <v>125</v>
      </c>
      <c r="DQ9" t="s">
        <v>126</v>
      </c>
    </row>
    <row r="10" spans="1:121" x14ac:dyDescent="0.15">
      <c r="A10">
        <v>2018</v>
      </c>
      <c r="B10" t="s">
        <v>132</v>
      </c>
      <c r="C10" t="str">
        <f>"0220011"</f>
        <v>0220011</v>
      </c>
      <c r="D10" t="s">
        <v>123</v>
      </c>
      <c r="E10" t="str">
        <f t="shared" si="0"/>
        <v>0000000</v>
      </c>
      <c r="F10" t="s">
        <v>123</v>
      </c>
      <c r="G10" t="s">
        <v>123</v>
      </c>
      <c r="H10" t="s">
        <v>123</v>
      </c>
      <c r="J10" t="s">
        <v>124</v>
      </c>
      <c r="K10">
        <v>652.78650500000003</v>
      </c>
      <c r="L10">
        <v>900</v>
      </c>
      <c r="M10">
        <v>72.531834000000003</v>
      </c>
      <c r="N10" t="s">
        <v>125</v>
      </c>
      <c r="O10">
        <v>0</v>
      </c>
      <c r="P10">
        <v>70.098169999999996</v>
      </c>
      <c r="Q10">
        <v>46.732114000000003</v>
      </c>
      <c r="R10">
        <v>50</v>
      </c>
      <c r="S10">
        <v>64.084457999999998</v>
      </c>
      <c r="T10">
        <v>74.568890999999994</v>
      </c>
      <c r="U10">
        <v>42.722971999999999</v>
      </c>
      <c r="V10">
        <v>50</v>
      </c>
      <c r="W10">
        <v>63.587091999999998</v>
      </c>
      <c r="X10">
        <v>42.391393999999998</v>
      </c>
      <c r="Y10">
        <v>50</v>
      </c>
      <c r="Z10">
        <v>67.574173000000002</v>
      </c>
      <c r="AA10">
        <v>58.176053000000003</v>
      </c>
      <c r="AB10">
        <v>38.784035000000003</v>
      </c>
      <c r="AC10">
        <v>50</v>
      </c>
      <c r="AD10">
        <v>66.702934999999997</v>
      </c>
      <c r="AE10">
        <v>44.468623000000001</v>
      </c>
      <c r="AF10">
        <v>50</v>
      </c>
      <c r="AG10">
        <v>59.291190999999998</v>
      </c>
      <c r="AH10">
        <v>72.034189999999995</v>
      </c>
      <c r="AI10">
        <v>39.527461000000002</v>
      </c>
      <c r="AJ10">
        <v>50</v>
      </c>
      <c r="AK10">
        <v>10.48</v>
      </c>
      <c r="AL10">
        <v>9.39</v>
      </c>
      <c r="AM10">
        <v>12.74</v>
      </c>
      <c r="AN10">
        <v>0.56407099999999999</v>
      </c>
      <c r="AO10">
        <v>56.407063000000001</v>
      </c>
      <c r="AP10">
        <v>100</v>
      </c>
      <c r="AQ10">
        <v>0.60407699999999998</v>
      </c>
      <c r="AR10">
        <v>60.407719999999998</v>
      </c>
      <c r="AS10">
        <v>100</v>
      </c>
      <c r="AT10">
        <v>0.52651499999999996</v>
      </c>
      <c r="AU10">
        <v>0.59009400000000001</v>
      </c>
      <c r="AV10">
        <v>52.651471000000001</v>
      </c>
      <c r="AW10">
        <v>100</v>
      </c>
      <c r="AX10">
        <v>0.57983300000000004</v>
      </c>
      <c r="AY10">
        <v>0.62068500000000004</v>
      </c>
      <c r="AZ10">
        <v>57.983299000000002</v>
      </c>
      <c r="BA10">
        <v>100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>
        <v>0</v>
      </c>
      <c r="BI10">
        <v>0.99278</v>
      </c>
      <c r="BJ10">
        <v>0.98387100000000005</v>
      </c>
      <c r="BK10">
        <v>1</v>
      </c>
      <c r="BL10">
        <v>0.98916999999999999</v>
      </c>
      <c r="BM10">
        <v>0.97580599999999995</v>
      </c>
      <c r="BN10">
        <v>1</v>
      </c>
      <c r="BO10">
        <v>1</v>
      </c>
      <c r="BP10">
        <v>1</v>
      </c>
      <c r="BQ10">
        <v>1</v>
      </c>
      <c r="BR10">
        <v>6.5115999999999993E-2</v>
      </c>
      <c r="BS10">
        <v>46.976743999999997</v>
      </c>
      <c r="BT10">
        <v>50</v>
      </c>
      <c r="BU10">
        <v>7.1429000000000006E-2</v>
      </c>
      <c r="BV10">
        <v>45.714286000000001</v>
      </c>
      <c r="BW10">
        <v>50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>
        <v>0.97368399999999999</v>
      </c>
      <c r="CE10">
        <v>50</v>
      </c>
      <c r="CF10">
        <v>50</v>
      </c>
      <c r="CG10" t="s">
        <v>125</v>
      </c>
      <c r="CH10" t="s">
        <v>125</v>
      </c>
      <c r="CI10" t="s">
        <v>125</v>
      </c>
      <c r="CJ10" t="s">
        <v>125</v>
      </c>
      <c r="CK10" t="s">
        <v>125</v>
      </c>
      <c r="CL10" t="s">
        <v>125</v>
      </c>
      <c r="CM10" t="s">
        <v>125</v>
      </c>
      <c r="CN10" t="s">
        <v>125</v>
      </c>
      <c r="CO10" t="s">
        <v>125</v>
      </c>
      <c r="CP10" t="s">
        <v>125</v>
      </c>
      <c r="CQ10">
        <v>0.42029</v>
      </c>
      <c r="CR10">
        <v>0.95833299999999999</v>
      </c>
      <c r="CS10">
        <v>28.019324000000001</v>
      </c>
      <c r="CT10">
        <v>50</v>
      </c>
      <c r="CU10" t="s">
        <v>125</v>
      </c>
      <c r="CV10" t="s">
        <v>125</v>
      </c>
      <c r="CW10" t="s">
        <v>125</v>
      </c>
      <c r="CX10" t="s">
        <v>125</v>
      </c>
      <c r="CY10" t="s">
        <v>125</v>
      </c>
      <c r="CZ10" t="s">
        <v>125</v>
      </c>
      <c r="DA10">
        <v>15.389535</v>
      </c>
      <c r="DB10">
        <v>17.608319000000002</v>
      </c>
      <c r="DC10">
        <v>16.064022999999999</v>
      </c>
      <c r="DD10" t="s">
        <v>125</v>
      </c>
      <c r="DE10" t="s">
        <v>125</v>
      </c>
      <c r="DJ10" t="s">
        <v>125</v>
      </c>
      <c r="DK10" t="s">
        <v>125</v>
      </c>
      <c r="DL10" t="s">
        <v>125</v>
      </c>
      <c r="DM10" t="s">
        <v>125</v>
      </c>
      <c r="DN10" t="s">
        <v>125</v>
      </c>
      <c r="DO10" t="s">
        <v>125</v>
      </c>
      <c r="DQ10" t="s">
        <v>126</v>
      </c>
    </row>
    <row r="11" spans="1:121" x14ac:dyDescent="0.15">
      <c r="A11">
        <v>2018</v>
      </c>
      <c r="B11" t="s">
        <v>133</v>
      </c>
      <c r="C11" t="str">
        <f>"0230011"</f>
        <v>0230011</v>
      </c>
      <c r="D11" t="s">
        <v>123</v>
      </c>
      <c r="E11" t="str">
        <f t="shared" si="0"/>
        <v>0000000</v>
      </c>
      <c r="F11" t="s">
        <v>123</v>
      </c>
      <c r="G11" t="s">
        <v>123</v>
      </c>
      <c r="H11" t="s">
        <v>123</v>
      </c>
      <c r="J11" t="s">
        <v>124</v>
      </c>
      <c r="K11">
        <v>1112.9049419999999</v>
      </c>
      <c r="L11">
        <v>1350</v>
      </c>
      <c r="M11">
        <v>82.437403000000003</v>
      </c>
      <c r="N11" t="s">
        <v>125</v>
      </c>
      <c r="O11">
        <v>1</v>
      </c>
      <c r="P11">
        <v>75.546047000000002</v>
      </c>
      <c r="Q11">
        <v>50</v>
      </c>
      <c r="R11">
        <v>50</v>
      </c>
      <c r="S11">
        <v>60.258571000000003</v>
      </c>
      <c r="T11">
        <v>75</v>
      </c>
      <c r="U11">
        <v>40.172381000000001</v>
      </c>
      <c r="V11">
        <v>50</v>
      </c>
      <c r="W11">
        <v>72.454808999999997</v>
      </c>
      <c r="X11">
        <v>48.303206000000003</v>
      </c>
      <c r="Y11">
        <v>50</v>
      </c>
      <c r="Z11">
        <v>75</v>
      </c>
      <c r="AA11">
        <v>56.107959999999999</v>
      </c>
      <c r="AB11">
        <v>37.405307000000001</v>
      </c>
      <c r="AC11">
        <v>50</v>
      </c>
      <c r="AD11">
        <v>74.021354000000002</v>
      </c>
      <c r="AE11">
        <v>49.347569999999997</v>
      </c>
      <c r="AF11">
        <v>50</v>
      </c>
      <c r="AG11">
        <v>60.077941000000003</v>
      </c>
      <c r="AH11">
        <v>75</v>
      </c>
      <c r="AI11">
        <v>40.051960999999999</v>
      </c>
      <c r="AJ11">
        <v>50</v>
      </c>
      <c r="AK11">
        <v>14.74</v>
      </c>
      <c r="AL11">
        <v>18.89</v>
      </c>
      <c r="AM11">
        <v>14.92</v>
      </c>
      <c r="AN11">
        <v>0.60600699999999996</v>
      </c>
      <c r="AO11">
        <v>60.600698999999999</v>
      </c>
      <c r="AP11">
        <v>100</v>
      </c>
      <c r="AQ11">
        <v>0.65144000000000002</v>
      </c>
      <c r="AR11">
        <v>65.144003999999995</v>
      </c>
      <c r="AS11">
        <v>100</v>
      </c>
      <c r="AT11">
        <v>0.44811499999999999</v>
      </c>
      <c r="AU11">
        <v>0.657667</v>
      </c>
      <c r="AV11">
        <v>44.811506999999999</v>
      </c>
      <c r="AW11">
        <v>100</v>
      </c>
      <c r="AX11">
        <v>0.486288</v>
      </c>
      <c r="AY11">
        <v>0.70560100000000003</v>
      </c>
      <c r="AZ11">
        <v>48.62876</v>
      </c>
      <c r="BA11">
        <v>100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>
        <v>1</v>
      </c>
      <c r="BI11">
        <v>0.98579899999999998</v>
      </c>
      <c r="BJ11">
        <v>0.96832600000000002</v>
      </c>
      <c r="BK11">
        <v>0.99198699999999995</v>
      </c>
      <c r="BL11">
        <v>0.98343199999999997</v>
      </c>
      <c r="BM11">
        <v>0.96380100000000002</v>
      </c>
      <c r="BN11">
        <v>0.99038499999999996</v>
      </c>
      <c r="BO11">
        <v>0.98050099999999996</v>
      </c>
      <c r="BP11">
        <v>0.94680900000000001</v>
      </c>
      <c r="BQ11">
        <v>0.99245300000000003</v>
      </c>
      <c r="BR11">
        <v>5.5081999999999999E-2</v>
      </c>
      <c r="BS11">
        <v>48.983606999999999</v>
      </c>
      <c r="BT11">
        <v>50</v>
      </c>
      <c r="BU11">
        <v>0.12328799999999999</v>
      </c>
      <c r="BV11">
        <v>35.342466000000002</v>
      </c>
      <c r="BW11">
        <v>50</v>
      </c>
      <c r="BX11">
        <v>0.75744699999999998</v>
      </c>
      <c r="BY11">
        <v>50</v>
      </c>
      <c r="BZ11">
        <v>50</v>
      </c>
      <c r="CA11">
        <v>0.67234000000000005</v>
      </c>
      <c r="CB11">
        <v>44.822695000000003</v>
      </c>
      <c r="CC11">
        <v>50</v>
      </c>
      <c r="CD11">
        <v>0.97489499999999996</v>
      </c>
      <c r="CE11">
        <v>50</v>
      </c>
      <c r="CF11">
        <v>50</v>
      </c>
      <c r="CG11">
        <v>0.94827600000000001</v>
      </c>
      <c r="CH11">
        <v>100</v>
      </c>
      <c r="CI11">
        <v>100</v>
      </c>
      <c r="CJ11">
        <v>0</v>
      </c>
      <c r="CK11">
        <v>0.93333299999999997</v>
      </c>
      <c r="CL11">
        <v>99.290779999999998</v>
      </c>
      <c r="CM11">
        <v>100</v>
      </c>
      <c r="CN11">
        <v>0.86399999999999999</v>
      </c>
      <c r="CO11">
        <v>100</v>
      </c>
      <c r="CP11">
        <v>100</v>
      </c>
      <c r="CQ11">
        <v>0.80083000000000004</v>
      </c>
      <c r="CR11">
        <v>0.95825000000000005</v>
      </c>
      <c r="CS11">
        <v>50</v>
      </c>
      <c r="CT11">
        <v>50</v>
      </c>
      <c r="CU11">
        <v>0.67820800000000003</v>
      </c>
      <c r="CV11">
        <v>50</v>
      </c>
      <c r="CW11">
        <v>50</v>
      </c>
      <c r="CX11">
        <v>0.93333299999999997</v>
      </c>
      <c r="CY11">
        <v>0.94</v>
      </c>
      <c r="CZ11">
        <v>6.6670000000000002E-3</v>
      </c>
      <c r="DA11">
        <v>15.389535</v>
      </c>
      <c r="DB11">
        <v>17.608319000000002</v>
      </c>
      <c r="DC11">
        <v>16.064022999999999</v>
      </c>
      <c r="DD11">
        <v>11.115401</v>
      </c>
      <c r="DE11" t="s">
        <v>125</v>
      </c>
      <c r="DJ11" t="s">
        <v>125</v>
      </c>
      <c r="DK11" t="s">
        <v>125</v>
      </c>
      <c r="DL11" t="s">
        <v>125</v>
      </c>
      <c r="DM11" t="s">
        <v>125</v>
      </c>
      <c r="DN11" t="s">
        <v>125</v>
      </c>
      <c r="DO11" t="s">
        <v>125</v>
      </c>
      <c r="DQ11" t="s">
        <v>126</v>
      </c>
    </row>
    <row r="12" spans="1:121" x14ac:dyDescent="0.15">
      <c r="A12">
        <v>2018</v>
      </c>
      <c r="B12" t="s">
        <v>134</v>
      </c>
      <c r="C12" t="str">
        <f>"1020011"</f>
        <v>1020011</v>
      </c>
      <c r="D12" t="s">
        <v>123</v>
      </c>
      <c r="E12" t="str">
        <f t="shared" si="0"/>
        <v>0000000</v>
      </c>
      <c r="F12" t="s">
        <v>123</v>
      </c>
      <c r="G12" t="s">
        <v>123</v>
      </c>
      <c r="H12" t="s">
        <v>123</v>
      </c>
      <c r="J12" t="s">
        <v>124</v>
      </c>
      <c r="K12">
        <v>1001.104552</v>
      </c>
      <c r="L12">
        <v>1250</v>
      </c>
      <c r="M12">
        <v>80.088363999999999</v>
      </c>
      <c r="N12" t="s">
        <v>125</v>
      </c>
      <c r="O12">
        <v>0</v>
      </c>
      <c r="P12">
        <v>79.562488999999999</v>
      </c>
      <c r="Q12">
        <v>50</v>
      </c>
      <c r="R12">
        <v>50</v>
      </c>
      <c r="S12">
        <v>67.476095999999998</v>
      </c>
      <c r="T12">
        <v>75</v>
      </c>
      <c r="U12">
        <v>44.984063999999996</v>
      </c>
      <c r="V12">
        <v>50</v>
      </c>
      <c r="W12">
        <v>77.878016000000002</v>
      </c>
      <c r="X12">
        <v>50</v>
      </c>
      <c r="Y12">
        <v>50</v>
      </c>
      <c r="Z12">
        <v>75</v>
      </c>
      <c r="AA12">
        <v>65.461684000000005</v>
      </c>
      <c r="AB12">
        <v>43.641123</v>
      </c>
      <c r="AC12">
        <v>50</v>
      </c>
      <c r="AD12">
        <v>79.690189000000004</v>
      </c>
      <c r="AE12">
        <v>50</v>
      </c>
      <c r="AF12">
        <v>50</v>
      </c>
      <c r="AG12">
        <v>69.364097000000001</v>
      </c>
      <c r="AH12">
        <v>75</v>
      </c>
      <c r="AI12">
        <v>46.242730999999999</v>
      </c>
      <c r="AJ12">
        <v>50</v>
      </c>
      <c r="AK12">
        <v>7.52</v>
      </c>
      <c r="AL12">
        <v>9.5299999999999994</v>
      </c>
      <c r="AM12">
        <v>5.63</v>
      </c>
      <c r="AN12">
        <v>0.66746700000000003</v>
      </c>
      <c r="AO12">
        <v>66.746724999999998</v>
      </c>
      <c r="AP12">
        <v>100</v>
      </c>
      <c r="AQ12">
        <v>0.68779699999999999</v>
      </c>
      <c r="AR12">
        <v>68.779701000000003</v>
      </c>
      <c r="AS12">
        <v>100</v>
      </c>
      <c r="AT12">
        <v>0.53702300000000003</v>
      </c>
      <c r="AU12">
        <v>0.69333100000000003</v>
      </c>
      <c r="AV12">
        <v>53.702319000000003</v>
      </c>
      <c r="AW12">
        <v>100</v>
      </c>
      <c r="AX12">
        <v>0.52573199999999998</v>
      </c>
      <c r="AY12">
        <v>0.71993099999999999</v>
      </c>
      <c r="AZ12">
        <v>52.573228999999998</v>
      </c>
      <c r="BA12">
        <v>100</v>
      </c>
      <c r="BB12" t="s">
        <v>125</v>
      </c>
      <c r="BC12" t="s">
        <v>125</v>
      </c>
      <c r="BD12" t="s">
        <v>125</v>
      </c>
      <c r="BE12" t="s">
        <v>125</v>
      </c>
      <c r="BF12" t="s">
        <v>125</v>
      </c>
      <c r="BG12" t="s">
        <v>125</v>
      </c>
      <c r="BH12">
        <v>0</v>
      </c>
      <c r="BI12">
        <v>0.98984799999999995</v>
      </c>
      <c r="BJ12">
        <v>1</v>
      </c>
      <c r="BK12">
        <v>0.98753899999999994</v>
      </c>
      <c r="BL12">
        <v>0.98984799999999995</v>
      </c>
      <c r="BM12">
        <v>1</v>
      </c>
      <c r="BN12">
        <v>0.98753899999999994</v>
      </c>
      <c r="BO12">
        <v>1</v>
      </c>
      <c r="BP12">
        <v>1</v>
      </c>
      <c r="BQ12">
        <v>1</v>
      </c>
      <c r="BR12">
        <v>7.2752999999999998E-2</v>
      </c>
      <c r="BS12">
        <v>45.449357999999997</v>
      </c>
      <c r="BT12">
        <v>50</v>
      </c>
      <c r="BU12">
        <v>0.154362</v>
      </c>
      <c r="BV12">
        <v>29.127517000000001</v>
      </c>
      <c r="BW12">
        <v>50</v>
      </c>
      <c r="BX12">
        <v>0.69791700000000001</v>
      </c>
      <c r="BY12">
        <v>46.527777999999998</v>
      </c>
      <c r="BZ12">
        <v>50</v>
      </c>
      <c r="CA12">
        <v>0.53125</v>
      </c>
      <c r="CB12">
        <v>35.416666999999997</v>
      </c>
      <c r="CC12">
        <v>50</v>
      </c>
      <c r="CD12">
        <v>0.96521699999999999</v>
      </c>
      <c r="CE12">
        <v>50</v>
      </c>
      <c r="CF12">
        <v>50</v>
      </c>
      <c r="CG12">
        <v>0.93333299999999997</v>
      </c>
      <c r="CH12">
        <v>99.290779999999998</v>
      </c>
      <c r="CI12">
        <v>100</v>
      </c>
      <c r="CJ12">
        <v>0</v>
      </c>
      <c r="CK12" t="s">
        <v>125</v>
      </c>
      <c r="CL12" t="s">
        <v>125</v>
      </c>
      <c r="CM12" t="s">
        <v>125</v>
      </c>
      <c r="CN12">
        <v>0.68899999999999995</v>
      </c>
      <c r="CO12">
        <v>91.851851999999994</v>
      </c>
      <c r="CP12">
        <v>100</v>
      </c>
      <c r="CQ12">
        <v>0.41176499999999999</v>
      </c>
      <c r="CR12">
        <v>1.0258620000000001</v>
      </c>
      <c r="CS12">
        <v>27.450980000000001</v>
      </c>
      <c r="CT12">
        <v>50</v>
      </c>
      <c r="CU12">
        <v>0.59183699999999995</v>
      </c>
      <c r="CV12">
        <v>49.319727999999998</v>
      </c>
      <c r="CW12">
        <v>50</v>
      </c>
      <c r="CX12" t="s">
        <v>125</v>
      </c>
      <c r="CY12" t="s">
        <v>125</v>
      </c>
      <c r="CZ12" t="s">
        <v>125</v>
      </c>
      <c r="DA12">
        <v>15.389535</v>
      </c>
      <c r="DB12">
        <v>17.608319000000002</v>
      </c>
      <c r="DC12">
        <v>16.064022999999999</v>
      </c>
      <c r="DD12">
        <v>11.115401</v>
      </c>
      <c r="DE12" t="s">
        <v>125</v>
      </c>
      <c r="DJ12" t="s">
        <v>125</v>
      </c>
      <c r="DK12" t="s">
        <v>125</v>
      </c>
      <c r="DL12" t="s">
        <v>125</v>
      </c>
      <c r="DM12" t="s">
        <v>125</v>
      </c>
      <c r="DN12" t="s">
        <v>125</v>
      </c>
      <c r="DO12" t="s">
        <v>125</v>
      </c>
      <c r="DQ12" t="s">
        <v>126</v>
      </c>
    </row>
    <row r="13" spans="1:121" x14ac:dyDescent="0.15">
      <c r="A13">
        <v>2018</v>
      </c>
      <c r="B13" t="s">
        <v>135</v>
      </c>
      <c r="C13" t="str">
        <f>"0940011"</f>
        <v>0940011</v>
      </c>
      <c r="D13" t="s">
        <v>123</v>
      </c>
      <c r="E13" t="str">
        <f t="shared" si="0"/>
        <v>0000000</v>
      </c>
      <c r="F13" t="s">
        <v>123</v>
      </c>
      <c r="G13" t="s">
        <v>123</v>
      </c>
      <c r="H13" t="s">
        <v>123</v>
      </c>
      <c r="J13" t="s">
        <v>124</v>
      </c>
      <c r="K13">
        <v>1143.375258</v>
      </c>
      <c r="L13">
        <v>1450</v>
      </c>
      <c r="M13">
        <v>78.853465999999997</v>
      </c>
      <c r="N13" t="s">
        <v>125</v>
      </c>
      <c r="O13">
        <v>0</v>
      </c>
      <c r="P13">
        <v>67.817121999999998</v>
      </c>
      <c r="Q13">
        <v>45.211415000000002</v>
      </c>
      <c r="R13">
        <v>50</v>
      </c>
      <c r="S13">
        <v>60.979137000000001</v>
      </c>
      <c r="T13">
        <v>73.257853999999995</v>
      </c>
      <c r="U13">
        <v>40.652757999999999</v>
      </c>
      <c r="V13">
        <v>50</v>
      </c>
      <c r="W13">
        <v>65.265884999999997</v>
      </c>
      <c r="X13">
        <v>43.510590000000001</v>
      </c>
      <c r="Y13">
        <v>50</v>
      </c>
      <c r="Z13">
        <v>71.014556999999996</v>
      </c>
      <c r="AA13">
        <v>58.001213</v>
      </c>
      <c r="AB13">
        <v>38.667475000000003</v>
      </c>
      <c r="AC13">
        <v>50</v>
      </c>
      <c r="AD13">
        <v>63.355922</v>
      </c>
      <c r="AE13">
        <v>42.237282</v>
      </c>
      <c r="AF13">
        <v>50</v>
      </c>
      <c r="AG13">
        <v>57.961651000000003</v>
      </c>
      <c r="AH13">
        <v>67.719708999999995</v>
      </c>
      <c r="AI13">
        <v>38.641100000000002</v>
      </c>
      <c r="AJ13">
        <v>50</v>
      </c>
      <c r="AK13">
        <v>12.27</v>
      </c>
      <c r="AL13">
        <v>13.01</v>
      </c>
      <c r="AM13">
        <v>9.75</v>
      </c>
      <c r="AN13">
        <v>0.53480300000000003</v>
      </c>
      <c r="AO13">
        <v>53.480251000000003</v>
      </c>
      <c r="AP13">
        <v>100</v>
      </c>
      <c r="AQ13">
        <v>0.63475300000000001</v>
      </c>
      <c r="AR13">
        <v>63.475298000000002</v>
      </c>
      <c r="AS13">
        <v>100</v>
      </c>
      <c r="AT13">
        <v>0.51839199999999996</v>
      </c>
      <c r="AU13">
        <v>0.54596900000000004</v>
      </c>
      <c r="AV13">
        <v>51.839218000000002</v>
      </c>
      <c r="AW13">
        <v>100</v>
      </c>
      <c r="AX13">
        <v>0.59261600000000003</v>
      </c>
      <c r="AY13">
        <v>0.66331799999999996</v>
      </c>
      <c r="AZ13">
        <v>59.261634000000001</v>
      </c>
      <c r="BA13">
        <v>100</v>
      </c>
      <c r="BB13">
        <v>0.74666999999999994</v>
      </c>
      <c r="BC13">
        <v>37.333494000000002</v>
      </c>
      <c r="BD13">
        <v>50</v>
      </c>
      <c r="BE13">
        <v>0.51509899999999997</v>
      </c>
      <c r="BF13">
        <v>25.754971999999999</v>
      </c>
      <c r="BG13">
        <v>50</v>
      </c>
      <c r="BH13">
        <v>0</v>
      </c>
      <c r="BI13">
        <v>0.99639999999999995</v>
      </c>
      <c r="BJ13">
        <v>0.99407699999999999</v>
      </c>
      <c r="BK13">
        <v>0.99834599999999996</v>
      </c>
      <c r="BL13">
        <v>0.993699</v>
      </c>
      <c r="BM13">
        <v>0.98914100000000005</v>
      </c>
      <c r="BN13">
        <v>0.99751900000000004</v>
      </c>
      <c r="BO13">
        <v>0.98130799999999996</v>
      </c>
      <c r="BP13">
        <v>0.98630099999999998</v>
      </c>
      <c r="BQ13">
        <v>0.97714299999999998</v>
      </c>
      <c r="BR13">
        <v>5.6697999999999998E-2</v>
      </c>
      <c r="BS13">
        <v>48.660311</v>
      </c>
      <c r="BT13">
        <v>50</v>
      </c>
      <c r="BU13">
        <v>9.5560999999999993E-2</v>
      </c>
      <c r="BV13">
        <v>40.887793000000002</v>
      </c>
      <c r="BW13">
        <v>50</v>
      </c>
      <c r="BX13">
        <v>0.82325599999999999</v>
      </c>
      <c r="BY13">
        <v>50</v>
      </c>
      <c r="BZ13">
        <v>50</v>
      </c>
      <c r="CA13">
        <v>0.51937999999999995</v>
      </c>
      <c r="CB13">
        <v>34.625323000000002</v>
      </c>
      <c r="CC13">
        <v>50</v>
      </c>
      <c r="CD13">
        <v>0.95890399999999998</v>
      </c>
      <c r="CE13">
        <v>50</v>
      </c>
      <c r="CF13">
        <v>50</v>
      </c>
      <c r="CG13">
        <v>0.95049499999999998</v>
      </c>
      <c r="CH13">
        <v>100</v>
      </c>
      <c r="CI13">
        <v>100</v>
      </c>
      <c r="CJ13">
        <v>0</v>
      </c>
      <c r="CK13">
        <v>0.90434800000000004</v>
      </c>
      <c r="CL13">
        <v>96.207216000000003</v>
      </c>
      <c r="CM13">
        <v>100</v>
      </c>
      <c r="CN13">
        <v>0.753</v>
      </c>
      <c r="CO13">
        <v>100</v>
      </c>
      <c r="CP13">
        <v>100</v>
      </c>
      <c r="CQ13">
        <v>0.49393700000000001</v>
      </c>
      <c r="CR13">
        <v>0.95817200000000002</v>
      </c>
      <c r="CS13">
        <v>32.929130000000001</v>
      </c>
      <c r="CT13">
        <v>50</v>
      </c>
      <c r="CU13">
        <v>0.62931700000000002</v>
      </c>
      <c r="CV13">
        <v>50</v>
      </c>
      <c r="CW13">
        <v>50</v>
      </c>
      <c r="CX13">
        <v>0.90434800000000004</v>
      </c>
      <c r="CY13">
        <v>0.94</v>
      </c>
      <c r="CZ13">
        <v>3.5652000000000003E-2</v>
      </c>
      <c r="DA13">
        <v>15.389535</v>
      </c>
      <c r="DB13">
        <v>17.608319000000002</v>
      </c>
      <c r="DC13">
        <v>16.064022999999999</v>
      </c>
      <c r="DD13">
        <v>11.115401</v>
      </c>
      <c r="DE13" t="s">
        <v>125</v>
      </c>
      <c r="DJ13" t="s">
        <v>125</v>
      </c>
      <c r="DK13" t="s">
        <v>125</v>
      </c>
      <c r="DL13" t="s">
        <v>125</v>
      </c>
      <c r="DM13" t="s">
        <v>125</v>
      </c>
      <c r="DN13" t="s">
        <v>125</v>
      </c>
      <c r="DO13" t="s">
        <v>125</v>
      </c>
      <c r="DQ13" t="s">
        <v>126</v>
      </c>
    </row>
    <row r="14" spans="1:121" x14ac:dyDescent="0.15">
      <c r="A14">
        <v>2018</v>
      </c>
      <c r="B14" t="s">
        <v>136</v>
      </c>
      <c r="C14" t="str">
        <f>"0400011"</f>
        <v>0400011</v>
      </c>
      <c r="D14" t="s">
        <v>123</v>
      </c>
      <c r="E14" t="str">
        <f t="shared" si="0"/>
        <v>0000000</v>
      </c>
      <c r="F14" t="s">
        <v>123</v>
      </c>
      <c r="G14" t="s">
        <v>123</v>
      </c>
      <c r="H14" t="s">
        <v>123</v>
      </c>
      <c r="J14" t="s">
        <v>124</v>
      </c>
      <c r="K14">
        <v>1056.9619700000001</v>
      </c>
      <c r="L14">
        <v>1250</v>
      </c>
      <c r="M14">
        <v>84.556957999999995</v>
      </c>
      <c r="N14" t="s">
        <v>125</v>
      </c>
      <c r="O14">
        <v>0</v>
      </c>
      <c r="P14">
        <v>76.876070999999996</v>
      </c>
      <c r="Q14">
        <v>50</v>
      </c>
      <c r="R14">
        <v>50</v>
      </c>
      <c r="S14">
        <v>66.262873999999996</v>
      </c>
      <c r="T14">
        <v>75</v>
      </c>
      <c r="U14">
        <v>44.175249000000001</v>
      </c>
      <c r="V14">
        <v>50</v>
      </c>
      <c r="W14">
        <v>72.798158999999998</v>
      </c>
      <c r="X14">
        <v>48.532105999999999</v>
      </c>
      <c r="Y14">
        <v>50</v>
      </c>
      <c r="Z14">
        <v>75</v>
      </c>
      <c r="AA14">
        <v>60.117736000000001</v>
      </c>
      <c r="AB14">
        <v>40.078490000000002</v>
      </c>
      <c r="AC14">
        <v>50</v>
      </c>
      <c r="AD14">
        <v>78.456768999999994</v>
      </c>
      <c r="AE14">
        <v>50</v>
      </c>
      <c r="AF14">
        <v>50</v>
      </c>
      <c r="AG14">
        <v>70.4084</v>
      </c>
      <c r="AH14">
        <v>75</v>
      </c>
      <c r="AI14">
        <v>46.938932999999999</v>
      </c>
      <c r="AJ14">
        <v>50</v>
      </c>
      <c r="AK14">
        <v>8.73</v>
      </c>
      <c r="AL14">
        <v>14.88</v>
      </c>
      <c r="AM14">
        <v>4.59</v>
      </c>
      <c r="AN14">
        <v>0.72121500000000005</v>
      </c>
      <c r="AO14">
        <v>72.121544999999998</v>
      </c>
      <c r="AP14">
        <v>100</v>
      </c>
      <c r="AQ14">
        <v>0.71483799999999997</v>
      </c>
      <c r="AR14">
        <v>71.483777000000003</v>
      </c>
      <c r="AS14">
        <v>100</v>
      </c>
      <c r="AT14">
        <v>0.65553499999999998</v>
      </c>
      <c r="AU14">
        <v>0.74502400000000002</v>
      </c>
      <c r="AV14">
        <v>65.553532000000004</v>
      </c>
      <c r="AW14">
        <v>100</v>
      </c>
      <c r="AX14">
        <v>0.62971200000000005</v>
      </c>
      <c r="AY14">
        <v>0.74498600000000004</v>
      </c>
      <c r="AZ14">
        <v>62.971207</v>
      </c>
      <c r="BA14">
        <v>100</v>
      </c>
      <c r="BB14" t="s">
        <v>125</v>
      </c>
      <c r="BC14" t="s">
        <v>125</v>
      </c>
      <c r="BD14" t="s">
        <v>125</v>
      </c>
      <c r="BE14" t="s">
        <v>125</v>
      </c>
      <c r="BF14" t="s">
        <v>125</v>
      </c>
      <c r="BG14" t="s">
        <v>125</v>
      </c>
      <c r="BH14">
        <v>0</v>
      </c>
      <c r="BI14">
        <v>0.99556500000000003</v>
      </c>
      <c r="BJ14">
        <v>1</v>
      </c>
      <c r="BK14">
        <v>0.99363100000000004</v>
      </c>
      <c r="BL14">
        <v>0.993363</v>
      </c>
      <c r="BM14">
        <v>0.99270099999999994</v>
      </c>
      <c r="BN14">
        <v>0.99365099999999995</v>
      </c>
      <c r="BO14">
        <v>0.99019599999999997</v>
      </c>
      <c r="BP14">
        <v>1</v>
      </c>
      <c r="BQ14">
        <v>0.98666699999999996</v>
      </c>
      <c r="BR14">
        <v>5.7851E-2</v>
      </c>
      <c r="BS14">
        <v>48.429752000000001</v>
      </c>
      <c r="BT14">
        <v>50</v>
      </c>
      <c r="BU14">
        <v>0.142259</v>
      </c>
      <c r="BV14">
        <v>31.548117000000001</v>
      </c>
      <c r="BW14">
        <v>50</v>
      </c>
      <c r="BX14">
        <v>0.92366400000000004</v>
      </c>
      <c r="BY14">
        <v>50</v>
      </c>
      <c r="BZ14">
        <v>50</v>
      </c>
      <c r="CA14">
        <v>0.54961800000000005</v>
      </c>
      <c r="CB14">
        <v>36.641221000000002</v>
      </c>
      <c r="CC14">
        <v>50</v>
      </c>
      <c r="CD14">
        <v>0.98412699999999997</v>
      </c>
      <c r="CE14">
        <v>50</v>
      </c>
      <c r="CF14">
        <v>50</v>
      </c>
      <c r="CG14">
        <v>0.94915300000000002</v>
      </c>
      <c r="CH14">
        <v>100</v>
      </c>
      <c r="CI14">
        <v>100</v>
      </c>
      <c r="CJ14">
        <v>0</v>
      </c>
      <c r="CK14" t="s">
        <v>125</v>
      </c>
      <c r="CL14" t="s">
        <v>125</v>
      </c>
      <c r="CM14" t="s">
        <v>125</v>
      </c>
      <c r="CN14">
        <v>0.84199999999999997</v>
      </c>
      <c r="CO14">
        <v>100</v>
      </c>
      <c r="CP14">
        <v>100</v>
      </c>
      <c r="CQ14">
        <v>0.60363599999999995</v>
      </c>
      <c r="CR14">
        <v>0.98566299999999996</v>
      </c>
      <c r="CS14">
        <v>40.242424</v>
      </c>
      <c r="CT14">
        <v>50</v>
      </c>
      <c r="CU14">
        <v>0.57894699999999999</v>
      </c>
      <c r="CV14">
        <v>48.245614000000003</v>
      </c>
      <c r="CW14">
        <v>50</v>
      </c>
      <c r="CX14" t="s">
        <v>125</v>
      </c>
      <c r="CY14" t="s">
        <v>125</v>
      </c>
      <c r="CZ14" t="s">
        <v>125</v>
      </c>
      <c r="DA14">
        <v>15.389535</v>
      </c>
      <c r="DB14">
        <v>17.608319000000002</v>
      </c>
      <c r="DC14">
        <v>16.064022999999999</v>
      </c>
      <c r="DD14">
        <v>11.115401</v>
      </c>
      <c r="DE14" t="s">
        <v>125</v>
      </c>
      <c r="DJ14" t="s">
        <v>125</v>
      </c>
      <c r="DK14" t="s">
        <v>125</v>
      </c>
      <c r="DL14" t="s">
        <v>125</v>
      </c>
      <c r="DM14" t="s">
        <v>125</v>
      </c>
      <c r="DN14" t="s">
        <v>125</v>
      </c>
      <c r="DO14" t="s">
        <v>125</v>
      </c>
      <c r="DQ14" t="s">
        <v>126</v>
      </c>
    </row>
    <row r="15" spans="1:121" x14ac:dyDescent="0.15">
      <c r="A15">
        <v>2018</v>
      </c>
      <c r="B15" t="s">
        <v>137</v>
      </c>
      <c r="C15" t="str">
        <f>"0910011"</f>
        <v>0910011</v>
      </c>
      <c r="D15" t="s">
        <v>123</v>
      </c>
      <c r="E15" t="str">
        <f t="shared" si="0"/>
        <v>0000000</v>
      </c>
      <c r="F15" t="s">
        <v>123</v>
      </c>
      <c r="G15" t="s">
        <v>123</v>
      </c>
      <c r="H15" t="s">
        <v>123</v>
      </c>
      <c r="J15" t="s">
        <v>124</v>
      </c>
      <c r="K15">
        <v>1161.613049</v>
      </c>
      <c r="L15">
        <v>1450</v>
      </c>
      <c r="M15">
        <v>80.111244999999997</v>
      </c>
      <c r="N15" t="s">
        <v>125</v>
      </c>
      <c r="O15">
        <v>0</v>
      </c>
      <c r="P15">
        <v>75.060104999999993</v>
      </c>
      <c r="Q15">
        <v>50</v>
      </c>
      <c r="R15">
        <v>50</v>
      </c>
      <c r="S15">
        <v>63.934806999999999</v>
      </c>
      <c r="T15">
        <v>75</v>
      </c>
      <c r="U15">
        <v>42.623204999999999</v>
      </c>
      <c r="V15">
        <v>50</v>
      </c>
      <c r="W15">
        <v>71.488220999999996</v>
      </c>
      <c r="X15">
        <v>47.658814</v>
      </c>
      <c r="Y15">
        <v>50</v>
      </c>
      <c r="Z15">
        <v>75</v>
      </c>
      <c r="AA15">
        <v>60.157566000000003</v>
      </c>
      <c r="AB15">
        <v>40.105043999999999</v>
      </c>
      <c r="AC15">
        <v>50</v>
      </c>
      <c r="AD15">
        <v>68.561700000000002</v>
      </c>
      <c r="AE15">
        <v>45.707799999999999</v>
      </c>
      <c r="AF15">
        <v>50</v>
      </c>
      <c r="AG15">
        <v>59.754306999999997</v>
      </c>
      <c r="AH15">
        <v>71.466014000000001</v>
      </c>
      <c r="AI15">
        <v>39.836205</v>
      </c>
      <c r="AJ15">
        <v>50</v>
      </c>
      <c r="AK15">
        <v>11.06</v>
      </c>
      <c r="AL15">
        <v>14.84</v>
      </c>
      <c r="AM15">
        <v>11.71</v>
      </c>
      <c r="AN15">
        <v>0.62107299999999999</v>
      </c>
      <c r="AO15">
        <v>62.107295999999998</v>
      </c>
      <c r="AP15">
        <v>100</v>
      </c>
      <c r="AQ15">
        <v>0.65481999999999996</v>
      </c>
      <c r="AR15">
        <v>65.481983</v>
      </c>
      <c r="AS15">
        <v>100</v>
      </c>
      <c r="AT15">
        <v>0.485238</v>
      </c>
      <c r="AU15">
        <v>0.66594500000000001</v>
      </c>
      <c r="AV15">
        <v>48.523815999999997</v>
      </c>
      <c r="AW15">
        <v>100</v>
      </c>
      <c r="AX15">
        <v>0.53577699999999995</v>
      </c>
      <c r="AY15">
        <v>0.69421500000000003</v>
      </c>
      <c r="AZ15">
        <v>53.577706999999997</v>
      </c>
      <c r="BA15">
        <v>100</v>
      </c>
      <c r="BB15">
        <v>0.65825699999999998</v>
      </c>
      <c r="BC15">
        <v>32.912852999999998</v>
      </c>
      <c r="BD15">
        <v>50</v>
      </c>
      <c r="BE15">
        <v>0.62696499999999999</v>
      </c>
      <c r="BF15">
        <v>31.348272000000001</v>
      </c>
      <c r="BG15">
        <v>50</v>
      </c>
      <c r="BH15">
        <v>1</v>
      </c>
      <c r="BI15">
        <v>0.984707</v>
      </c>
      <c r="BJ15">
        <v>0.96551699999999996</v>
      </c>
      <c r="BK15">
        <v>0.99184099999999997</v>
      </c>
      <c r="BL15">
        <v>0.98215799999999998</v>
      </c>
      <c r="BM15">
        <v>0.96238199999999996</v>
      </c>
      <c r="BN15">
        <v>0.98951</v>
      </c>
      <c r="BO15">
        <v>0.97868200000000005</v>
      </c>
      <c r="BP15">
        <v>0.93984999999999996</v>
      </c>
      <c r="BQ15">
        <v>0.99216700000000002</v>
      </c>
      <c r="BR15">
        <v>3.8550000000000001E-2</v>
      </c>
      <c r="BS15">
        <v>50</v>
      </c>
      <c r="BT15">
        <v>50</v>
      </c>
      <c r="BU15">
        <v>6.3414999999999999E-2</v>
      </c>
      <c r="BV15">
        <v>47.317073000000001</v>
      </c>
      <c r="BW15">
        <v>50</v>
      </c>
      <c r="BX15">
        <v>0.97607699999999997</v>
      </c>
      <c r="BY15">
        <v>50</v>
      </c>
      <c r="BZ15">
        <v>50</v>
      </c>
      <c r="CA15">
        <v>0.62679399999999996</v>
      </c>
      <c r="CB15">
        <v>41.786284000000002</v>
      </c>
      <c r="CC15">
        <v>50</v>
      </c>
      <c r="CD15">
        <v>0.96666700000000005</v>
      </c>
      <c r="CE15">
        <v>50</v>
      </c>
      <c r="CF15">
        <v>50</v>
      </c>
      <c r="CG15">
        <v>0.96601899999999996</v>
      </c>
      <c r="CH15">
        <v>100</v>
      </c>
      <c r="CI15">
        <v>100</v>
      </c>
      <c r="CJ15">
        <v>0</v>
      </c>
      <c r="CK15">
        <v>0.87234</v>
      </c>
      <c r="CL15">
        <v>92.802172999999996</v>
      </c>
      <c r="CM15">
        <v>100</v>
      </c>
      <c r="CN15">
        <v>0.83199999999999996</v>
      </c>
      <c r="CO15">
        <v>100</v>
      </c>
      <c r="CP15">
        <v>100</v>
      </c>
      <c r="CQ15">
        <v>0.61320799999999998</v>
      </c>
      <c r="CR15">
        <v>0.96363600000000005</v>
      </c>
      <c r="CS15">
        <v>40.880502999999997</v>
      </c>
      <c r="CT15">
        <v>50</v>
      </c>
      <c r="CU15">
        <v>0.34732800000000003</v>
      </c>
      <c r="CV15">
        <v>28.944019999999998</v>
      </c>
      <c r="CW15">
        <v>50</v>
      </c>
      <c r="CX15">
        <v>0.87234</v>
      </c>
      <c r="CY15">
        <v>0.94</v>
      </c>
      <c r="CZ15">
        <v>6.7659999999999998E-2</v>
      </c>
      <c r="DA15">
        <v>15.389535</v>
      </c>
      <c r="DB15">
        <v>17.608319000000002</v>
      </c>
      <c r="DC15">
        <v>16.064022999999999</v>
      </c>
      <c r="DD15">
        <v>11.115401</v>
      </c>
      <c r="DE15" t="s">
        <v>125</v>
      </c>
      <c r="DJ15" t="s">
        <v>125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  <c r="DQ15" t="s">
        <v>126</v>
      </c>
    </row>
    <row r="16" spans="1:121" x14ac:dyDescent="0.15">
      <c r="A16">
        <v>2018</v>
      </c>
      <c r="B16" t="s">
        <v>138</v>
      </c>
      <c r="C16" t="str">
        <f>"0840011"</f>
        <v>0840011</v>
      </c>
      <c r="D16" t="s">
        <v>123</v>
      </c>
      <c r="E16" t="str">
        <f t="shared" si="0"/>
        <v>0000000</v>
      </c>
      <c r="F16" t="s">
        <v>123</v>
      </c>
      <c r="G16" t="s">
        <v>123</v>
      </c>
      <c r="H16" t="s">
        <v>123</v>
      </c>
      <c r="J16" t="s">
        <v>124</v>
      </c>
      <c r="K16">
        <v>1183.6863109999999</v>
      </c>
      <c r="L16">
        <v>1450</v>
      </c>
      <c r="M16">
        <v>81.633538999999999</v>
      </c>
      <c r="N16" t="s">
        <v>125</v>
      </c>
      <c r="O16">
        <v>0</v>
      </c>
      <c r="P16">
        <v>72.515894000000003</v>
      </c>
      <c r="Q16">
        <v>48.343929000000003</v>
      </c>
      <c r="R16">
        <v>50</v>
      </c>
      <c r="S16">
        <v>64.806811999999994</v>
      </c>
      <c r="T16">
        <v>75</v>
      </c>
      <c r="U16">
        <v>43.204540999999999</v>
      </c>
      <c r="V16">
        <v>50</v>
      </c>
      <c r="W16">
        <v>68.998130000000003</v>
      </c>
      <c r="X16">
        <v>45.998753000000001</v>
      </c>
      <c r="Y16">
        <v>50</v>
      </c>
      <c r="Z16">
        <v>74.389920000000004</v>
      </c>
      <c r="AA16">
        <v>60.183548000000002</v>
      </c>
      <c r="AB16">
        <v>40.122366</v>
      </c>
      <c r="AC16">
        <v>50</v>
      </c>
      <c r="AD16">
        <v>67.188962000000004</v>
      </c>
      <c r="AE16">
        <v>44.792642000000001</v>
      </c>
      <c r="AF16">
        <v>50</v>
      </c>
      <c r="AG16">
        <v>59.875647999999998</v>
      </c>
      <c r="AH16">
        <v>71.623323999999997</v>
      </c>
      <c r="AI16">
        <v>39.917098000000003</v>
      </c>
      <c r="AJ16">
        <v>50</v>
      </c>
      <c r="AK16">
        <v>10.19</v>
      </c>
      <c r="AL16">
        <v>14.2</v>
      </c>
      <c r="AM16">
        <v>11.74</v>
      </c>
      <c r="AN16">
        <v>0.66559699999999999</v>
      </c>
      <c r="AO16">
        <v>66.559701000000004</v>
      </c>
      <c r="AP16">
        <v>100</v>
      </c>
      <c r="AQ16">
        <v>0.65282499999999999</v>
      </c>
      <c r="AR16">
        <v>65.282526000000004</v>
      </c>
      <c r="AS16">
        <v>100</v>
      </c>
      <c r="AT16">
        <v>0.64872600000000002</v>
      </c>
      <c r="AU16">
        <v>0.67488400000000004</v>
      </c>
      <c r="AV16">
        <v>64.872590000000002</v>
      </c>
      <c r="AW16">
        <v>100</v>
      </c>
      <c r="AX16">
        <v>0.59792699999999999</v>
      </c>
      <c r="AY16">
        <v>0.68286400000000003</v>
      </c>
      <c r="AZ16">
        <v>59.792743999999999</v>
      </c>
      <c r="BA16">
        <v>100</v>
      </c>
      <c r="BB16">
        <v>0.80769100000000005</v>
      </c>
      <c r="BC16">
        <v>40.384535999999997</v>
      </c>
      <c r="BD16">
        <v>50</v>
      </c>
      <c r="BE16">
        <v>0.59214599999999995</v>
      </c>
      <c r="BF16">
        <v>29.607296000000002</v>
      </c>
      <c r="BG16">
        <v>50</v>
      </c>
      <c r="BH16">
        <v>0</v>
      </c>
      <c r="BI16">
        <v>0.97092599999999996</v>
      </c>
      <c r="BJ16">
        <v>0.96715600000000002</v>
      </c>
      <c r="BK16">
        <v>0.97334799999999999</v>
      </c>
      <c r="BL16">
        <v>0.972279</v>
      </c>
      <c r="BM16">
        <v>0.96629200000000004</v>
      </c>
      <c r="BN16">
        <v>0.97612399999999999</v>
      </c>
      <c r="BO16">
        <v>0.95759399999999995</v>
      </c>
      <c r="BP16">
        <v>0.95381499999999997</v>
      </c>
      <c r="BQ16">
        <v>0.95994999999999997</v>
      </c>
      <c r="BR16">
        <v>8.3996000000000001E-2</v>
      </c>
      <c r="BS16">
        <v>43.200740000000003</v>
      </c>
      <c r="BT16">
        <v>50</v>
      </c>
      <c r="BU16">
        <v>0.13964399999999999</v>
      </c>
      <c r="BV16">
        <v>32.071129999999997</v>
      </c>
      <c r="BW16">
        <v>50</v>
      </c>
      <c r="BX16">
        <v>0.90311799999999998</v>
      </c>
      <c r="BY16">
        <v>50</v>
      </c>
      <c r="BZ16">
        <v>50</v>
      </c>
      <c r="CA16">
        <v>0.51893100000000003</v>
      </c>
      <c r="CB16">
        <v>34.595396999999998</v>
      </c>
      <c r="CC16">
        <v>50</v>
      </c>
      <c r="CD16">
        <v>0.92181999999999997</v>
      </c>
      <c r="CE16">
        <v>49.032995</v>
      </c>
      <c r="CF16">
        <v>50</v>
      </c>
      <c r="CG16">
        <v>0.93135000000000001</v>
      </c>
      <c r="CH16">
        <v>99.079798999999994</v>
      </c>
      <c r="CI16">
        <v>100</v>
      </c>
      <c r="CJ16">
        <v>0</v>
      </c>
      <c r="CK16">
        <v>0.92432400000000003</v>
      </c>
      <c r="CL16">
        <v>98.332374999999999</v>
      </c>
      <c r="CM16">
        <v>100</v>
      </c>
      <c r="CN16">
        <v>0.747</v>
      </c>
      <c r="CO16">
        <v>99.539170999999996</v>
      </c>
      <c r="CP16">
        <v>100</v>
      </c>
      <c r="CQ16">
        <v>0.68632099999999996</v>
      </c>
      <c r="CR16">
        <v>0.96254300000000004</v>
      </c>
      <c r="CS16">
        <v>45.754716999999999</v>
      </c>
      <c r="CT16">
        <v>50</v>
      </c>
      <c r="CU16">
        <v>0.51841499999999996</v>
      </c>
      <c r="CV16">
        <v>43.201264999999999</v>
      </c>
      <c r="CW16">
        <v>50</v>
      </c>
      <c r="CX16">
        <v>0.92432400000000003</v>
      </c>
      <c r="CY16">
        <v>0.94</v>
      </c>
      <c r="CZ16">
        <v>1.5675999999999999E-2</v>
      </c>
      <c r="DA16">
        <v>15.389535</v>
      </c>
      <c r="DB16">
        <v>17.608319000000002</v>
      </c>
      <c r="DC16">
        <v>16.064022999999999</v>
      </c>
      <c r="DD16">
        <v>11.115401</v>
      </c>
      <c r="DE16" t="s">
        <v>125</v>
      </c>
      <c r="DJ16" t="s">
        <v>125</v>
      </c>
      <c r="DK16" t="s">
        <v>125</v>
      </c>
      <c r="DL16" t="s">
        <v>125</v>
      </c>
      <c r="DM16" t="s">
        <v>125</v>
      </c>
      <c r="DN16" t="s">
        <v>125</v>
      </c>
      <c r="DO16" t="s">
        <v>125</v>
      </c>
      <c r="DQ16" t="s">
        <v>126</v>
      </c>
    </row>
    <row r="17" spans="1:121" x14ac:dyDescent="0.15">
      <c r="A17">
        <v>2018</v>
      </c>
      <c r="B17" t="s">
        <v>139</v>
      </c>
      <c r="C17" t="str">
        <f>"1640011"</f>
        <v>1640011</v>
      </c>
      <c r="D17" t="s">
        <v>123</v>
      </c>
      <c r="E17" t="str">
        <f t="shared" si="0"/>
        <v>0000000</v>
      </c>
      <c r="F17" t="s">
        <v>123</v>
      </c>
      <c r="G17" t="s">
        <v>123</v>
      </c>
      <c r="H17" t="s">
        <v>123</v>
      </c>
      <c r="J17" t="s">
        <v>124</v>
      </c>
      <c r="K17">
        <v>1100.011078</v>
      </c>
      <c r="L17">
        <v>1450</v>
      </c>
      <c r="M17">
        <v>75.862832999999995</v>
      </c>
      <c r="N17" t="s">
        <v>125</v>
      </c>
      <c r="O17">
        <v>0</v>
      </c>
      <c r="P17">
        <v>62.454608</v>
      </c>
      <c r="Q17">
        <v>41.636405000000003</v>
      </c>
      <c r="R17">
        <v>50</v>
      </c>
      <c r="S17">
        <v>55.503914999999999</v>
      </c>
      <c r="T17">
        <v>70.163392000000002</v>
      </c>
      <c r="U17">
        <v>37.002609999999997</v>
      </c>
      <c r="V17">
        <v>50</v>
      </c>
      <c r="W17">
        <v>60.203839000000002</v>
      </c>
      <c r="X17">
        <v>40.135891999999998</v>
      </c>
      <c r="Y17">
        <v>50</v>
      </c>
      <c r="Z17">
        <v>68.086701000000005</v>
      </c>
      <c r="AA17">
        <v>53.073517000000002</v>
      </c>
      <c r="AB17">
        <v>35.382345000000001</v>
      </c>
      <c r="AC17">
        <v>50</v>
      </c>
      <c r="AD17">
        <v>61.978107999999999</v>
      </c>
      <c r="AE17">
        <v>41.318739000000001</v>
      </c>
      <c r="AF17">
        <v>50</v>
      </c>
      <c r="AG17">
        <v>55.114773999999997</v>
      </c>
      <c r="AH17">
        <v>69.382774999999995</v>
      </c>
      <c r="AI17">
        <v>36.743183000000002</v>
      </c>
      <c r="AJ17">
        <v>50</v>
      </c>
      <c r="AK17">
        <v>14.65</v>
      </c>
      <c r="AL17">
        <v>15.01</v>
      </c>
      <c r="AM17">
        <v>14.26</v>
      </c>
      <c r="AN17">
        <v>0.607518</v>
      </c>
      <c r="AO17">
        <v>60.751815000000001</v>
      </c>
      <c r="AP17">
        <v>100</v>
      </c>
      <c r="AQ17">
        <v>0.72860000000000003</v>
      </c>
      <c r="AR17">
        <v>72.859954000000002</v>
      </c>
      <c r="AS17">
        <v>100</v>
      </c>
      <c r="AT17">
        <v>0.58519600000000005</v>
      </c>
      <c r="AU17">
        <v>0.62890699999999999</v>
      </c>
      <c r="AV17">
        <v>58.519606000000003</v>
      </c>
      <c r="AW17">
        <v>100</v>
      </c>
      <c r="AX17">
        <v>0.68906500000000004</v>
      </c>
      <c r="AY17">
        <v>0.76632</v>
      </c>
      <c r="AZ17">
        <v>68.906535000000005</v>
      </c>
      <c r="BA17">
        <v>100</v>
      </c>
      <c r="BB17">
        <v>0.53636399999999995</v>
      </c>
      <c r="BC17">
        <v>26.818194999999999</v>
      </c>
      <c r="BD17">
        <v>50</v>
      </c>
      <c r="BE17">
        <v>0.618896</v>
      </c>
      <c r="BF17">
        <v>30.944776999999998</v>
      </c>
      <c r="BG17">
        <v>50</v>
      </c>
      <c r="BH17">
        <v>0</v>
      </c>
      <c r="BI17">
        <v>0.97721999999999998</v>
      </c>
      <c r="BJ17">
        <v>0.96432399999999996</v>
      </c>
      <c r="BK17">
        <v>0.99237600000000004</v>
      </c>
      <c r="BL17">
        <v>0.97194599999999998</v>
      </c>
      <c r="BM17">
        <v>0.95675699999999997</v>
      </c>
      <c r="BN17">
        <v>0.98982199999999998</v>
      </c>
      <c r="BO17">
        <v>0.97096000000000005</v>
      </c>
      <c r="BP17">
        <v>0.95316199999999995</v>
      </c>
      <c r="BQ17">
        <v>0.99178100000000002</v>
      </c>
      <c r="BR17">
        <v>9.6543000000000004E-2</v>
      </c>
      <c r="BS17">
        <v>40.691372999999999</v>
      </c>
      <c r="BT17">
        <v>50</v>
      </c>
      <c r="BU17">
        <v>0.145981</v>
      </c>
      <c r="BV17">
        <v>30.803782999999999</v>
      </c>
      <c r="BW17">
        <v>50</v>
      </c>
      <c r="BX17">
        <v>0.71803300000000003</v>
      </c>
      <c r="BY17">
        <v>47.868851999999997</v>
      </c>
      <c r="BZ17">
        <v>50</v>
      </c>
      <c r="CA17">
        <v>0.30163899999999999</v>
      </c>
      <c r="CB17">
        <v>20.109290000000001</v>
      </c>
      <c r="CC17">
        <v>50</v>
      </c>
      <c r="CD17">
        <v>0.89215699999999998</v>
      </c>
      <c r="CE17">
        <v>47.455151999999998</v>
      </c>
      <c r="CF17">
        <v>50</v>
      </c>
      <c r="CG17">
        <v>0.89032299999999998</v>
      </c>
      <c r="CH17">
        <v>94.715168000000006</v>
      </c>
      <c r="CI17">
        <v>100</v>
      </c>
      <c r="CJ17">
        <v>0</v>
      </c>
      <c r="CK17">
        <v>0.86861299999999997</v>
      </c>
      <c r="CL17">
        <v>92.405653000000001</v>
      </c>
      <c r="CM17">
        <v>100</v>
      </c>
      <c r="CN17">
        <v>0.69299999999999995</v>
      </c>
      <c r="CO17">
        <v>92.413792999999998</v>
      </c>
      <c r="CP17">
        <v>100</v>
      </c>
      <c r="CQ17">
        <v>0.55084699999999998</v>
      </c>
      <c r="CR17">
        <v>0.91561599999999999</v>
      </c>
      <c r="CS17">
        <v>36.723163999999997</v>
      </c>
      <c r="CT17">
        <v>50</v>
      </c>
      <c r="CU17">
        <v>0.54965799999999998</v>
      </c>
      <c r="CV17">
        <v>45.804794999999999</v>
      </c>
      <c r="CW17">
        <v>50</v>
      </c>
      <c r="CX17">
        <v>0.86861299999999997</v>
      </c>
      <c r="CY17">
        <v>0.94</v>
      </c>
      <c r="CZ17">
        <v>7.1387000000000006E-2</v>
      </c>
      <c r="DA17">
        <v>15.389535</v>
      </c>
      <c r="DB17">
        <v>17.608319000000002</v>
      </c>
      <c r="DC17">
        <v>16.064022999999999</v>
      </c>
      <c r="DD17">
        <v>11.115401</v>
      </c>
      <c r="DE17" t="s">
        <v>125</v>
      </c>
      <c r="DJ17" t="s">
        <v>125</v>
      </c>
      <c r="DK17" t="s">
        <v>125</v>
      </c>
      <c r="DL17" t="s">
        <v>125</v>
      </c>
      <c r="DM17" t="s">
        <v>125</v>
      </c>
      <c r="DN17" t="s">
        <v>125</v>
      </c>
      <c r="DO17" t="s">
        <v>125</v>
      </c>
      <c r="DQ17" t="s">
        <v>126</v>
      </c>
    </row>
    <row r="18" spans="1:121" x14ac:dyDescent="0.15">
      <c r="A18">
        <v>2018</v>
      </c>
      <c r="B18" t="s">
        <v>140</v>
      </c>
      <c r="C18" t="str">
        <f>"0190011"</f>
        <v>0190011</v>
      </c>
      <c r="D18" t="s">
        <v>123</v>
      </c>
      <c r="E18" t="str">
        <f t="shared" si="0"/>
        <v>0000000</v>
      </c>
      <c r="F18" t="s">
        <v>123</v>
      </c>
      <c r="G18" t="s">
        <v>123</v>
      </c>
      <c r="H18" t="s">
        <v>123</v>
      </c>
      <c r="J18" t="s">
        <v>124</v>
      </c>
      <c r="K18">
        <v>671.32216200000005</v>
      </c>
      <c r="L18">
        <v>900</v>
      </c>
      <c r="M18">
        <v>74.591351000000003</v>
      </c>
      <c r="N18" t="s">
        <v>125</v>
      </c>
      <c r="O18">
        <v>0</v>
      </c>
      <c r="P18">
        <v>72.508628000000002</v>
      </c>
      <c r="Q18">
        <v>48.339086000000002</v>
      </c>
      <c r="R18">
        <v>50</v>
      </c>
      <c r="S18">
        <v>64.236901000000003</v>
      </c>
      <c r="T18">
        <v>75</v>
      </c>
      <c r="U18">
        <v>42.824601000000001</v>
      </c>
      <c r="V18">
        <v>50</v>
      </c>
      <c r="W18">
        <v>64.999433999999994</v>
      </c>
      <c r="X18">
        <v>43.332956000000003</v>
      </c>
      <c r="Y18">
        <v>50</v>
      </c>
      <c r="Z18">
        <v>71.904079999999993</v>
      </c>
      <c r="AA18">
        <v>56.557198</v>
      </c>
      <c r="AB18">
        <v>37.704799000000001</v>
      </c>
      <c r="AC18">
        <v>50</v>
      </c>
      <c r="AD18">
        <v>74.399820000000005</v>
      </c>
      <c r="AE18">
        <v>49.599879999999999</v>
      </c>
      <c r="AF18">
        <v>50</v>
      </c>
      <c r="AG18">
        <v>65.005089999999996</v>
      </c>
      <c r="AH18">
        <v>75</v>
      </c>
      <c r="AI18">
        <v>43.336725999999999</v>
      </c>
      <c r="AJ18">
        <v>50</v>
      </c>
      <c r="AK18">
        <v>10.76</v>
      </c>
      <c r="AL18">
        <v>15.34</v>
      </c>
      <c r="AM18">
        <v>9.99</v>
      </c>
      <c r="AN18">
        <v>0.57562599999999997</v>
      </c>
      <c r="AO18">
        <v>57.562561000000002</v>
      </c>
      <c r="AP18">
        <v>100</v>
      </c>
      <c r="AQ18">
        <v>0.62151000000000001</v>
      </c>
      <c r="AR18">
        <v>62.150979</v>
      </c>
      <c r="AS18">
        <v>100</v>
      </c>
      <c r="AT18">
        <v>0.58350000000000002</v>
      </c>
      <c r="AU18">
        <v>0.570133</v>
      </c>
      <c r="AV18">
        <v>58.349952000000002</v>
      </c>
      <c r="AW18">
        <v>100</v>
      </c>
      <c r="AX18">
        <v>0.59641599999999995</v>
      </c>
      <c r="AY18">
        <v>0.63911600000000002</v>
      </c>
      <c r="AZ18">
        <v>59.641641</v>
      </c>
      <c r="BA18">
        <v>100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>
        <v>0</v>
      </c>
      <c r="BI18">
        <v>0.99631700000000001</v>
      </c>
      <c r="BJ18">
        <v>0.99187000000000003</v>
      </c>
      <c r="BK18">
        <v>1</v>
      </c>
      <c r="BL18">
        <v>0.99631700000000001</v>
      </c>
      <c r="BM18">
        <v>0.99187000000000003</v>
      </c>
      <c r="BN18">
        <v>1</v>
      </c>
      <c r="BO18">
        <v>0.995305</v>
      </c>
      <c r="BP18">
        <v>0.98734200000000005</v>
      </c>
      <c r="BQ18">
        <v>1</v>
      </c>
      <c r="BR18">
        <v>5.604E-2</v>
      </c>
      <c r="BS18">
        <v>48.792029999999997</v>
      </c>
      <c r="BT18">
        <v>50</v>
      </c>
      <c r="BU18">
        <v>0.102426</v>
      </c>
      <c r="BV18">
        <v>39.514825000000002</v>
      </c>
      <c r="BW18">
        <v>50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>
        <v>0.915663</v>
      </c>
      <c r="CE18">
        <v>48.705460000000002</v>
      </c>
      <c r="CF18">
        <v>50</v>
      </c>
      <c r="CG18" t="s">
        <v>125</v>
      </c>
      <c r="CH18" t="s">
        <v>125</v>
      </c>
      <c r="CI18" t="s">
        <v>125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>
        <v>0.47199999999999998</v>
      </c>
      <c r="CR18">
        <v>0.93984999999999996</v>
      </c>
      <c r="CS18">
        <v>31.466667000000001</v>
      </c>
      <c r="CT18">
        <v>50</v>
      </c>
      <c r="CU18" t="s">
        <v>125</v>
      </c>
      <c r="CV18" t="s">
        <v>125</v>
      </c>
      <c r="CW18" t="s">
        <v>125</v>
      </c>
      <c r="CX18" t="s">
        <v>125</v>
      </c>
      <c r="CY18" t="s">
        <v>125</v>
      </c>
      <c r="CZ18" t="s">
        <v>125</v>
      </c>
      <c r="DA18">
        <v>15.389535</v>
      </c>
      <c r="DB18">
        <v>17.608319000000002</v>
      </c>
      <c r="DC18">
        <v>16.064022999999999</v>
      </c>
      <c r="DD18" t="s">
        <v>125</v>
      </c>
      <c r="DE18" t="s">
        <v>125</v>
      </c>
      <c r="DJ18" t="s">
        <v>125</v>
      </c>
      <c r="DK18" t="s">
        <v>125</v>
      </c>
      <c r="DL18" t="s">
        <v>125</v>
      </c>
      <c r="DM18" t="s">
        <v>125</v>
      </c>
      <c r="DN18" t="s">
        <v>125</v>
      </c>
      <c r="DO18" t="s">
        <v>125</v>
      </c>
      <c r="DQ18" t="s">
        <v>126</v>
      </c>
    </row>
    <row r="19" spans="1:121" x14ac:dyDescent="0.15">
      <c r="A19">
        <v>2018</v>
      </c>
      <c r="B19" t="s">
        <v>141</v>
      </c>
      <c r="C19" t="str">
        <f>"0120011"</f>
        <v>0120011</v>
      </c>
      <c r="D19" t="s">
        <v>123</v>
      </c>
      <c r="E19" t="str">
        <f t="shared" si="0"/>
        <v>0000000</v>
      </c>
      <c r="F19" t="s">
        <v>123</v>
      </c>
      <c r="G19" t="s">
        <v>123</v>
      </c>
      <c r="H19" t="s">
        <v>123</v>
      </c>
      <c r="J19" t="s">
        <v>124</v>
      </c>
      <c r="K19">
        <v>989.25786100000005</v>
      </c>
      <c r="L19">
        <v>1250</v>
      </c>
      <c r="M19">
        <v>79.140629000000004</v>
      </c>
      <c r="N19" t="s">
        <v>125</v>
      </c>
      <c r="O19">
        <v>1</v>
      </c>
      <c r="P19">
        <v>74.892921999999999</v>
      </c>
      <c r="Q19">
        <v>49.928615000000001</v>
      </c>
      <c r="R19">
        <v>50</v>
      </c>
      <c r="S19">
        <v>62.349843999999997</v>
      </c>
      <c r="T19">
        <v>75</v>
      </c>
      <c r="U19">
        <v>41.566561999999998</v>
      </c>
      <c r="V19">
        <v>50</v>
      </c>
      <c r="W19">
        <v>70.699254999999994</v>
      </c>
      <c r="X19">
        <v>47.132837000000002</v>
      </c>
      <c r="Y19">
        <v>50</v>
      </c>
      <c r="Z19">
        <v>75</v>
      </c>
      <c r="AA19">
        <v>57.37086</v>
      </c>
      <c r="AB19">
        <v>38.247239999999998</v>
      </c>
      <c r="AC19">
        <v>50</v>
      </c>
      <c r="AD19">
        <v>74.817374000000001</v>
      </c>
      <c r="AE19">
        <v>49.878248999999997</v>
      </c>
      <c r="AF19">
        <v>50</v>
      </c>
      <c r="AG19">
        <v>60.845556000000002</v>
      </c>
      <c r="AH19">
        <v>75</v>
      </c>
      <c r="AI19">
        <v>40.563704000000001</v>
      </c>
      <c r="AJ19">
        <v>50</v>
      </c>
      <c r="AK19">
        <v>12.65</v>
      </c>
      <c r="AL19">
        <v>17.62</v>
      </c>
      <c r="AM19">
        <v>14.15</v>
      </c>
      <c r="AN19">
        <v>0.58909100000000003</v>
      </c>
      <c r="AO19">
        <v>58.909056999999997</v>
      </c>
      <c r="AP19">
        <v>100</v>
      </c>
      <c r="AQ19">
        <v>0.61204700000000001</v>
      </c>
      <c r="AR19">
        <v>61.204704</v>
      </c>
      <c r="AS19">
        <v>100</v>
      </c>
      <c r="AT19">
        <v>0.52349299999999999</v>
      </c>
      <c r="AU19">
        <v>0.61576900000000001</v>
      </c>
      <c r="AV19">
        <v>52.349302000000002</v>
      </c>
      <c r="AW19">
        <v>100</v>
      </c>
      <c r="AX19">
        <v>0.49428899999999998</v>
      </c>
      <c r="AY19">
        <v>0.65937599999999996</v>
      </c>
      <c r="AZ19">
        <v>49.428927000000002</v>
      </c>
      <c r="BA19">
        <v>100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125</v>
      </c>
      <c r="BH19">
        <v>0</v>
      </c>
      <c r="BI19">
        <v>0.983294</v>
      </c>
      <c r="BJ19">
        <v>0.992537</v>
      </c>
      <c r="BK19">
        <v>0.97894700000000001</v>
      </c>
      <c r="BL19">
        <v>0.98090699999999997</v>
      </c>
      <c r="BM19">
        <v>0.98507500000000003</v>
      </c>
      <c r="BN19">
        <v>0.97894700000000001</v>
      </c>
      <c r="BO19">
        <v>0.98958299999999999</v>
      </c>
      <c r="BP19">
        <v>0.98360700000000001</v>
      </c>
      <c r="BQ19">
        <v>0.99236599999999997</v>
      </c>
      <c r="BR19">
        <v>5.0518E-2</v>
      </c>
      <c r="BS19">
        <v>49.896372999999997</v>
      </c>
      <c r="BT19">
        <v>50</v>
      </c>
      <c r="BU19">
        <v>0.130435</v>
      </c>
      <c r="BV19">
        <v>33.913043000000002</v>
      </c>
      <c r="BW19">
        <v>50</v>
      </c>
      <c r="BX19">
        <v>0.76800000000000002</v>
      </c>
      <c r="BY19">
        <v>50</v>
      </c>
      <c r="BZ19">
        <v>50</v>
      </c>
      <c r="CA19">
        <v>0.504</v>
      </c>
      <c r="CB19">
        <v>33.6</v>
      </c>
      <c r="CC19">
        <v>50</v>
      </c>
      <c r="CD19">
        <v>0.96183200000000002</v>
      </c>
      <c r="CE19">
        <v>50</v>
      </c>
      <c r="CF19">
        <v>50</v>
      </c>
      <c r="CG19">
        <v>0.97499999999999998</v>
      </c>
      <c r="CH19">
        <v>100</v>
      </c>
      <c r="CI19">
        <v>100</v>
      </c>
      <c r="CJ19">
        <v>0</v>
      </c>
      <c r="CK19" t="s">
        <v>125</v>
      </c>
      <c r="CL19" t="s">
        <v>125</v>
      </c>
      <c r="CM19" t="s">
        <v>125</v>
      </c>
      <c r="CN19">
        <v>0.84799999999999998</v>
      </c>
      <c r="CO19">
        <v>100</v>
      </c>
      <c r="CP19">
        <v>100</v>
      </c>
      <c r="CQ19">
        <v>0.50204099999999996</v>
      </c>
      <c r="CR19">
        <v>0.96456699999999995</v>
      </c>
      <c r="CS19">
        <v>33.469388000000002</v>
      </c>
      <c r="CT19">
        <v>50</v>
      </c>
      <c r="CU19">
        <v>0.59003799999999995</v>
      </c>
      <c r="CV19">
        <v>49.16986</v>
      </c>
      <c r="CW19">
        <v>50</v>
      </c>
      <c r="CX19" t="s">
        <v>125</v>
      </c>
      <c r="CY19" t="s">
        <v>125</v>
      </c>
      <c r="CZ19" t="s">
        <v>125</v>
      </c>
      <c r="DA19">
        <v>15.389535</v>
      </c>
      <c r="DB19">
        <v>17.608319000000002</v>
      </c>
      <c r="DC19">
        <v>16.064022999999999</v>
      </c>
      <c r="DD19">
        <v>11.115401</v>
      </c>
      <c r="DE19" t="s">
        <v>125</v>
      </c>
      <c r="DJ19" t="s">
        <v>125</v>
      </c>
      <c r="DK19" t="s">
        <v>125</v>
      </c>
      <c r="DL19" t="s">
        <v>125</v>
      </c>
      <c r="DM19" t="s">
        <v>125</v>
      </c>
      <c r="DN19" t="s">
        <v>125</v>
      </c>
      <c r="DO19" t="s">
        <v>125</v>
      </c>
      <c r="DQ19" t="s">
        <v>126</v>
      </c>
    </row>
    <row r="20" spans="1:121" x14ac:dyDescent="0.15">
      <c r="A20">
        <v>2018</v>
      </c>
      <c r="B20" t="s">
        <v>142</v>
      </c>
      <c r="C20" t="str">
        <f>"0860011"</f>
        <v>0860011</v>
      </c>
      <c r="D20" t="s">
        <v>123</v>
      </c>
      <c r="E20" t="str">
        <f t="shared" si="0"/>
        <v>0000000</v>
      </c>
      <c r="F20" t="s">
        <v>123</v>
      </c>
      <c r="G20" t="s">
        <v>123</v>
      </c>
      <c r="H20" t="s">
        <v>123</v>
      </c>
      <c r="J20" t="s">
        <v>124</v>
      </c>
      <c r="K20">
        <v>1129.627659</v>
      </c>
      <c r="L20">
        <v>1450</v>
      </c>
      <c r="M20">
        <v>77.905355999999998</v>
      </c>
      <c r="N20" t="s">
        <v>125</v>
      </c>
      <c r="O20">
        <v>0</v>
      </c>
      <c r="P20">
        <v>71.048777000000001</v>
      </c>
      <c r="Q20">
        <v>47.365850999999999</v>
      </c>
      <c r="R20">
        <v>50</v>
      </c>
      <c r="S20">
        <v>65.057087999999993</v>
      </c>
      <c r="T20">
        <v>75</v>
      </c>
      <c r="U20">
        <v>43.371392</v>
      </c>
      <c r="V20">
        <v>50</v>
      </c>
      <c r="W20">
        <v>67.595212000000004</v>
      </c>
      <c r="X20">
        <v>45.063473999999999</v>
      </c>
      <c r="Y20">
        <v>50</v>
      </c>
      <c r="Z20">
        <v>73.902974</v>
      </c>
      <c r="AA20">
        <v>61.775280000000002</v>
      </c>
      <c r="AB20">
        <v>41.183520000000001</v>
      </c>
      <c r="AC20">
        <v>50</v>
      </c>
      <c r="AD20">
        <v>65.816911000000005</v>
      </c>
      <c r="AE20">
        <v>43.877941</v>
      </c>
      <c r="AF20">
        <v>50</v>
      </c>
      <c r="AG20">
        <v>60.366875999999998</v>
      </c>
      <c r="AH20">
        <v>71.157066999999998</v>
      </c>
      <c r="AI20">
        <v>40.244584000000003</v>
      </c>
      <c r="AJ20">
        <v>50</v>
      </c>
      <c r="AK20">
        <v>9.94</v>
      </c>
      <c r="AL20">
        <v>12.12</v>
      </c>
      <c r="AM20">
        <v>10.79</v>
      </c>
      <c r="AN20">
        <v>0.62323099999999998</v>
      </c>
      <c r="AO20">
        <v>62.323079</v>
      </c>
      <c r="AP20">
        <v>100</v>
      </c>
      <c r="AQ20">
        <v>0.63988900000000004</v>
      </c>
      <c r="AR20">
        <v>63.988875999999998</v>
      </c>
      <c r="AS20">
        <v>100</v>
      </c>
      <c r="AT20">
        <v>0.57883799999999996</v>
      </c>
      <c r="AU20">
        <v>0.665551</v>
      </c>
      <c r="AV20">
        <v>57.883845999999998</v>
      </c>
      <c r="AW20">
        <v>100</v>
      </c>
      <c r="AX20">
        <v>0.59106199999999998</v>
      </c>
      <c r="AY20">
        <v>0.68643100000000001</v>
      </c>
      <c r="AZ20">
        <v>59.106189000000001</v>
      </c>
      <c r="BA20">
        <v>100</v>
      </c>
      <c r="BB20">
        <v>0.70841799999999999</v>
      </c>
      <c r="BC20">
        <v>35.420907999999997</v>
      </c>
      <c r="BD20">
        <v>50</v>
      </c>
      <c r="BE20">
        <v>0.68078499999999997</v>
      </c>
      <c r="BF20">
        <v>34.039250000000003</v>
      </c>
      <c r="BG20">
        <v>50</v>
      </c>
      <c r="BH20">
        <v>0</v>
      </c>
      <c r="BI20">
        <v>0.989286</v>
      </c>
      <c r="BJ20">
        <v>0.98154399999999997</v>
      </c>
      <c r="BK20">
        <v>0.99809199999999998</v>
      </c>
      <c r="BL20">
        <v>0.98747799999999997</v>
      </c>
      <c r="BM20">
        <v>0.97986600000000001</v>
      </c>
      <c r="BN20">
        <v>0.99616899999999997</v>
      </c>
      <c r="BO20">
        <v>0.98632799999999998</v>
      </c>
      <c r="BP20">
        <v>0.98455599999999999</v>
      </c>
      <c r="BQ20">
        <v>0.98814199999999996</v>
      </c>
      <c r="BR20">
        <v>8.4478999999999999E-2</v>
      </c>
      <c r="BS20">
        <v>43.104126000000001</v>
      </c>
      <c r="BT20">
        <v>50</v>
      </c>
      <c r="BU20">
        <v>0.12784100000000001</v>
      </c>
      <c r="BV20">
        <v>34.431818</v>
      </c>
      <c r="BW20">
        <v>50</v>
      </c>
      <c r="BX20">
        <v>0.91216200000000003</v>
      </c>
      <c r="BY20">
        <v>50</v>
      </c>
      <c r="BZ20">
        <v>50</v>
      </c>
      <c r="CA20">
        <v>0.36486499999999999</v>
      </c>
      <c r="CB20">
        <v>24.324324000000001</v>
      </c>
      <c r="CC20">
        <v>50</v>
      </c>
      <c r="CD20">
        <v>0.96187699999999998</v>
      </c>
      <c r="CE20">
        <v>50</v>
      </c>
      <c r="CF20">
        <v>50</v>
      </c>
      <c r="CG20">
        <v>0.91160200000000002</v>
      </c>
      <c r="CH20">
        <v>96.978959000000003</v>
      </c>
      <c r="CI20">
        <v>100</v>
      </c>
      <c r="CJ20">
        <v>0</v>
      </c>
      <c r="CK20">
        <v>0.88043499999999997</v>
      </c>
      <c r="CL20">
        <v>93.663274999999999</v>
      </c>
      <c r="CM20">
        <v>100</v>
      </c>
      <c r="CN20">
        <v>0.64800000000000002</v>
      </c>
      <c r="CO20">
        <v>86.363636</v>
      </c>
      <c r="CP20">
        <v>100</v>
      </c>
      <c r="CQ20">
        <v>0.41242000000000001</v>
      </c>
      <c r="CR20">
        <v>0.969136</v>
      </c>
      <c r="CS20">
        <v>27.494692000000001</v>
      </c>
      <c r="CT20">
        <v>50</v>
      </c>
      <c r="CU20">
        <v>0.59277500000000005</v>
      </c>
      <c r="CV20">
        <v>49.397919999999999</v>
      </c>
      <c r="CW20">
        <v>50</v>
      </c>
      <c r="CX20">
        <v>0.88043499999999997</v>
      </c>
      <c r="CY20">
        <v>0.94</v>
      </c>
      <c r="CZ20">
        <v>5.9565E-2</v>
      </c>
      <c r="DA20">
        <v>15.389535</v>
      </c>
      <c r="DB20">
        <v>17.608319000000002</v>
      </c>
      <c r="DC20">
        <v>16.064022999999999</v>
      </c>
      <c r="DD20">
        <v>11.115401</v>
      </c>
      <c r="DE20" t="s">
        <v>125</v>
      </c>
      <c r="DJ20" t="s">
        <v>125</v>
      </c>
      <c r="DK20" t="s">
        <v>125</v>
      </c>
      <c r="DL20" t="s">
        <v>125</v>
      </c>
      <c r="DM20" t="s">
        <v>125</v>
      </c>
      <c r="DN20" t="s">
        <v>125</v>
      </c>
      <c r="DO20" t="s">
        <v>125</v>
      </c>
      <c r="DQ20" t="s">
        <v>126</v>
      </c>
    </row>
    <row r="21" spans="1:121" x14ac:dyDescent="0.15">
      <c r="A21">
        <v>2018</v>
      </c>
      <c r="B21" t="s">
        <v>143</v>
      </c>
      <c r="C21" t="str">
        <f>"1510011"</f>
        <v>1510011</v>
      </c>
      <c r="D21" t="s">
        <v>123</v>
      </c>
      <c r="E21" t="str">
        <f t="shared" si="0"/>
        <v>0000000</v>
      </c>
      <c r="F21" t="s">
        <v>123</v>
      </c>
      <c r="G21" t="s">
        <v>123</v>
      </c>
      <c r="H21" t="s">
        <v>123</v>
      </c>
      <c r="J21" t="s">
        <v>124</v>
      </c>
      <c r="K21">
        <v>936.49708599999997</v>
      </c>
      <c r="L21">
        <v>1450</v>
      </c>
      <c r="M21">
        <v>64.586005999999998</v>
      </c>
      <c r="N21" t="s">
        <v>125</v>
      </c>
      <c r="O21">
        <v>0</v>
      </c>
      <c r="P21">
        <v>55.607323999999998</v>
      </c>
      <c r="Q21">
        <v>37.071550000000002</v>
      </c>
      <c r="R21">
        <v>50</v>
      </c>
      <c r="S21">
        <v>54.105547000000001</v>
      </c>
      <c r="T21">
        <v>68.982174000000001</v>
      </c>
      <c r="U21">
        <v>36.070363999999998</v>
      </c>
      <c r="V21">
        <v>50</v>
      </c>
      <c r="W21">
        <v>48.575006000000002</v>
      </c>
      <c r="X21">
        <v>32.383336999999997</v>
      </c>
      <c r="Y21">
        <v>50</v>
      </c>
      <c r="Z21">
        <v>61.651014000000004</v>
      </c>
      <c r="AA21">
        <v>47.106045000000002</v>
      </c>
      <c r="AB21">
        <v>31.404029999999999</v>
      </c>
      <c r="AC21">
        <v>50</v>
      </c>
      <c r="AD21">
        <v>51.164658000000003</v>
      </c>
      <c r="AE21">
        <v>34.109772</v>
      </c>
      <c r="AF21">
        <v>50</v>
      </c>
      <c r="AG21">
        <v>50.047407999999997</v>
      </c>
      <c r="AH21">
        <v>60.896107999999998</v>
      </c>
      <c r="AI21">
        <v>33.364938000000002</v>
      </c>
      <c r="AJ21">
        <v>50</v>
      </c>
      <c r="AK21">
        <v>14.87</v>
      </c>
      <c r="AL21">
        <v>14.54</v>
      </c>
      <c r="AM21">
        <v>10.84</v>
      </c>
      <c r="AN21">
        <v>0.57836500000000002</v>
      </c>
      <c r="AO21">
        <v>57.836517000000001</v>
      </c>
      <c r="AP21">
        <v>100</v>
      </c>
      <c r="AQ21">
        <v>0.53766899999999995</v>
      </c>
      <c r="AR21">
        <v>53.766858999999997</v>
      </c>
      <c r="AS21">
        <v>100</v>
      </c>
      <c r="AT21">
        <v>0.57002699999999995</v>
      </c>
      <c r="AU21">
        <v>0.65908500000000003</v>
      </c>
      <c r="AV21">
        <v>57.002709000000003</v>
      </c>
      <c r="AW21">
        <v>100</v>
      </c>
      <c r="AX21">
        <v>0.53283599999999998</v>
      </c>
      <c r="AY21">
        <v>0.58437700000000004</v>
      </c>
      <c r="AZ21">
        <v>53.283645999999997</v>
      </c>
      <c r="BA21">
        <v>100</v>
      </c>
      <c r="BB21">
        <v>0.50541999999999998</v>
      </c>
      <c r="BC21">
        <v>25.270977999999999</v>
      </c>
      <c r="BD21">
        <v>50</v>
      </c>
      <c r="BE21">
        <v>0.44548599999999999</v>
      </c>
      <c r="BF21">
        <v>22.274287999999999</v>
      </c>
      <c r="BG21">
        <v>50</v>
      </c>
      <c r="BH21">
        <v>0</v>
      </c>
      <c r="BI21">
        <v>0.98714299999999999</v>
      </c>
      <c r="BJ21">
        <v>0.98624900000000004</v>
      </c>
      <c r="BK21">
        <v>0.99502999999999997</v>
      </c>
      <c r="BL21">
        <v>0.986622</v>
      </c>
      <c r="BM21">
        <v>0.98577999999999999</v>
      </c>
      <c r="BN21">
        <v>0.99403600000000003</v>
      </c>
      <c r="BO21">
        <v>0.98491200000000001</v>
      </c>
      <c r="BP21">
        <v>0.98398699999999995</v>
      </c>
      <c r="BQ21">
        <v>0.99287400000000003</v>
      </c>
      <c r="BR21">
        <v>0.15597900000000001</v>
      </c>
      <c r="BS21">
        <v>28.804158999999999</v>
      </c>
      <c r="BT21">
        <v>50</v>
      </c>
      <c r="BU21">
        <v>0.16855100000000001</v>
      </c>
      <c r="BV21">
        <v>26.289864000000001</v>
      </c>
      <c r="BW21">
        <v>50</v>
      </c>
      <c r="BX21">
        <v>0.60581099999999999</v>
      </c>
      <c r="BY21">
        <v>40.387394999999998</v>
      </c>
      <c r="BZ21">
        <v>50</v>
      </c>
      <c r="CA21">
        <v>0.12012100000000001</v>
      </c>
      <c r="CB21">
        <v>8.0080950000000009</v>
      </c>
      <c r="CC21">
        <v>50</v>
      </c>
      <c r="CD21">
        <v>0.80885200000000002</v>
      </c>
      <c r="CE21">
        <v>43.024059999999999</v>
      </c>
      <c r="CF21">
        <v>50</v>
      </c>
      <c r="CG21">
        <v>0.76693999999999996</v>
      </c>
      <c r="CH21">
        <v>81.589327999999995</v>
      </c>
      <c r="CI21">
        <v>100</v>
      </c>
      <c r="CJ21">
        <v>1</v>
      </c>
      <c r="CK21">
        <v>0.75115200000000004</v>
      </c>
      <c r="CL21">
        <v>79.909795000000003</v>
      </c>
      <c r="CM21">
        <v>100</v>
      </c>
      <c r="CN21">
        <v>0.65100000000000002</v>
      </c>
      <c r="CO21">
        <v>86.815920000000006</v>
      </c>
      <c r="CP21">
        <v>100</v>
      </c>
      <c r="CQ21">
        <v>0.51944699999999999</v>
      </c>
      <c r="CR21">
        <v>1.032667</v>
      </c>
      <c r="CS21">
        <v>34.62979</v>
      </c>
      <c r="CT21">
        <v>50</v>
      </c>
      <c r="CU21">
        <v>0.39839599999999997</v>
      </c>
      <c r="CV21">
        <v>33.199691000000001</v>
      </c>
      <c r="CW21">
        <v>50</v>
      </c>
      <c r="CX21">
        <v>0.75115200000000004</v>
      </c>
      <c r="CY21">
        <v>0.88888900000000004</v>
      </c>
      <c r="CZ21">
        <v>0.137737</v>
      </c>
      <c r="DA21">
        <v>15.389535</v>
      </c>
      <c r="DB21">
        <v>17.608319000000002</v>
      </c>
      <c r="DC21">
        <v>16.064022999999999</v>
      </c>
      <c r="DD21">
        <v>11.115401</v>
      </c>
      <c r="DE21" t="s">
        <v>125</v>
      </c>
      <c r="DJ21" t="s">
        <v>125</v>
      </c>
      <c r="DK21" t="s">
        <v>125</v>
      </c>
      <c r="DL21" t="s">
        <v>125</v>
      </c>
      <c r="DM21" t="s">
        <v>125</v>
      </c>
      <c r="DN21" t="s">
        <v>125</v>
      </c>
      <c r="DO21" t="s">
        <v>125</v>
      </c>
      <c r="DQ21" t="s">
        <v>126</v>
      </c>
    </row>
    <row r="22" spans="1:121" x14ac:dyDescent="0.15">
      <c r="A22">
        <v>2018</v>
      </c>
      <c r="B22" t="s">
        <v>144</v>
      </c>
      <c r="C22" t="str">
        <f>"0360011"</f>
        <v>0360011</v>
      </c>
      <c r="D22" t="s">
        <v>123</v>
      </c>
      <c r="E22" t="str">
        <f t="shared" si="0"/>
        <v>0000000</v>
      </c>
      <c r="F22" t="s">
        <v>123</v>
      </c>
      <c r="G22" t="s">
        <v>123</v>
      </c>
      <c r="H22" t="s">
        <v>123</v>
      </c>
      <c r="J22" t="s">
        <v>124</v>
      </c>
      <c r="K22">
        <v>654.72551499999997</v>
      </c>
      <c r="L22">
        <v>800</v>
      </c>
      <c r="M22">
        <v>81.840688999999998</v>
      </c>
      <c r="N22" t="s">
        <v>125</v>
      </c>
      <c r="O22">
        <v>0</v>
      </c>
      <c r="P22">
        <v>77.763588999999996</v>
      </c>
      <c r="Q22">
        <v>50</v>
      </c>
      <c r="R22">
        <v>50</v>
      </c>
      <c r="S22">
        <v>70.790107000000006</v>
      </c>
      <c r="T22">
        <v>75</v>
      </c>
      <c r="U22">
        <v>47.193404999999998</v>
      </c>
      <c r="V22">
        <v>50</v>
      </c>
      <c r="W22">
        <v>79.071746000000005</v>
      </c>
      <c r="X22">
        <v>50</v>
      </c>
      <c r="Y22">
        <v>50</v>
      </c>
      <c r="Z22">
        <v>75</v>
      </c>
      <c r="AA22">
        <v>72.326300000000003</v>
      </c>
      <c r="AB22">
        <v>48.217533000000003</v>
      </c>
      <c r="AC22">
        <v>50</v>
      </c>
      <c r="AD22">
        <v>73.376344000000003</v>
      </c>
      <c r="AE22">
        <v>48.917563000000001</v>
      </c>
      <c r="AF22">
        <v>50</v>
      </c>
      <c r="AG22" t="s">
        <v>125</v>
      </c>
      <c r="AH22" t="s">
        <v>125</v>
      </c>
      <c r="AI22" t="s">
        <v>125</v>
      </c>
      <c r="AJ22" t="s">
        <v>125</v>
      </c>
      <c r="AK22">
        <v>4.2</v>
      </c>
      <c r="AL22">
        <v>2.67</v>
      </c>
      <c r="AM22" t="s">
        <v>125</v>
      </c>
      <c r="AN22">
        <v>0.63374299999999995</v>
      </c>
      <c r="AO22">
        <v>63.374339999999997</v>
      </c>
      <c r="AP22">
        <v>100</v>
      </c>
      <c r="AQ22">
        <v>0.78485199999999999</v>
      </c>
      <c r="AR22">
        <v>78.485161000000005</v>
      </c>
      <c r="AS22">
        <v>100</v>
      </c>
      <c r="AT22">
        <v>0.53260600000000002</v>
      </c>
      <c r="AU22">
        <v>0.702206</v>
      </c>
      <c r="AV22">
        <v>53.260598999999999</v>
      </c>
      <c r="AW22">
        <v>100</v>
      </c>
      <c r="AX22">
        <v>0.653609</v>
      </c>
      <c r="AY22">
        <v>0.87369200000000002</v>
      </c>
      <c r="AZ22">
        <v>65.360947999999993</v>
      </c>
      <c r="BA22">
        <v>100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125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 t="s">
        <v>125</v>
      </c>
      <c r="BQ22" t="s">
        <v>125</v>
      </c>
      <c r="BR22">
        <v>2.8570999999999999E-2</v>
      </c>
      <c r="BS22">
        <v>50</v>
      </c>
      <c r="BT22">
        <v>50</v>
      </c>
      <c r="BU22">
        <v>5.042E-2</v>
      </c>
      <c r="BV22">
        <v>49.915965999999997</v>
      </c>
      <c r="BW22">
        <v>50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  <c r="CJ22" t="s">
        <v>125</v>
      </c>
      <c r="CK22" t="s">
        <v>125</v>
      </c>
      <c r="CL22" t="s">
        <v>125</v>
      </c>
      <c r="CM22" t="s">
        <v>125</v>
      </c>
      <c r="CN22" t="s">
        <v>125</v>
      </c>
      <c r="CO22" t="s">
        <v>125</v>
      </c>
      <c r="CP22" t="s">
        <v>125</v>
      </c>
      <c r="CQ22">
        <v>0.84337300000000004</v>
      </c>
      <c r="CR22">
        <v>0.98809499999999995</v>
      </c>
      <c r="CS22">
        <v>50</v>
      </c>
      <c r="CT22">
        <v>50</v>
      </c>
      <c r="CU22" t="s">
        <v>125</v>
      </c>
      <c r="CV22" t="s">
        <v>125</v>
      </c>
      <c r="CW22" t="s">
        <v>125</v>
      </c>
      <c r="CX22" t="s">
        <v>125</v>
      </c>
      <c r="CY22" t="s">
        <v>125</v>
      </c>
      <c r="CZ22" t="s">
        <v>125</v>
      </c>
      <c r="DA22">
        <v>15.389535</v>
      </c>
      <c r="DB22">
        <v>17.608319000000002</v>
      </c>
      <c r="DC22">
        <v>16.064022999999999</v>
      </c>
      <c r="DD22" t="s">
        <v>125</v>
      </c>
      <c r="DE22" t="s">
        <v>125</v>
      </c>
      <c r="DJ22" t="s">
        <v>125</v>
      </c>
      <c r="DK22" t="s">
        <v>125</v>
      </c>
      <c r="DL22" t="s">
        <v>125</v>
      </c>
      <c r="DM22" t="s">
        <v>125</v>
      </c>
      <c r="DN22" t="s">
        <v>125</v>
      </c>
      <c r="DO22" t="s">
        <v>125</v>
      </c>
      <c r="DQ22" t="s">
        <v>126</v>
      </c>
    </row>
    <row r="23" spans="1:121" x14ac:dyDescent="0.15">
      <c r="A23">
        <v>2018</v>
      </c>
      <c r="B23" t="s">
        <v>145</v>
      </c>
      <c r="C23" t="str">
        <f>"0370011"</f>
        <v>0370011</v>
      </c>
      <c r="D23" t="s">
        <v>123</v>
      </c>
      <c r="E23" t="str">
        <f t="shared" si="0"/>
        <v>0000000</v>
      </c>
      <c r="F23" t="s">
        <v>123</v>
      </c>
      <c r="G23" t="s">
        <v>123</v>
      </c>
      <c r="H23" t="s">
        <v>123</v>
      </c>
      <c r="J23" t="s">
        <v>124</v>
      </c>
      <c r="K23">
        <v>999.45968200000004</v>
      </c>
      <c r="L23">
        <v>1450</v>
      </c>
      <c r="M23">
        <v>68.928253999999995</v>
      </c>
      <c r="N23" t="s">
        <v>125</v>
      </c>
      <c r="O23">
        <v>0</v>
      </c>
      <c r="P23">
        <v>57.295456999999999</v>
      </c>
      <c r="Q23">
        <v>38.196970999999998</v>
      </c>
      <c r="R23">
        <v>50</v>
      </c>
      <c r="S23">
        <v>52.918464</v>
      </c>
      <c r="T23">
        <v>66.756043000000005</v>
      </c>
      <c r="U23">
        <v>35.278976</v>
      </c>
      <c r="V23">
        <v>50</v>
      </c>
      <c r="W23">
        <v>52.446570999999999</v>
      </c>
      <c r="X23">
        <v>34.964379999999998</v>
      </c>
      <c r="Y23">
        <v>50</v>
      </c>
      <c r="Z23">
        <v>62.095996</v>
      </c>
      <c r="AA23">
        <v>47.991453</v>
      </c>
      <c r="AB23">
        <v>31.994302000000001</v>
      </c>
      <c r="AC23">
        <v>50</v>
      </c>
      <c r="AD23">
        <v>54.237735000000001</v>
      </c>
      <c r="AE23">
        <v>36.15849</v>
      </c>
      <c r="AF23">
        <v>50</v>
      </c>
      <c r="AG23">
        <v>50.280313</v>
      </c>
      <c r="AH23">
        <v>61.756835000000002</v>
      </c>
      <c r="AI23">
        <v>33.520209000000001</v>
      </c>
      <c r="AJ23">
        <v>50</v>
      </c>
      <c r="AK23">
        <v>13.83</v>
      </c>
      <c r="AL23">
        <v>14.1</v>
      </c>
      <c r="AM23">
        <v>11.47</v>
      </c>
      <c r="AN23">
        <v>0.48846600000000001</v>
      </c>
      <c r="AO23">
        <v>48.846567999999998</v>
      </c>
      <c r="AP23">
        <v>100</v>
      </c>
      <c r="AQ23">
        <v>0.55701000000000001</v>
      </c>
      <c r="AR23">
        <v>55.701033000000002</v>
      </c>
      <c r="AS23">
        <v>100</v>
      </c>
      <c r="AT23">
        <v>0.47079500000000002</v>
      </c>
      <c r="AU23">
        <v>0.526393</v>
      </c>
      <c r="AV23">
        <v>47.079501999999998</v>
      </c>
      <c r="AW23">
        <v>100</v>
      </c>
      <c r="AX23">
        <v>0.53335999999999995</v>
      </c>
      <c r="AY23">
        <v>0.60791700000000004</v>
      </c>
      <c r="AZ23">
        <v>53.335977999999997</v>
      </c>
      <c r="BA23">
        <v>100</v>
      </c>
      <c r="BB23">
        <v>0.82709999999999995</v>
      </c>
      <c r="BC23">
        <v>41.355001999999999</v>
      </c>
      <c r="BD23">
        <v>50</v>
      </c>
      <c r="BE23">
        <v>0.75699799999999995</v>
      </c>
      <c r="BF23">
        <v>37.849921999999999</v>
      </c>
      <c r="BG23">
        <v>50</v>
      </c>
      <c r="BH23">
        <v>0</v>
      </c>
      <c r="BI23">
        <v>0.98803200000000002</v>
      </c>
      <c r="BJ23">
        <v>0.98473299999999997</v>
      </c>
      <c r="BK23">
        <v>0.995614</v>
      </c>
      <c r="BL23">
        <v>0.98936199999999996</v>
      </c>
      <c r="BM23">
        <v>0.98664099999999999</v>
      </c>
      <c r="BN23">
        <v>0.995614</v>
      </c>
      <c r="BO23">
        <v>0.97077899999999995</v>
      </c>
      <c r="BP23">
        <v>0.96097600000000005</v>
      </c>
      <c r="BQ23">
        <v>0.99029100000000003</v>
      </c>
      <c r="BR23">
        <v>0.113043</v>
      </c>
      <c r="BS23">
        <v>37.391303999999998</v>
      </c>
      <c r="BT23">
        <v>50</v>
      </c>
      <c r="BU23">
        <v>0.134021</v>
      </c>
      <c r="BV23">
        <v>33.195875999999998</v>
      </c>
      <c r="BW23">
        <v>50</v>
      </c>
      <c r="BX23">
        <v>0.66257699999999997</v>
      </c>
      <c r="BY23">
        <v>44.171779000000001</v>
      </c>
      <c r="BZ23">
        <v>50</v>
      </c>
      <c r="CA23">
        <v>0.17791399999999999</v>
      </c>
      <c r="CB23">
        <v>11.860941</v>
      </c>
      <c r="CC23">
        <v>50</v>
      </c>
      <c r="CD23">
        <v>0.85499999999999998</v>
      </c>
      <c r="CE23">
        <v>45.478723000000002</v>
      </c>
      <c r="CF23">
        <v>50</v>
      </c>
      <c r="CG23">
        <v>0.79207899999999998</v>
      </c>
      <c r="CH23">
        <v>84.263745999999998</v>
      </c>
      <c r="CI23">
        <v>100</v>
      </c>
      <c r="CJ23">
        <v>1</v>
      </c>
      <c r="CK23">
        <v>0.80555600000000005</v>
      </c>
      <c r="CL23">
        <v>85.697400000000002</v>
      </c>
      <c r="CM23">
        <v>100</v>
      </c>
      <c r="CN23">
        <v>0.57099999999999995</v>
      </c>
      <c r="CO23">
        <v>76.190476000000004</v>
      </c>
      <c r="CP23">
        <v>100</v>
      </c>
      <c r="CQ23">
        <v>0.55392200000000003</v>
      </c>
      <c r="CR23">
        <v>0.99512199999999995</v>
      </c>
      <c r="CS23">
        <v>36.928105000000002</v>
      </c>
      <c r="CT23">
        <v>50</v>
      </c>
      <c r="CU23">
        <v>0.63141999999999998</v>
      </c>
      <c r="CV23">
        <v>50</v>
      </c>
      <c r="CW23">
        <v>50</v>
      </c>
      <c r="CX23">
        <v>0.80555600000000005</v>
      </c>
      <c r="CY23">
        <v>0.92</v>
      </c>
      <c r="CZ23">
        <v>0.114444</v>
      </c>
      <c r="DA23">
        <v>15.389535</v>
      </c>
      <c r="DB23">
        <v>17.608319000000002</v>
      </c>
      <c r="DC23">
        <v>16.064022999999999</v>
      </c>
      <c r="DD23">
        <v>11.115401</v>
      </c>
      <c r="DE23" t="s">
        <v>125</v>
      </c>
      <c r="DJ23" t="s">
        <v>125</v>
      </c>
      <c r="DK23" t="s">
        <v>125</v>
      </c>
      <c r="DL23" t="s">
        <v>125</v>
      </c>
      <c r="DM23" t="s">
        <v>125</v>
      </c>
      <c r="DN23" t="s">
        <v>125</v>
      </c>
      <c r="DO23" t="s">
        <v>125</v>
      </c>
      <c r="DQ23" t="s">
        <v>126</v>
      </c>
    </row>
    <row r="24" spans="1:121" x14ac:dyDescent="0.15">
      <c r="A24">
        <v>2018</v>
      </c>
      <c r="B24" t="s">
        <v>146</v>
      </c>
      <c r="C24" t="str">
        <f>"1560011"</f>
        <v>1560011</v>
      </c>
      <c r="D24" t="s">
        <v>123</v>
      </c>
      <c r="E24" t="str">
        <f t="shared" si="0"/>
        <v>0000000</v>
      </c>
      <c r="F24" t="s">
        <v>123</v>
      </c>
      <c r="G24" t="s">
        <v>123</v>
      </c>
      <c r="H24" t="s">
        <v>123</v>
      </c>
      <c r="J24" t="s">
        <v>124</v>
      </c>
      <c r="K24">
        <v>1035.8364200000001</v>
      </c>
      <c r="L24">
        <v>1450</v>
      </c>
      <c r="M24">
        <v>71.436993999999999</v>
      </c>
      <c r="N24" t="s">
        <v>125</v>
      </c>
      <c r="O24">
        <v>0</v>
      </c>
      <c r="P24">
        <v>64.351410000000001</v>
      </c>
      <c r="Q24">
        <v>42.900939999999999</v>
      </c>
      <c r="R24">
        <v>50</v>
      </c>
      <c r="S24">
        <v>60.991686999999999</v>
      </c>
      <c r="T24">
        <v>71.943127000000004</v>
      </c>
      <c r="U24">
        <v>40.661124999999998</v>
      </c>
      <c r="V24">
        <v>50</v>
      </c>
      <c r="W24">
        <v>60.222313</v>
      </c>
      <c r="X24">
        <v>40.148209000000001</v>
      </c>
      <c r="Y24">
        <v>50</v>
      </c>
      <c r="Z24">
        <v>67.662704000000005</v>
      </c>
      <c r="AA24">
        <v>56.910209999999999</v>
      </c>
      <c r="AB24">
        <v>37.94014</v>
      </c>
      <c r="AC24">
        <v>50</v>
      </c>
      <c r="AD24">
        <v>59.494674000000003</v>
      </c>
      <c r="AE24">
        <v>39.663116000000002</v>
      </c>
      <c r="AF24">
        <v>50</v>
      </c>
      <c r="AG24">
        <v>56.194873000000001</v>
      </c>
      <c r="AH24">
        <v>66.054424999999995</v>
      </c>
      <c r="AI24">
        <v>37.463248999999998</v>
      </c>
      <c r="AJ24">
        <v>50</v>
      </c>
      <c r="AK24">
        <v>10.95</v>
      </c>
      <c r="AL24">
        <v>10.75</v>
      </c>
      <c r="AM24">
        <v>9.85</v>
      </c>
      <c r="AN24">
        <v>0.59682999999999997</v>
      </c>
      <c r="AO24">
        <v>59.683028</v>
      </c>
      <c r="AP24">
        <v>100</v>
      </c>
      <c r="AQ24">
        <v>0.62210200000000004</v>
      </c>
      <c r="AR24">
        <v>62.210219000000002</v>
      </c>
      <c r="AS24">
        <v>100</v>
      </c>
      <c r="AT24">
        <v>0.58465699999999998</v>
      </c>
      <c r="AU24">
        <v>0.62002199999999996</v>
      </c>
      <c r="AV24">
        <v>58.465694999999997</v>
      </c>
      <c r="AW24">
        <v>100</v>
      </c>
      <c r="AX24">
        <v>0.61585199999999996</v>
      </c>
      <c r="AY24">
        <v>0.633938</v>
      </c>
      <c r="AZ24">
        <v>61.585245999999998</v>
      </c>
      <c r="BA24">
        <v>100</v>
      </c>
      <c r="BB24">
        <v>0.77539100000000005</v>
      </c>
      <c r="BC24">
        <v>38.769539000000002</v>
      </c>
      <c r="BD24">
        <v>50</v>
      </c>
      <c r="BE24">
        <v>0.57180200000000003</v>
      </c>
      <c r="BF24">
        <v>28.590109999999999</v>
      </c>
      <c r="BG24">
        <v>50</v>
      </c>
      <c r="BH24">
        <v>0</v>
      </c>
      <c r="BI24">
        <v>0.982456</v>
      </c>
      <c r="BJ24">
        <v>0.98004400000000003</v>
      </c>
      <c r="BK24">
        <v>0.98826000000000003</v>
      </c>
      <c r="BL24">
        <v>0.97932300000000005</v>
      </c>
      <c r="BM24">
        <v>0.97515499999999999</v>
      </c>
      <c r="BN24">
        <v>0.98933899999999997</v>
      </c>
      <c r="BO24">
        <v>0.97551900000000002</v>
      </c>
      <c r="BP24">
        <v>0.96746200000000004</v>
      </c>
      <c r="BQ24">
        <v>0.99295800000000001</v>
      </c>
      <c r="BR24">
        <v>0.13638700000000001</v>
      </c>
      <c r="BS24">
        <v>32.722594000000001</v>
      </c>
      <c r="BT24">
        <v>50</v>
      </c>
      <c r="BU24">
        <v>0.166043</v>
      </c>
      <c r="BV24">
        <v>26.791323999999999</v>
      </c>
      <c r="BW24">
        <v>50</v>
      </c>
      <c r="BX24">
        <v>0.64928300000000005</v>
      </c>
      <c r="BY24">
        <v>43.285527999999999</v>
      </c>
      <c r="BZ24">
        <v>50</v>
      </c>
      <c r="CA24">
        <v>0.20338999999999999</v>
      </c>
      <c r="CB24">
        <v>13.559322</v>
      </c>
      <c r="CC24">
        <v>50</v>
      </c>
      <c r="CD24">
        <v>0.89954299999999998</v>
      </c>
      <c r="CE24">
        <v>47.848052000000003</v>
      </c>
      <c r="CF24">
        <v>50</v>
      </c>
      <c r="CG24">
        <v>0.82211500000000004</v>
      </c>
      <c r="CH24">
        <v>87.459083000000007</v>
      </c>
      <c r="CI24">
        <v>100</v>
      </c>
      <c r="CJ24">
        <v>1</v>
      </c>
      <c r="CK24">
        <v>0.79192499999999999</v>
      </c>
      <c r="CL24">
        <v>84.247389999999996</v>
      </c>
      <c r="CM24">
        <v>100</v>
      </c>
      <c r="CN24">
        <v>0.66400000000000003</v>
      </c>
      <c r="CO24">
        <v>88.512241000000003</v>
      </c>
      <c r="CP24">
        <v>100</v>
      </c>
      <c r="CQ24">
        <v>0.45578600000000002</v>
      </c>
      <c r="CR24">
        <v>0.95793099999999998</v>
      </c>
      <c r="CS24">
        <v>30.385757000000002</v>
      </c>
      <c r="CT24">
        <v>50</v>
      </c>
      <c r="CU24">
        <v>0.39533400000000002</v>
      </c>
      <c r="CV24">
        <v>32.944515000000003</v>
      </c>
      <c r="CW24">
        <v>50</v>
      </c>
      <c r="CX24">
        <v>0.79192499999999999</v>
      </c>
      <c r="CY24">
        <v>0.90441199999999999</v>
      </c>
      <c r="CZ24">
        <v>0.112486</v>
      </c>
      <c r="DA24">
        <v>15.389535</v>
      </c>
      <c r="DB24">
        <v>17.608319000000002</v>
      </c>
      <c r="DC24">
        <v>16.064022999999999</v>
      </c>
      <c r="DD24">
        <v>11.115401</v>
      </c>
      <c r="DE24" t="s">
        <v>125</v>
      </c>
      <c r="DJ24" t="s">
        <v>125</v>
      </c>
      <c r="DK24" t="s">
        <v>125</v>
      </c>
      <c r="DL24" t="s">
        <v>125</v>
      </c>
      <c r="DM24" t="s">
        <v>125</v>
      </c>
      <c r="DN24" t="s">
        <v>125</v>
      </c>
      <c r="DO24" t="s">
        <v>125</v>
      </c>
      <c r="DQ24" t="s">
        <v>126</v>
      </c>
    </row>
    <row r="25" spans="1:121" x14ac:dyDescent="0.15">
      <c r="A25">
        <v>2018</v>
      </c>
      <c r="B25" t="s">
        <v>147</v>
      </c>
      <c r="C25" t="str">
        <f>"0460011"</f>
        <v>0460011</v>
      </c>
      <c r="D25" t="s">
        <v>123</v>
      </c>
      <c r="E25" t="str">
        <f t="shared" si="0"/>
        <v>0000000</v>
      </c>
      <c r="F25" t="s">
        <v>123</v>
      </c>
      <c r="G25" t="s">
        <v>123</v>
      </c>
      <c r="H25" t="s">
        <v>123</v>
      </c>
      <c r="J25" t="s">
        <v>124</v>
      </c>
      <c r="K25">
        <v>734.15605500000004</v>
      </c>
      <c r="L25">
        <v>900</v>
      </c>
      <c r="M25">
        <v>81.572895000000003</v>
      </c>
      <c r="N25" t="s">
        <v>125</v>
      </c>
      <c r="O25">
        <v>0</v>
      </c>
      <c r="P25">
        <v>82.586931000000007</v>
      </c>
      <c r="Q25">
        <v>50</v>
      </c>
      <c r="R25">
        <v>50</v>
      </c>
      <c r="S25">
        <v>71.015958999999995</v>
      </c>
      <c r="T25">
        <v>75</v>
      </c>
      <c r="U25">
        <v>47.343972999999998</v>
      </c>
      <c r="V25">
        <v>50</v>
      </c>
      <c r="W25">
        <v>78.074285000000003</v>
      </c>
      <c r="X25">
        <v>50</v>
      </c>
      <c r="Y25">
        <v>50</v>
      </c>
      <c r="Z25">
        <v>75</v>
      </c>
      <c r="AA25">
        <v>66.005060999999998</v>
      </c>
      <c r="AB25">
        <v>44.003374000000001</v>
      </c>
      <c r="AC25">
        <v>50</v>
      </c>
      <c r="AD25">
        <v>75.112386000000001</v>
      </c>
      <c r="AE25">
        <v>50</v>
      </c>
      <c r="AF25">
        <v>50</v>
      </c>
      <c r="AG25">
        <v>65.828823</v>
      </c>
      <c r="AH25">
        <v>75</v>
      </c>
      <c r="AI25">
        <v>43.885882000000002</v>
      </c>
      <c r="AJ25">
        <v>50</v>
      </c>
      <c r="AK25">
        <v>3.98</v>
      </c>
      <c r="AL25">
        <v>8.99</v>
      </c>
      <c r="AM25">
        <v>9.17</v>
      </c>
      <c r="AN25">
        <v>0.686033</v>
      </c>
      <c r="AO25">
        <v>68.603296999999998</v>
      </c>
      <c r="AP25">
        <v>100</v>
      </c>
      <c r="AQ25">
        <v>0.69620000000000004</v>
      </c>
      <c r="AR25">
        <v>69.619985</v>
      </c>
      <c r="AS25">
        <v>100</v>
      </c>
      <c r="AT25">
        <v>0.57232000000000005</v>
      </c>
      <c r="AU25">
        <v>0.72029500000000002</v>
      </c>
      <c r="AV25">
        <v>57.231954000000002</v>
      </c>
      <c r="AW25">
        <v>100</v>
      </c>
      <c r="AX25">
        <v>0.618062</v>
      </c>
      <c r="AY25">
        <v>0.71947899999999998</v>
      </c>
      <c r="AZ25">
        <v>61.806232999999999</v>
      </c>
      <c r="BA25">
        <v>100</v>
      </c>
      <c r="BB25" t="s">
        <v>125</v>
      </c>
      <c r="BC25" t="s">
        <v>125</v>
      </c>
      <c r="BD25" t="s">
        <v>125</v>
      </c>
      <c r="BE25" t="s">
        <v>125</v>
      </c>
      <c r="BF25" t="s">
        <v>125</v>
      </c>
      <c r="BG25" t="s">
        <v>125</v>
      </c>
      <c r="BH25">
        <v>1</v>
      </c>
      <c r="BI25">
        <v>0.980769</v>
      </c>
      <c r="BJ25">
        <v>0.95731699999999997</v>
      </c>
      <c r="BK25">
        <v>0.98912999999999995</v>
      </c>
      <c r="BL25">
        <v>0.97756399999999999</v>
      </c>
      <c r="BM25">
        <v>0.94512200000000002</v>
      </c>
      <c r="BN25">
        <v>0.98912999999999995</v>
      </c>
      <c r="BO25">
        <v>0.98214299999999999</v>
      </c>
      <c r="BP25">
        <v>0.94736799999999999</v>
      </c>
      <c r="BQ25">
        <v>0.99401200000000001</v>
      </c>
      <c r="BR25">
        <v>4.0862999999999997E-2</v>
      </c>
      <c r="BS25">
        <v>50</v>
      </c>
      <c r="BT25">
        <v>50</v>
      </c>
      <c r="BU25">
        <v>6.25E-2</v>
      </c>
      <c r="BV25">
        <v>47.5</v>
      </c>
      <c r="BW25">
        <v>50</v>
      </c>
      <c r="BX25" t="s">
        <v>125</v>
      </c>
      <c r="BY25" t="s">
        <v>125</v>
      </c>
      <c r="BZ25" t="s">
        <v>125</v>
      </c>
      <c r="CA25" t="s">
        <v>125</v>
      </c>
      <c r="CB25" t="s">
        <v>125</v>
      </c>
      <c r="CC25" t="s">
        <v>125</v>
      </c>
      <c r="CD25">
        <v>0.98876399999999998</v>
      </c>
      <c r="CE25">
        <v>50</v>
      </c>
      <c r="CF25">
        <v>50</v>
      </c>
      <c r="CG25" t="s">
        <v>125</v>
      </c>
      <c r="CH25" t="s">
        <v>125</v>
      </c>
      <c r="CI25" t="s">
        <v>125</v>
      </c>
      <c r="CJ25" t="s">
        <v>125</v>
      </c>
      <c r="CK25" t="s">
        <v>125</v>
      </c>
      <c r="CL25" t="s">
        <v>125</v>
      </c>
      <c r="CM25" t="s">
        <v>125</v>
      </c>
      <c r="CN25" t="s">
        <v>125</v>
      </c>
      <c r="CO25" t="s">
        <v>125</v>
      </c>
      <c r="CP25" t="s">
        <v>125</v>
      </c>
      <c r="CQ25">
        <v>0.66242000000000001</v>
      </c>
      <c r="CR25">
        <v>0.95731699999999997</v>
      </c>
      <c r="CS25">
        <v>44.161358999999997</v>
      </c>
      <c r="CT25">
        <v>50</v>
      </c>
      <c r="CU25" t="s">
        <v>125</v>
      </c>
      <c r="CV25" t="s">
        <v>125</v>
      </c>
      <c r="CW25" t="s">
        <v>125</v>
      </c>
      <c r="CX25" t="s">
        <v>125</v>
      </c>
      <c r="CY25" t="s">
        <v>125</v>
      </c>
      <c r="CZ25" t="s">
        <v>125</v>
      </c>
      <c r="DA25">
        <v>15.389535</v>
      </c>
      <c r="DB25">
        <v>17.608319000000002</v>
      </c>
      <c r="DC25">
        <v>16.064022999999999</v>
      </c>
      <c r="DD25" t="s">
        <v>125</v>
      </c>
      <c r="DE25" t="s">
        <v>125</v>
      </c>
      <c r="DJ25" t="s">
        <v>125</v>
      </c>
      <c r="DK25" t="s">
        <v>125</v>
      </c>
      <c r="DL25" t="s">
        <v>125</v>
      </c>
      <c r="DM25" t="s">
        <v>125</v>
      </c>
      <c r="DN25" t="s">
        <v>125</v>
      </c>
      <c r="DO25" t="s">
        <v>125</v>
      </c>
      <c r="DQ25" t="s">
        <v>126</v>
      </c>
    </row>
    <row r="26" spans="1:121" x14ac:dyDescent="0.15">
      <c r="A26">
        <v>2018</v>
      </c>
      <c r="B26" t="s">
        <v>148</v>
      </c>
      <c r="C26" t="str">
        <f>"0470011"</f>
        <v>0470011</v>
      </c>
      <c r="D26" t="s">
        <v>123</v>
      </c>
      <c r="E26" t="str">
        <f t="shared" si="0"/>
        <v>0000000</v>
      </c>
      <c r="F26" t="s">
        <v>123</v>
      </c>
      <c r="G26" t="s">
        <v>123</v>
      </c>
      <c r="H26" t="s">
        <v>123</v>
      </c>
      <c r="J26" t="s">
        <v>124</v>
      </c>
      <c r="K26">
        <v>966.59503199999995</v>
      </c>
      <c r="L26">
        <v>1450</v>
      </c>
      <c r="M26">
        <v>66.661726000000002</v>
      </c>
      <c r="N26" t="s">
        <v>125</v>
      </c>
      <c r="O26">
        <v>0</v>
      </c>
      <c r="P26">
        <v>60.513916000000002</v>
      </c>
      <c r="Q26">
        <v>40.342610999999998</v>
      </c>
      <c r="R26">
        <v>50</v>
      </c>
      <c r="S26">
        <v>55.505768000000003</v>
      </c>
      <c r="T26">
        <v>68.623557000000005</v>
      </c>
      <c r="U26">
        <v>37.003844999999998</v>
      </c>
      <c r="V26">
        <v>50</v>
      </c>
      <c r="W26">
        <v>52.759869999999999</v>
      </c>
      <c r="X26">
        <v>35.173247000000003</v>
      </c>
      <c r="Y26">
        <v>50</v>
      </c>
      <c r="Z26">
        <v>60.526665999999999</v>
      </c>
      <c r="AA26">
        <v>47.923940000000002</v>
      </c>
      <c r="AB26">
        <v>31.949293000000001</v>
      </c>
      <c r="AC26">
        <v>50</v>
      </c>
      <c r="AD26">
        <v>58.065311000000001</v>
      </c>
      <c r="AE26">
        <v>38.710206999999997</v>
      </c>
      <c r="AF26">
        <v>50</v>
      </c>
      <c r="AG26">
        <v>52.871679999999998</v>
      </c>
      <c r="AH26">
        <v>64.505414000000002</v>
      </c>
      <c r="AI26">
        <v>35.247787000000002</v>
      </c>
      <c r="AJ26">
        <v>50</v>
      </c>
      <c r="AK26">
        <v>13.11</v>
      </c>
      <c r="AL26">
        <v>12.6</v>
      </c>
      <c r="AM26">
        <v>11.63</v>
      </c>
      <c r="AN26">
        <v>0.54487300000000005</v>
      </c>
      <c r="AO26">
        <v>54.487316</v>
      </c>
      <c r="AP26">
        <v>100</v>
      </c>
      <c r="AQ26">
        <v>0.45641599999999999</v>
      </c>
      <c r="AR26">
        <v>45.641641999999997</v>
      </c>
      <c r="AS26">
        <v>100</v>
      </c>
      <c r="AT26">
        <v>0.52867200000000003</v>
      </c>
      <c r="AU26">
        <v>0.571245</v>
      </c>
      <c r="AV26">
        <v>52.867164000000002</v>
      </c>
      <c r="AW26">
        <v>100</v>
      </c>
      <c r="AX26">
        <v>0.42628700000000003</v>
      </c>
      <c r="AY26">
        <v>0.50575899999999996</v>
      </c>
      <c r="AZ26">
        <v>42.628709000000001</v>
      </c>
      <c r="BA26">
        <v>100</v>
      </c>
      <c r="BB26">
        <v>0.63870300000000002</v>
      </c>
      <c r="BC26">
        <v>31.935155000000002</v>
      </c>
      <c r="BD26">
        <v>50</v>
      </c>
      <c r="BE26">
        <v>0.36909900000000001</v>
      </c>
      <c r="BF26">
        <v>18.454941999999999</v>
      </c>
      <c r="BG26">
        <v>50</v>
      </c>
      <c r="BH26">
        <v>1</v>
      </c>
      <c r="BI26">
        <v>0.97985299999999997</v>
      </c>
      <c r="BJ26">
        <v>0.97667599999999999</v>
      </c>
      <c r="BK26">
        <v>0.98522200000000004</v>
      </c>
      <c r="BL26">
        <v>0.97985299999999997</v>
      </c>
      <c r="BM26">
        <v>0.97376099999999999</v>
      </c>
      <c r="BN26">
        <v>0.99014800000000003</v>
      </c>
      <c r="BO26">
        <v>0.95435700000000001</v>
      </c>
      <c r="BP26">
        <v>0.94160600000000005</v>
      </c>
      <c r="BQ26">
        <v>0.97115399999999996</v>
      </c>
      <c r="BR26">
        <v>0.146035</v>
      </c>
      <c r="BS26">
        <v>30.793037000000002</v>
      </c>
      <c r="BT26">
        <v>50</v>
      </c>
      <c r="BU26">
        <v>0.19129099999999999</v>
      </c>
      <c r="BV26">
        <v>21.741834999999998</v>
      </c>
      <c r="BW26">
        <v>50</v>
      </c>
      <c r="BX26">
        <v>0.84768200000000005</v>
      </c>
      <c r="BY26">
        <v>50</v>
      </c>
      <c r="BZ26">
        <v>50</v>
      </c>
      <c r="CA26">
        <v>0.30463600000000002</v>
      </c>
      <c r="CB26">
        <v>20.309051</v>
      </c>
      <c r="CC26">
        <v>50</v>
      </c>
      <c r="CD26">
        <v>0.88888900000000004</v>
      </c>
      <c r="CE26">
        <v>47.281323999999998</v>
      </c>
      <c r="CF26">
        <v>50</v>
      </c>
      <c r="CG26">
        <v>0.90526300000000004</v>
      </c>
      <c r="CH26">
        <v>96.304591000000002</v>
      </c>
      <c r="CI26">
        <v>100</v>
      </c>
      <c r="CJ26">
        <v>0</v>
      </c>
      <c r="CK26">
        <v>0.86111099999999996</v>
      </c>
      <c r="CL26">
        <v>91.607564999999994</v>
      </c>
      <c r="CM26">
        <v>100</v>
      </c>
      <c r="CN26">
        <v>0.67100000000000004</v>
      </c>
      <c r="CO26">
        <v>89.411765000000003</v>
      </c>
      <c r="CP26">
        <v>100</v>
      </c>
      <c r="CQ26">
        <v>0.42320799999999997</v>
      </c>
      <c r="CR26">
        <v>0.94516100000000003</v>
      </c>
      <c r="CS26">
        <v>28.213878999999999</v>
      </c>
      <c r="CT26">
        <v>50</v>
      </c>
      <c r="CU26">
        <v>0.31788100000000002</v>
      </c>
      <c r="CV26">
        <v>26.490065999999999</v>
      </c>
      <c r="CW26">
        <v>50</v>
      </c>
      <c r="CX26">
        <v>0.86111099999999996</v>
      </c>
      <c r="CY26">
        <v>0.90243899999999999</v>
      </c>
      <c r="CZ26">
        <v>4.1327999999999997E-2</v>
      </c>
      <c r="DA26">
        <v>15.389535</v>
      </c>
      <c r="DB26">
        <v>17.608319000000002</v>
      </c>
      <c r="DC26">
        <v>16.064022999999999</v>
      </c>
      <c r="DD26">
        <v>11.115401</v>
      </c>
      <c r="DE26" t="s">
        <v>125</v>
      </c>
      <c r="DJ26" t="s">
        <v>125</v>
      </c>
      <c r="DK26" t="s">
        <v>125</v>
      </c>
      <c r="DL26" t="s">
        <v>125</v>
      </c>
      <c r="DM26" t="s">
        <v>125</v>
      </c>
      <c r="DN26" t="s">
        <v>125</v>
      </c>
      <c r="DO26" t="s">
        <v>125</v>
      </c>
      <c r="DQ26" t="s">
        <v>126</v>
      </c>
    </row>
    <row r="27" spans="1:121" x14ac:dyDescent="0.15">
      <c r="A27">
        <v>2018</v>
      </c>
      <c r="B27" t="s">
        <v>149</v>
      </c>
      <c r="C27" t="str">
        <f>"1000011"</f>
        <v>1000011</v>
      </c>
      <c r="D27" t="s">
        <v>123</v>
      </c>
      <c r="E27" t="str">
        <f t="shared" si="0"/>
        <v>0000000</v>
      </c>
      <c r="F27" t="s">
        <v>123</v>
      </c>
      <c r="G27" t="s">
        <v>123</v>
      </c>
      <c r="H27" t="s">
        <v>123</v>
      </c>
      <c r="J27" t="s">
        <v>124</v>
      </c>
      <c r="K27">
        <v>702.59510699999998</v>
      </c>
      <c r="L27">
        <v>900</v>
      </c>
      <c r="M27">
        <v>78.066123000000005</v>
      </c>
      <c r="N27" t="s">
        <v>125</v>
      </c>
      <c r="O27">
        <v>0</v>
      </c>
      <c r="P27">
        <v>74.047297</v>
      </c>
      <c r="Q27">
        <v>49.364865000000002</v>
      </c>
      <c r="R27">
        <v>50</v>
      </c>
      <c r="S27">
        <v>68.505018000000007</v>
      </c>
      <c r="T27">
        <v>75</v>
      </c>
      <c r="U27">
        <v>45.670012</v>
      </c>
      <c r="V27">
        <v>50</v>
      </c>
      <c r="W27">
        <v>64.920935999999998</v>
      </c>
      <c r="X27">
        <v>43.280624000000003</v>
      </c>
      <c r="Y27">
        <v>50</v>
      </c>
      <c r="Z27">
        <v>74.906994999999995</v>
      </c>
      <c r="AA27">
        <v>57.312508999999999</v>
      </c>
      <c r="AB27">
        <v>38.208339000000002</v>
      </c>
      <c r="AC27">
        <v>50</v>
      </c>
      <c r="AD27">
        <v>71.420689999999993</v>
      </c>
      <c r="AE27">
        <v>47.613793000000001</v>
      </c>
      <c r="AF27">
        <v>50</v>
      </c>
      <c r="AG27">
        <v>65.374707999999998</v>
      </c>
      <c r="AH27">
        <v>75</v>
      </c>
      <c r="AI27">
        <v>43.583137999999998</v>
      </c>
      <c r="AJ27">
        <v>50</v>
      </c>
      <c r="AK27">
        <v>6.49</v>
      </c>
      <c r="AL27">
        <v>17.59</v>
      </c>
      <c r="AM27">
        <v>9.6199999999999992</v>
      </c>
      <c r="AN27">
        <v>0.67014700000000005</v>
      </c>
      <c r="AO27">
        <v>67.014723000000004</v>
      </c>
      <c r="AP27">
        <v>100</v>
      </c>
      <c r="AQ27">
        <v>0.64557699999999996</v>
      </c>
      <c r="AR27">
        <v>64.557658000000004</v>
      </c>
      <c r="AS27">
        <v>100</v>
      </c>
      <c r="AT27">
        <v>0.685863</v>
      </c>
      <c r="AU27">
        <v>0.65334800000000004</v>
      </c>
      <c r="AV27">
        <v>68.586285000000004</v>
      </c>
      <c r="AW27">
        <v>100</v>
      </c>
      <c r="AX27">
        <v>0.59117900000000001</v>
      </c>
      <c r="AY27">
        <v>0.70372599999999996</v>
      </c>
      <c r="AZ27">
        <v>59.117899000000001</v>
      </c>
      <c r="BA27">
        <v>100</v>
      </c>
      <c r="BB27" t="s">
        <v>125</v>
      </c>
      <c r="BC27" t="s">
        <v>125</v>
      </c>
      <c r="BD27" t="s">
        <v>125</v>
      </c>
      <c r="BE27" t="s">
        <v>125</v>
      </c>
      <c r="BF27" t="s">
        <v>125</v>
      </c>
      <c r="BG27" t="s">
        <v>125</v>
      </c>
      <c r="BH27">
        <v>0</v>
      </c>
      <c r="BI27">
        <v>1</v>
      </c>
      <c r="BJ27">
        <v>1</v>
      </c>
      <c r="BK27">
        <v>1</v>
      </c>
      <c r="BL27">
        <v>0.99337699999999995</v>
      </c>
      <c r="BM27">
        <v>1</v>
      </c>
      <c r="BN27">
        <v>0.98461500000000002</v>
      </c>
      <c r="BO27">
        <v>1</v>
      </c>
      <c r="BP27">
        <v>1</v>
      </c>
      <c r="BQ27">
        <v>1</v>
      </c>
      <c r="BR27">
        <v>4.9586999999999999E-2</v>
      </c>
      <c r="BS27">
        <v>50</v>
      </c>
      <c r="BT27">
        <v>50</v>
      </c>
      <c r="BU27">
        <v>7.8571000000000002E-2</v>
      </c>
      <c r="BV27">
        <v>44.285713999999999</v>
      </c>
      <c r="BW27">
        <v>50</v>
      </c>
      <c r="BX27" t="s">
        <v>125</v>
      </c>
      <c r="BY27" t="s">
        <v>125</v>
      </c>
      <c r="BZ27" t="s">
        <v>125</v>
      </c>
      <c r="CA27" t="s">
        <v>125</v>
      </c>
      <c r="CB27" t="s">
        <v>125</v>
      </c>
      <c r="CC27" t="s">
        <v>125</v>
      </c>
      <c r="CD27">
        <v>0.93333299999999997</v>
      </c>
      <c r="CE27">
        <v>49.645389999999999</v>
      </c>
      <c r="CF27">
        <v>50</v>
      </c>
      <c r="CG27" t="s">
        <v>125</v>
      </c>
      <c r="CH27" t="s">
        <v>125</v>
      </c>
      <c r="CI27" t="s">
        <v>125</v>
      </c>
      <c r="CJ27" t="s">
        <v>125</v>
      </c>
      <c r="CK27" t="s">
        <v>125</v>
      </c>
      <c r="CL27" t="s">
        <v>125</v>
      </c>
      <c r="CM27" t="s">
        <v>125</v>
      </c>
      <c r="CN27" t="s">
        <v>125</v>
      </c>
      <c r="CO27" t="s">
        <v>125</v>
      </c>
      <c r="CP27" t="s">
        <v>125</v>
      </c>
      <c r="CQ27">
        <v>0.47499999999999998</v>
      </c>
      <c r="CR27">
        <v>0.97560999999999998</v>
      </c>
      <c r="CS27">
        <v>31.666667</v>
      </c>
      <c r="CT27">
        <v>50</v>
      </c>
      <c r="CU27" t="s">
        <v>125</v>
      </c>
      <c r="CV27" t="s">
        <v>125</v>
      </c>
      <c r="CW27" t="s">
        <v>125</v>
      </c>
      <c r="CX27" t="s">
        <v>125</v>
      </c>
      <c r="CY27" t="s">
        <v>125</v>
      </c>
      <c r="CZ27" t="s">
        <v>125</v>
      </c>
      <c r="DA27">
        <v>15.389535</v>
      </c>
      <c r="DB27">
        <v>17.608319000000002</v>
      </c>
      <c r="DC27">
        <v>16.064022999999999</v>
      </c>
      <c r="DD27" t="s">
        <v>125</v>
      </c>
      <c r="DE27" t="s">
        <v>125</v>
      </c>
      <c r="DJ27" t="s">
        <v>125</v>
      </c>
      <c r="DK27" t="s">
        <v>125</v>
      </c>
      <c r="DL27" t="s">
        <v>125</v>
      </c>
      <c r="DM27" t="s">
        <v>125</v>
      </c>
      <c r="DN27" t="s">
        <v>125</v>
      </c>
      <c r="DO27" t="s">
        <v>125</v>
      </c>
      <c r="DQ27" t="s">
        <v>126</v>
      </c>
    </row>
    <row r="28" spans="1:121" x14ac:dyDescent="0.15">
      <c r="A28">
        <v>2018</v>
      </c>
      <c r="B28" t="s">
        <v>150</v>
      </c>
      <c r="C28" t="str">
        <f>"1010011"</f>
        <v>1010011</v>
      </c>
      <c r="D28" t="s">
        <v>123</v>
      </c>
      <c r="E28" t="str">
        <f t="shared" si="0"/>
        <v>0000000</v>
      </c>
      <c r="F28" t="s">
        <v>123</v>
      </c>
      <c r="G28" t="s">
        <v>123</v>
      </c>
      <c r="H28" t="s">
        <v>123</v>
      </c>
      <c r="J28" t="s">
        <v>124</v>
      </c>
      <c r="K28">
        <v>1119.7489390000001</v>
      </c>
      <c r="L28">
        <v>1450</v>
      </c>
      <c r="M28">
        <v>77.224064999999996</v>
      </c>
      <c r="N28" t="s">
        <v>125</v>
      </c>
      <c r="O28">
        <v>0</v>
      </c>
      <c r="P28">
        <v>74.503326999999999</v>
      </c>
      <c r="Q28">
        <v>49.668885000000003</v>
      </c>
      <c r="R28">
        <v>50</v>
      </c>
      <c r="S28">
        <v>63.625810999999999</v>
      </c>
      <c r="T28">
        <v>75</v>
      </c>
      <c r="U28">
        <v>42.417206999999998</v>
      </c>
      <c r="V28">
        <v>50</v>
      </c>
      <c r="W28">
        <v>70.507507000000004</v>
      </c>
      <c r="X28">
        <v>47.005004</v>
      </c>
      <c r="Y28">
        <v>50</v>
      </c>
      <c r="Z28">
        <v>74.714354999999998</v>
      </c>
      <c r="AA28">
        <v>60.476470999999997</v>
      </c>
      <c r="AB28">
        <v>40.317647000000001</v>
      </c>
      <c r="AC28">
        <v>50</v>
      </c>
      <c r="AD28">
        <v>64.506701000000007</v>
      </c>
      <c r="AE28">
        <v>43.004466999999998</v>
      </c>
      <c r="AF28">
        <v>50</v>
      </c>
      <c r="AG28">
        <v>58.462693999999999</v>
      </c>
      <c r="AH28">
        <v>67.179304000000002</v>
      </c>
      <c r="AI28">
        <v>38.975129000000003</v>
      </c>
      <c r="AJ28">
        <v>50</v>
      </c>
      <c r="AK28">
        <v>11.37</v>
      </c>
      <c r="AL28">
        <v>14.23</v>
      </c>
      <c r="AM28">
        <v>8.7100000000000009</v>
      </c>
      <c r="AN28">
        <v>0.64632000000000001</v>
      </c>
      <c r="AO28">
        <v>64.632013000000001</v>
      </c>
      <c r="AP28">
        <v>100</v>
      </c>
      <c r="AQ28">
        <v>0.69068799999999997</v>
      </c>
      <c r="AR28">
        <v>69.068836000000005</v>
      </c>
      <c r="AS28">
        <v>100</v>
      </c>
      <c r="AT28">
        <v>0.54927300000000001</v>
      </c>
      <c r="AU28">
        <v>0.68303700000000001</v>
      </c>
      <c r="AV28">
        <v>54.927304999999997</v>
      </c>
      <c r="AW28">
        <v>100</v>
      </c>
      <c r="AX28">
        <v>0.61078699999999997</v>
      </c>
      <c r="AY28">
        <v>0.72089499999999995</v>
      </c>
      <c r="AZ28">
        <v>61.078696000000001</v>
      </c>
      <c r="BA28">
        <v>100</v>
      </c>
      <c r="BB28">
        <v>0.73278500000000002</v>
      </c>
      <c r="BC28">
        <v>36.639265999999999</v>
      </c>
      <c r="BD28">
        <v>50</v>
      </c>
      <c r="BE28">
        <v>0.50550300000000004</v>
      </c>
      <c r="BF28">
        <v>25.275136</v>
      </c>
      <c r="BG28">
        <v>50</v>
      </c>
      <c r="BH28">
        <v>0</v>
      </c>
      <c r="BI28">
        <v>0.98439399999999999</v>
      </c>
      <c r="BJ28">
        <v>0.96237600000000001</v>
      </c>
      <c r="BK28">
        <v>0.99397100000000005</v>
      </c>
      <c r="BL28">
        <v>0.98259300000000005</v>
      </c>
      <c r="BM28">
        <v>0.96039600000000003</v>
      </c>
      <c r="BN28">
        <v>0.99224800000000002</v>
      </c>
      <c r="BO28">
        <v>0.98760300000000001</v>
      </c>
      <c r="BP28">
        <v>0.96929799999999999</v>
      </c>
      <c r="BQ28">
        <v>0.99598399999999998</v>
      </c>
      <c r="BR28">
        <v>7.2727E-2</v>
      </c>
      <c r="BS28">
        <v>45.454545000000003</v>
      </c>
      <c r="BT28">
        <v>50</v>
      </c>
      <c r="BU28">
        <v>0.14331199999999999</v>
      </c>
      <c r="BV28">
        <v>31.337579999999999</v>
      </c>
      <c r="BW28">
        <v>50</v>
      </c>
      <c r="BX28">
        <v>0.56472800000000001</v>
      </c>
      <c r="BY28">
        <v>37.648530000000001</v>
      </c>
      <c r="BZ28">
        <v>50</v>
      </c>
      <c r="CA28">
        <v>0.47654800000000003</v>
      </c>
      <c r="CB28">
        <v>31.769856000000001</v>
      </c>
      <c r="CC28">
        <v>50</v>
      </c>
      <c r="CD28">
        <v>0.95863299999999996</v>
      </c>
      <c r="CE28">
        <v>50</v>
      </c>
      <c r="CF28">
        <v>50</v>
      </c>
      <c r="CG28">
        <v>0.91304300000000005</v>
      </c>
      <c r="CH28">
        <v>97.132284999999996</v>
      </c>
      <c r="CI28">
        <v>100</v>
      </c>
      <c r="CJ28">
        <v>0</v>
      </c>
      <c r="CK28">
        <v>0.86764699999999995</v>
      </c>
      <c r="CL28">
        <v>92.302879000000004</v>
      </c>
      <c r="CM28">
        <v>100</v>
      </c>
      <c r="CN28">
        <v>0.84</v>
      </c>
      <c r="CO28">
        <v>100</v>
      </c>
      <c r="CP28">
        <v>100</v>
      </c>
      <c r="CQ28">
        <v>0.45544600000000002</v>
      </c>
      <c r="CR28">
        <v>0.93135199999999996</v>
      </c>
      <c r="CS28">
        <v>30.363036000000001</v>
      </c>
      <c r="CT28">
        <v>50</v>
      </c>
      <c r="CU28">
        <v>0.36876799999999998</v>
      </c>
      <c r="CV28">
        <v>30.730637000000002</v>
      </c>
      <c r="CW28">
        <v>50</v>
      </c>
      <c r="CX28">
        <v>0.86764699999999995</v>
      </c>
      <c r="CY28">
        <v>0.94</v>
      </c>
      <c r="CZ28">
        <v>7.2353000000000001E-2</v>
      </c>
      <c r="DA28">
        <v>15.389535</v>
      </c>
      <c r="DB28">
        <v>17.608319000000002</v>
      </c>
      <c r="DC28">
        <v>16.064022999999999</v>
      </c>
      <c r="DD28">
        <v>11.115401</v>
      </c>
      <c r="DE28" t="s">
        <v>125</v>
      </c>
      <c r="DJ28" t="s">
        <v>125</v>
      </c>
      <c r="DK28" t="s">
        <v>125</v>
      </c>
      <c r="DL28" t="s">
        <v>125</v>
      </c>
      <c r="DM28" t="s">
        <v>125</v>
      </c>
      <c r="DN28" t="s">
        <v>125</v>
      </c>
      <c r="DO28" t="s">
        <v>125</v>
      </c>
      <c r="DQ28" t="s">
        <v>126</v>
      </c>
    </row>
    <row r="29" spans="1:121" x14ac:dyDescent="0.15">
      <c r="A29">
        <v>2018</v>
      </c>
      <c r="B29" t="s">
        <v>151</v>
      </c>
      <c r="C29" t="str">
        <f>"0490011"</f>
        <v>0490011</v>
      </c>
      <c r="D29" t="s">
        <v>123</v>
      </c>
      <c r="E29" t="str">
        <f t="shared" si="0"/>
        <v>0000000</v>
      </c>
      <c r="F29" t="s">
        <v>123</v>
      </c>
      <c r="G29" t="s">
        <v>123</v>
      </c>
      <c r="H29" t="s">
        <v>123</v>
      </c>
      <c r="J29" t="s">
        <v>124</v>
      </c>
      <c r="K29">
        <v>1050.3252869999999</v>
      </c>
      <c r="L29">
        <v>1450</v>
      </c>
      <c r="M29">
        <v>72.436227000000002</v>
      </c>
      <c r="N29" t="s">
        <v>125</v>
      </c>
      <c r="O29">
        <v>0</v>
      </c>
      <c r="P29">
        <v>64.642787999999996</v>
      </c>
      <c r="Q29">
        <v>43.095191999999997</v>
      </c>
      <c r="R29">
        <v>50</v>
      </c>
      <c r="S29">
        <v>58.716777</v>
      </c>
      <c r="T29">
        <v>71.534443999999993</v>
      </c>
      <c r="U29">
        <v>39.144517999999998</v>
      </c>
      <c r="V29">
        <v>50</v>
      </c>
      <c r="W29">
        <v>59.314017999999997</v>
      </c>
      <c r="X29">
        <v>39.542678000000002</v>
      </c>
      <c r="Y29">
        <v>50</v>
      </c>
      <c r="Z29">
        <v>66.108339000000001</v>
      </c>
      <c r="AA29">
        <v>53.469493999999997</v>
      </c>
      <c r="AB29">
        <v>35.646329000000001</v>
      </c>
      <c r="AC29">
        <v>50</v>
      </c>
      <c r="AD29">
        <v>66.352092999999996</v>
      </c>
      <c r="AE29">
        <v>44.234727999999997</v>
      </c>
      <c r="AF29">
        <v>50</v>
      </c>
      <c r="AG29">
        <v>59.720173000000003</v>
      </c>
      <c r="AH29">
        <v>73.396091999999996</v>
      </c>
      <c r="AI29">
        <v>39.813448999999999</v>
      </c>
      <c r="AJ29">
        <v>50</v>
      </c>
      <c r="AK29">
        <v>12.81</v>
      </c>
      <c r="AL29">
        <v>12.63</v>
      </c>
      <c r="AM29">
        <v>13.67</v>
      </c>
      <c r="AN29">
        <v>0.55288800000000005</v>
      </c>
      <c r="AO29">
        <v>55.288820000000001</v>
      </c>
      <c r="AP29">
        <v>100</v>
      </c>
      <c r="AQ29">
        <v>0.555948</v>
      </c>
      <c r="AR29">
        <v>55.594762000000003</v>
      </c>
      <c r="AS29">
        <v>100</v>
      </c>
      <c r="AT29">
        <v>0.532416</v>
      </c>
      <c r="AU29">
        <v>0.57582999999999995</v>
      </c>
      <c r="AV29">
        <v>53.241593999999999</v>
      </c>
      <c r="AW29">
        <v>100</v>
      </c>
      <c r="AX29">
        <v>0.53377200000000002</v>
      </c>
      <c r="AY29">
        <v>0.58067000000000002</v>
      </c>
      <c r="AZ29">
        <v>53.377215999999997</v>
      </c>
      <c r="BA29">
        <v>100</v>
      </c>
      <c r="BB29">
        <v>0.65753399999999995</v>
      </c>
      <c r="BC29">
        <v>32.8767</v>
      </c>
      <c r="BD29">
        <v>50</v>
      </c>
      <c r="BE29">
        <v>0.59646699999999997</v>
      </c>
      <c r="BF29">
        <v>29.823347999999999</v>
      </c>
      <c r="BG29">
        <v>50</v>
      </c>
      <c r="BH29">
        <v>0</v>
      </c>
      <c r="BI29">
        <v>0.99542200000000003</v>
      </c>
      <c r="BJ29">
        <v>0.99582800000000005</v>
      </c>
      <c r="BK29">
        <v>0.99492800000000003</v>
      </c>
      <c r="BL29">
        <v>0.99578500000000003</v>
      </c>
      <c r="BM29">
        <v>0.99650300000000003</v>
      </c>
      <c r="BN29">
        <v>0.99491499999999999</v>
      </c>
      <c r="BO29">
        <v>0.99725299999999995</v>
      </c>
      <c r="BP29">
        <v>0.99824599999999997</v>
      </c>
      <c r="BQ29">
        <v>0.99616899999999997</v>
      </c>
      <c r="BR29">
        <v>9.9668999999999994E-2</v>
      </c>
      <c r="BS29">
        <v>40.06617</v>
      </c>
      <c r="BT29">
        <v>50</v>
      </c>
      <c r="BU29">
        <v>0.15089900000000001</v>
      </c>
      <c r="BV29">
        <v>29.820171999999999</v>
      </c>
      <c r="BW29">
        <v>50</v>
      </c>
      <c r="BX29">
        <v>0.88362099999999999</v>
      </c>
      <c r="BY29">
        <v>50</v>
      </c>
      <c r="BZ29">
        <v>50</v>
      </c>
      <c r="CA29">
        <v>0.35632200000000003</v>
      </c>
      <c r="CB29">
        <v>23.754788999999999</v>
      </c>
      <c r="CC29">
        <v>50</v>
      </c>
      <c r="CD29">
        <v>0.88243199999999999</v>
      </c>
      <c r="CE29">
        <v>46.937894999999997</v>
      </c>
      <c r="CF29">
        <v>50</v>
      </c>
      <c r="CG29">
        <v>0.89603999999999995</v>
      </c>
      <c r="CH29">
        <v>95.323362000000003</v>
      </c>
      <c r="CI29">
        <v>100</v>
      </c>
      <c r="CJ29">
        <v>1</v>
      </c>
      <c r="CK29">
        <v>0.81192699999999995</v>
      </c>
      <c r="CL29">
        <v>86.375170999999995</v>
      </c>
      <c r="CM29">
        <v>100</v>
      </c>
      <c r="CN29">
        <v>0.64200000000000002</v>
      </c>
      <c r="CO29">
        <v>85.639686999999995</v>
      </c>
      <c r="CP29">
        <v>100</v>
      </c>
      <c r="CQ29">
        <v>0.621861</v>
      </c>
      <c r="CR29">
        <v>0.86132299999999995</v>
      </c>
      <c r="CS29">
        <v>20.728705000000001</v>
      </c>
      <c r="CT29">
        <v>50</v>
      </c>
      <c r="CU29">
        <v>0.702071</v>
      </c>
      <c r="CV29">
        <v>50</v>
      </c>
      <c r="CW29">
        <v>50</v>
      </c>
      <c r="CX29">
        <v>0.81192699999999995</v>
      </c>
      <c r="CY29">
        <v>0.94</v>
      </c>
      <c r="CZ29">
        <v>0.12807299999999999</v>
      </c>
      <c r="DA29">
        <v>15.389535</v>
      </c>
      <c r="DB29">
        <v>17.608319000000002</v>
      </c>
      <c r="DC29">
        <v>16.064022999999999</v>
      </c>
      <c r="DD29">
        <v>11.115401</v>
      </c>
      <c r="DE29" t="s">
        <v>125</v>
      </c>
      <c r="DJ29" t="s">
        <v>125</v>
      </c>
      <c r="DK29" t="s">
        <v>125</v>
      </c>
      <c r="DL29" t="s">
        <v>125</v>
      </c>
      <c r="DM29" t="s">
        <v>125</v>
      </c>
      <c r="DN29" t="s">
        <v>125</v>
      </c>
      <c r="DO29" t="s">
        <v>125</v>
      </c>
      <c r="DQ29" t="s">
        <v>126</v>
      </c>
    </row>
    <row r="30" spans="1:121" x14ac:dyDescent="0.15">
      <c r="A30">
        <v>2018</v>
      </c>
      <c r="B30" t="s">
        <v>152</v>
      </c>
      <c r="C30" t="str">
        <f>"0530011"</f>
        <v>0530011</v>
      </c>
      <c r="D30" t="s">
        <v>123</v>
      </c>
      <c r="E30" t="str">
        <f t="shared" si="0"/>
        <v>0000000</v>
      </c>
      <c r="F30" t="s">
        <v>123</v>
      </c>
      <c r="G30" t="s">
        <v>123</v>
      </c>
      <c r="H30" t="s">
        <v>123</v>
      </c>
      <c r="J30" t="s">
        <v>124</v>
      </c>
      <c r="K30">
        <v>635.33354299999996</v>
      </c>
      <c r="L30">
        <v>800</v>
      </c>
      <c r="M30">
        <v>79.416692999999995</v>
      </c>
      <c r="N30" t="s">
        <v>125</v>
      </c>
      <c r="O30">
        <v>1</v>
      </c>
      <c r="P30">
        <v>74.311768000000001</v>
      </c>
      <c r="Q30">
        <v>49.541178000000002</v>
      </c>
      <c r="R30">
        <v>50</v>
      </c>
      <c r="S30">
        <v>59.249628999999999</v>
      </c>
      <c r="T30">
        <v>75</v>
      </c>
      <c r="U30">
        <v>39.499752000000001</v>
      </c>
      <c r="V30">
        <v>50</v>
      </c>
      <c r="W30">
        <v>68.791983999999999</v>
      </c>
      <c r="X30">
        <v>45.861322000000001</v>
      </c>
      <c r="Y30">
        <v>50</v>
      </c>
      <c r="Z30">
        <v>72.529133999999999</v>
      </c>
      <c r="AA30">
        <v>57.418047000000001</v>
      </c>
      <c r="AB30">
        <v>38.278697999999999</v>
      </c>
      <c r="AC30">
        <v>50</v>
      </c>
      <c r="AD30">
        <v>68.217343</v>
      </c>
      <c r="AE30">
        <v>45.478228999999999</v>
      </c>
      <c r="AF30">
        <v>50</v>
      </c>
      <c r="AG30" t="s">
        <v>125</v>
      </c>
      <c r="AH30" t="s">
        <v>125</v>
      </c>
      <c r="AI30" t="s">
        <v>125</v>
      </c>
      <c r="AJ30" t="s">
        <v>125</v>
      </c>
      <c r="AK30">
        <v>15.75</v>
      </c>
      <c r="AL30">
        <v>15.11</v>
      </c>
      <c r="AM30" t="s">
        <v>125</v>
      </c>
      <c r="AN30">
        <v>0.66216900000000001</v>
      </c>
      <c r="AO30">
        <v>66.216926000000001</v>
      </c>
      <c r="AP30">
        <v>100</v>
      </c>
      <c r="AQ30">
        <v>0.86987300000000001</v>
      </c>
      <c r="AR30">
        <v>86.987273999999999</v>
      </c>
      <c r="AS30">
        <v>100</v>
      </c>
      <c r="AT30">
        <v>0.56551200000000001</v>
      </c>
      <c r="AU30">
        <v>0.69493400000000005</v>
      </c>
      <c r="AV30">
        <v>56.551223</v>
      </c>
      <c r="AW30">
        <v>100</v>
      </c>
      <c r="AX30">
        <v>0.73246999999999995</v>
      </c>
      <c r="AY30">
        <v>0.91644999999999999</v>
      </c>
      <c r="AZ30">
        <v>73.246993000000003</v>
      </c>
      <c r="BA30">
        <v>100</v>
      </c>
      <c r="BB30" t="s">
        <v>125</v>
      </c>
      <c r="BC30" t="s">
        <v>125</v>
      </c>
      <c r="BD30" t="s">
        <v>125</v>
      </c>
      <c r="BE30" t="s">
        <v>125</v>
      </c>
      <c r="BF30" t="s">
        <v>125</v>
      </c>
      <c r="BG30" t="s">
        <v>125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 t="s">
        <v>125</v>
      </c>
      <c r="BQ30" t="s">
        <v>125</v>
      </c>
      <c r="BR30">
        <v>1.4286E-2</v>
      </c>
      <c r="BS30">
        <v>50</v>
      </c>
      <c r="BT30">
        <v>50</v>
      </c>
      <c r="BU30">
        <v>5.4053999999999998E-2</v>
      </c>
      <c r="BV30">
        <v>49.189188999999999</v>
      </c>
      <c r="BW30">
        <v>50</v>
      </c>
      <c r="BX30" t="s">
        <v>125</v>
      </c>
      <c r="BY30" t="s">
        <v>125</v>
      </c>
      <c r="BZ30" t="s">
        <v>125</v>
      </c>
      <c r="CA30" t="s">
        <v>125</v>
      </c>
      <c r="CB30" t="s">
        <v>125</v>
      </c>
      <c r="CC30" t="s">
        <v>125</v>
      </c>
      <c r="CD30" t="s">
        <v>125</v>
      </c>
      <c r="CE30" t="s">
        <v>125</v>
      </c>
      <c r="CF30" t="s">
        <v>125</v>
      </c>
      <c r="CG30" t="s">
        <v>125</v>
      </c>
      <c r="CH30" t="s">
        <v>125</v>
      </c>
      <c r="CI30" t="s">
        <v>125</v>
      </c>
      <c r="CJ30" t="s">
        <v>125</v>
      </c>
      <c r="CK30" t="s">
        <v>125</v>
      </c>
      <c r="CL30" t="s">
        <v>125</v>
      </c>
      <c r="CM30" t="s">
        <v>125</v>
      </c>
      <c r="CN30" t="s">
        <v>125</v>
      </c>
      <c r="CO30" t="s">
        <v>125</v>
      </c>
      <c r="CP30" t="s">
        <v>125</v>
      </c>
      <c r="CQ30">
        <v>0.51724099999999995</v>
      </c>
      <c r="CR30">
        <v>1</v>
      </c>
      <c r="CS30">
        <v>34.482759000000001</v>
      </c>
      <c r="CT30">
        <v>50</v>
      </c>
      <c r="CU30" t="s">
        <v>125</v>
      </c>
      <c r="CV30" t="s">
        <v>125</v>
      </c>
      <c r="CW30" t="s">
        <v>125</v>
      </c>
      <c r="CX30" t="s">
        <v>125</v>
      </c>
      <c r="CY30" t="s">
        <v>125</v>
      </c>
      <c r="CZ30" t="s">
        <v>125</v>
      </c>
      <c r="DA30">
        <v>15.389535</v>
      </c>
      <c r="DB30">
        <v>17.608319000000002</v>
      </c>
      <c r="DC30">
        <v>16.064022999999999</v>
      </c>
      <c r="DD30" t="s">
        <v>125</v>
      </c>
      <c r="DE30" t="s">
        <v>125</v>
      </c>
      <c r="DJ30" t="s">
        <v>125</v>
      </c>
      <c r="DK30" t="s">
        <v>125</v>
      </c>
      <c r="DL30" t="s">
        <v>125</v>
      </c>
      <c r="DM30" t="s">
        <v>125</v>
      </c>
      <c r="DN30" t="s">
        <v>125</v>
      </c>
      <c r="DO30" t="s">
        <v>125</v>
      </c>
      <c r="DQ30" t="s">
        <v>126</v>
      </c>
    </row>
    <row r="31" spans="1:121" x14ac:dyDescent="0.15">
      <c r="A31">
        <v>2018</v>
      </c>
      <c r="B31" t="s">
        <v>153</v>
      </c>
      <c r="C31" t="str">
        <f>"0540011"</f>
        <v>0540011</v>
      </c>
      <c r="D31" t="s">
        <v>123</v>
      </c>
      <c r="E31" t="str">
        <f t="shared" si="0"/>
        <v>0000000</v>
      </c>
      <c r="F31" t="s">
        <v>123</v>
      </c>
      <c r="G31" t="s">
        <v>123</v>
      </c>
      <c r="H31" t="s">
        <v>123</v>
      </c>
      <c r="J31" t="s">
        <v>124</v>
      </c>
      <c r="K31">
        <v>1210.697019</v>
      </c>
      <c r="L31">
        <v>1450</v>
      </c>
      <c r="M31">
        <v>83.496346000000003</v>
      </c>
      <c r="N31" t="s">
        <v>125</v>
      </c>
      <c r="O31">
        <v>0</v>
      </c>
      <c r="P31">
        <v>79.014217000000002</v>
      </c>
      <c r="Q31">
        <v>50</v>
      </c>
      <c r="R31">
        <v>50</v>
      </c>
      <c r="S31">
        <v>63.313648000000001</v>
      </c>
      <c r="T31">
        <v>75</v>
      </c>
      <c r="U31">
        <v>42.209099000000002</v>
      </c>
      <c r="V31">
        <v>50</v>
      </c>
      <c r="W31">
        <v>77.620958999999999</v>
      </c>
      <c r="X31">
        <v>50</v>
      </c>
      <c r="Y31">
        <v>50</v>
      </c>
      <c r="Z31">
        <v>75</v>
      </c>
      <c r="AA31">
        <v>60.231495000000002</v>
      </c>
      <c r="AB31">
        <v>40.154330000000002</v>
      </c>
      <c r="AC31">
        <v>50</v>
      </c>
      <c r="AD31">
        <v>76.236583999999993</v>
      </c>
      <c r="AE31">
        <v>50</v>
      </c>
      <c r="AF31">
        <v>50</v>
      </c>
      <c r="AG31">
        <v>61.522201000000003</v>
      </c>
      <c r="AH31">
        <v>75</v>
      </c>
      <c r="AI31">
        <v>41.014800999999999</v>
      </c>
      <c r="AJ31">
        <v>50</v>
      </c>
      <c r="AK31">
        <v>11.68</v>
      </c>
      <c r="AL31">
        <v>14.76</v>
      </c>
      <c r="AM31">
        <v>13.47</v>
      </c>
      <c r="AN31">
        <v>0.660049</v>
      </c>
      <c r="AO31">
        <v>66.004857999999999</v>
      </c>
      <c r="AP31">
        <v>100</v>
      </c>
      <c r="AQ31">
        <v>0.74274499999999999</v>
      </c>
      <c r="AR31">
        <v>74.274472000000003</v>
      </c>
      <c r="AS31">
        <v>100</v>
      </c>
      <c r="AT31">
        <v>0.55130299999999999</v>
      </c>
      <c r="AU31">
        <v>0.68804100000000001</v>
      </c>
      <c r="AV31">
        <v>55.130319999999998</v>
      </c>
      <c r="AW31">
        <v>100</v>
      </c>
      <c r="AX31">
        <v>0.61488399999999999</v>
      </c>
      <c r="AY31">
        <v>0.77565700000000004</v>
      </c>
      <c r="AZ31">
        <v>61.48845</v>
      </c>
      <c r="BA31">
        <v>100</v>
      </c>
      <c r="BB31">
        <v>0.72288399999999997</v>
      </c>
      <c r="BC31">
        <v>36.144210000000001</v>
      </c>
      <c r="BD31">
        <v>50</v>
      </c>
      <c r="BE31">
        <v>0.67488199999999998</v>
      </c>
      <c r="BF31">
        <v>33.744081999999999</v>
      </c>
      <c r="BG31">
        <v>50</v>
      </c>
      <c r="BH31">
        <v>0</v>
      </c>
      <c r="BI31">
        <v>0.99624199999999996</v>
      </c>
      <c r="BJ31">
        <v>0.98783799999999999</v>
      </c>
      <c r="BK31">
        <v>0.99877700000000003</v>
      </c>
      <c r="BL31">
        <v>0.99561699999999997</v>
      </c>
      <c r="BM31">
        <v>0.98785400000000001</v>
      </c>
      <c r="BN31">
        <v>0.99796200000000002</v>
      </c>
      <c r="BO31">
        <v>0.99583900000000003</v>
      </c>
      <c r="BP31">
        <v>0.99065400000000003</v>
      </c>
      <c r="BQ31">
        <v>0.99732399999999999</v>
      </c>
      <c r="BR31">
        <v>3.6986999999999999E-2</v>
      </c>
      <c r="BS31">
        <v>50</v>
      </c>
      <c r="BT31">
        <v>50</v>
      </c>
      <c r="BU31">
        <v>9.7761000000000001E-2</v>
      </c>
      <c r="BV31">
        <v>40.447761</v>
      </c>
      <c r="BW31">
        <v>50</v>
      </c>
      <c r="BX31">
        <v>0.72912600000000005</v>
      </c>
      <c r="BY31">
        <v>48.608414000000003</v>
      </c>
      <c r="BZ31">
        <v>50</v>
      </c>
      <c r="CA31">
        <v>0.728155</v>
      </c>
      <c r="CB31">
        <v>48.543689000000001</v>
      </c>
      <c r="CC31">
        <v>50</v>
      </c>
      <c r="CD31">
        <v>0.96078399999999997</v>
      </c>
      <c r="CE31">
        <v>50</v>
      </c>
      <c r="CF31">
        <v>50</v>
      </c>
      <c r="CG31">
        <v>0.96572599999999997</v>
      </c>
      <c r="CH31">
        <v>100</v>
      </c>
      <c r="CI31">
        <v>100</v>
      </c>
      <c r="CJ31">
        <v>0</v>
      </c>
      <c r="CK31">
        <v>0.97297299999999998</v>
      </c>
      <c r="CL31">
        <v>100</v>
      </c>
      <c r="CM31">
        <v>100</v>
      </c>
      <c r="CN31">
        <v>0.84899999999999998</v>
      </c>
      <c r="CO31">
        <v>100</v>
      </c>
      <c r="CP31">
        <v>100</v>
      </c>
      <c r="CQ31">
        <v>0.51297599999999999</v>
      </c>
      <c r="CR31">
        <v>0.95416199999999995</v>
      </c>
      <c r="CS31">
        <v>34.198416999999999</v>
      </c>
      <c r="CT31">
        <v>50</v>
      </c>
      <c r="CU31">
        <v>0.46480900000000003</v>
      </c>
      <c r="CV31">
        <v>38.734115000000003</v>
      </c>
      <c r="CW31">
        <v>50</v>
      </c>
      <c r="CX31">
        <v>0.97297299999999998</v>
      </c>
      <c r="CY31">
        <v>0.94</v>
      </c>
      <c r="CZ31">
        <v>-3.2973000000000002E-2</v>
      </c>
      <c r="DA31">
        <v>15.389535</v>
      </c>
      <c r="DB31">
        <v>17.608319000000002</v>
      </c>
      <c r="DC31">
        <v>16.064022999999999</v>
      </c>
      <c r="DD31">
        <v>11.115401</v>
      </c>
      <c r="DE31" t="s">
        <v>125</v>
      </c>
      <c r="DJ31" t="s">
        <v>125</v>
      </c>
      <c r="DK31" t="s">
        <v>125</v>
      </c>
      <c r="DL31" t="s">
        <v>125</v>
      </c>
      <c r="DM31" t="s">
        <v>125</v>
      </c>
      <c r="DN31" t="s">
        <v>125</v>
      </c>
      <c r="DO31" t="s">
        <v>125</v>
      </c>
      <c r="DQ31" t="s">
        <v>126</v>
      </c>
    </row>
    <row r="32" spans="1:121" x14ac:dyDescent="0.15">
      <c r="A32">
        <v>2018</v>
      </c>
      <c r="B32" t="s">
        <v>154</v>
      </c>
      <c r="C32" t="str">
        <f>"1070011"</f>
        <v>1070011</v>
      </c>
      <c r="D32" t="s">
        <v>123</v>
      </c>
      <c r="E32" t="str">
        <f t="shared" si="0"/>
        <v>0000000</v>
      </c>
      <c r="F32" t="s">
        <v>123</v>
      </c>
      <c r="G32" t="s">
        <v>123</v>
      </c>
      <c r="H32" t="s">
        <v>123</v>
      </c>
      <c r="J32" t="s">
        <v>124</v>
      </c>
      <c r="K32">
        <v>731.76650299999994</v>
      </c>
      <c r="L32">
        <v>950</v>
      </c>
      <c r="M32">
        <v>77.028053</v>
      </c>
      <c r="N32" t="s">
        <v>125</v>
      </c>
      <c r="O32">
        <v>1</v>
      </c>
      <c r="P32">
        <v>79.803417999999994</v>
      </c>
      <c r="Q32">
        <v>50</v>
      </c>
      <c r="R32">
        <v>50</v>
      </c>
      <c r="S32">
        <v>67.152396999999993</v>
      </c>
      <c r="T32">
        <v>75</v>
      </c>
      <c r="U32">
        <v>44.768265</v>
      </c>
      <c r="V32">
        <v>50</v>
      </c>
      <c r="W32">
        <v>74.756489999999999</v>
      </c>
      <c r="X32">
        <v>49.83766</v>
      </c>
      <c r="Y32">
        <v>50</v>
      </c>
      <c r="Z32">
        <v>75</v>
      </c>
      <c r="AA32">
        <v>63.527996999999999</v>
      </c>
      <c r="AB32">
        <v>42.351998000000002</v>
      </c>
      <c r="AC32">
        <v>50</v>
      </c>
      <c r="AD32">
        <v>74.141454999999993</v>
      </c>
      <c r="AE32">
        <v>49.427636</v>
      </c>
      <c r="AF32">
        <v>50</v>
      </c>
      <c r="AG32">
        <v>58.678206000000003</v>
      </c>
      <c r="AH32">
        <v>75</v>
      </c>
      <c r="AI32">
        <v>39.118803999999997</v>
      </c>
      <c r="AJ32">
        <v>50</v>
      </c>
      <c r="AK32">
        <v>7.84</v>
      </c>
      <c r="AL32">
        <v>11.47</v>
      </c>
      <c r="AM32">
        <v>16.32</v>
      </c>
      <c r="AN32">
        <v>0.72930399999999995</v>
      </c>
      <c r="AO32">
        <v>72.930419000000001</v>
      </c>
      <c r="AP32">
        <v>100</v>
      </c>
      <c r="AQ32">
        <v>0.76864399999999999</v>
      </c>
      <c r="AR32">
        <v>76.864390999999998</v>
      </c>
      <c r="AS32">
        <v>100</v>
      </c>
      <c r="AT32">
        <v>0.56422600000000001</v>
      </c>
      <c r="AU32">
        <v>0.77646899999999996</v>
      </c>
      <c r="AV32">
        <v>56.422597000000003</v>
      </c>
      <c r="AW32">
        <v>100</v>
      </c>
      <c r="AX32">
        <v>0.62466600000000005</v>
      </c>
      <c r="AY32">
        <v>0.80961899999999998</v>
      </c>
      <c r="AZ32">
        <v>62.466605000000001</v>
      </c>
      <c r="BA32">
        <v>100</v>
      </c>
      <c r="BB32">
        <v>0.54710499999999995</v>
      </c>
      <c r="BC32">
        <v>27.355239999999998</v>
      </c>
      <c r="BD32">
        <v>50</v>
      </c>
      <c r="BE32">
        <v>0.55815700000000001</v>
      </c>
      <c r="BF32">
        <v>27.907826</v>
      </c>
      <c r="BG32">
        <v>50</v>
      </c>
      <c r="BH32">
        <v>0</v>
      </c>
      <c r="BI32">
        <v>0.99851400000000001</v>
      </c>
      <c r="BJ32">
        <v>0.99421999999999999</v>
      </c>
      <c r="BK32">
        <v>1</v>
      </c>
      <c r="BL32">
        <v>0.99554200000000004</v>
      </c>
      <c r="BM32">
        <v>0.99421999999999999</v>
      </c>
      <c r="BN32">
        <v>0.996</v>
      </c>
      <c r="BO32">
        <v>1</v>
      </c>
      <c r="BP32">
        <v>1</v>
      </c>
      <c r="BQ32">
        <v>1</v>
      </c>
      <c r="BR32">
        <v>3.5714000000000003E-2</v>
      </c>
      <c r="BS32">
        <v>50</v>
      </c>
      <c r="BT32">
        <v>50</v>
      </c>
      <c r="BU32">
        <v>7.8357999999999997E-2</v>
      </c>
      <c r="BV32">
        <v>44.328358000000001</v>
      </c>
      <c r="BW32">
        <v>50</v>
      </c>
      <c r="BX32" t="s">
        <v>125</v>
      </c>
      <c r="BY32" t="s">
        <v>125</v>
      </c>
      <c r="BZ32" t="s">
        <v>125</v>
      </c>
      <c r="CA32" t="s">
        <v>125</v>
      </c>
      <c r="CB32" t="s">
        <v>125</v>
      </c>
      <c r="CC32" t="s">
        <v>125</v>
      </c>
      <c r="CD32" t="s">
        <v>125</v>
      </c>
      <c r="CE32" t="s">
        <v>125</v>
      </c>
      <c r="CF32" t="s">
        <v>125</v>
      </c>
      <c r="CG32" t="s">
        <v>125</v>
      </c>
      <c r="CH32" t="s">
        <v>125</v>
      </c>
      <c r="CI32" t="s">
        <v>125</v>
      </c>
      <c r="CJ32" t="s">
        <v>125</v>
      </c>
      <c r="CK32" t="s">
        <v>125</v>
      </c>
      <c r="CL32" t="s">
        <v>125</v>
      </c>
      <c r="CM32" t="s">
        <v>125</v>
      </c>
      <c r="CN32" t="s">
        <v>125</v>
      </c>
      <c r="CO32" t="s">
        <v>125</v>
      </c>
      <c r="CP32" t="s">
        <v>125</v>
      </c>
      <c r="CQ32">
        <v>0.569801</v>
      </c>
      <c r="CR32">
        <v>0.98319299999999998</v>
      </c>
      <c r="CS32">
        <v>37.986705000000001</v>
      </c>
      <c r="CT32">
        <v>50</v>
      </c>
      <c r="CU32" t="s">
        <v>125</v>
      </c>
      <c r="CV32" t="s">
        <v>125</v>
      </c>
      <c r="CW32" t="s">
        <v>125</v>
      </c>
      <c r="CX32" t="s">
        <v>125</v>
      </c>
      <c r="CY32" t="s">
        <v>125</v>
      </c>
      <c r="CZ32" t="s">
        <v>125</v>
      </c>
      <c r="DA32">
        <v>15.389535</v>
      </c>
      <c r="DB32">
        <v>17.608319000000002</v>
      </c>
      <c r="DC32">
        <v>16.064022999999999</v>
      </c>
      <c r="DD32" t="s">
        <v>125</v>
      </c>
      <c r="DE32" t="s">
        <v>125</v>
      </c>
      <c r="DJ32" t="s">
        <v>125</v>
      </c>
      <c r="DK32" t="s">
        <v>125</v>
      </c>
      <c r="DL32" t="s">
        <v>125</v>
      </c>
      <c r="DM32" t="s">
        <v>125</v>
      </c>
      <c r="DN32" t="s">
        <v>125</v>
      </c>
      <c r="DO32" t="s">
        <v>125</v>
      </c>
      <c r="DQ32" t="s">
        <v>126</v>
      </c>
    </row>
    <row r="33" spans="1:121" x14ac:dyDescent="0.15">
      <c r="A33">
        <v>2018</v>
      </c>
      <c r="B33" t="s">
        <v>155</v>
      </c>
      <c r="C33" t="str">
        <f>"1080011"</f>
        <v>1080011</v>
      </c>
      <c r="D33" t="s">
        <v>123</v>
      </c>
      <c r="E33" t="str">
        <f t="shared" si="0"/>
        <v>0000000</v>
      </c>
      <c r="F33" t="s">
        <v>123</v>
      </c>
      <c r="G33" t="s">
        <v>123</v>
      </c>
      <c r="H33" t="s">
        <v>123</v>
      </c>
      <c r="J33" t="s">
        <v>124</v>
      </c>
      <c r="K33">
        <v>1154.718926</v>
      </c>
      <c r="L33">
        <v>1450</v>
      </c>
      <c r="M33">
        <v>79.635788000000005</v>
      </c>
      <c r="N33" t="s">
        <v>125</v>
      </c>
      <c r="O33">
        <v>0</v>
      </c>
      <c r="P33">
        <v>71.946528999999998</v>
      </c>
      <c r="Q33">
        <v>47.964351999999998</v>
      </c>
      <c r="R33">
        <v>50</v>
      </c>
      <c r="S33">
        <v>62.676606</v>
      </c>
      <c r="T33">
        <v>75</v>
      </c>
      <c r="U33">
        <v>41.784404000000002</v>
      </c>
      <c r="V33">
        <v>50</v>
      </c>
      <c r="W33">
        <v>67.016943999999995</v>
      </c>
      <c r="X33">
        <v>44.677962000000001</v>
      </c>
      <c r="Y33">
        <v>50</v>
      </c>
      <c r="Z33">
        <v>70.337154999999996</v>
      </c>
      <c r="AA33">
        <v>57.150404000000002</v>
      </c>
      <c r="AB33">
        <v>38.100268999999997</v>
      </c>
      <c r="AC33">
        <v>50</v>
      </c>
      <c r="AD33">
        <v>67.763636000000005</v>
      </c>
      <c r="AE33">
        <v>45.175756999999997</v>
      </c>
      <c r="AF33">
        <v>50</v>
      </c>
      <c r="AG33">
        <v>55.699384999999999</v>
      </c>
      <c r="AH33">
        <v>70.921631000000005</v>
      </c>
      <c r="AI33">
        <v>37.132924000000003</v>
      </c>
      <c r="AJ33">
        <v>50</v>
      </c>
      <c r="AK33">
        <v>12.32</v>
      </c>
      <c r="AL33">
        <v>13.18</v>
      </c>
      <c r="AM33">
        <v>15.22</v>
      </c>
      <c r="AN33">
        <v>0.62947399999999998</v>
      </c>
      <c r="AO33">
        <v>62.947420000000001</v>
      </c>
      <c r="AP33">
        <v>100</v>
      </c>
      <c r="AQ33">
        <v>0.61846400000000001</v>
      </c>
      <c r="AR33">
        <v>61.846362999999997</v>
      </c>
      <c r="AS33">
        <v>100</v>
      </c>
      <c r="AT33">
        <v>0.61702800000000002</v>
      </c>
      <c r="AU33">
        <v>0.63307500000000005</v>
      </c>
      <c r="AV33">
        <v>61.702812000000002</v>
      </c>
      <c r="AW33">
        <v>100</v>
      </c>
      <c r="AX33">
        <v>0.54831300000000005</v>
      </c>
      <c r="AY33">
        <v>0.63879699999999995</v>
      </c>
      <c r="AZ33">
        <v>54.831282999999999</v>
      </c>
      <c r="BA33">
        <v>100</v>
      </c>
      <c r="BB33">
        <v>0.676095</v>
      </c>
      <c r="BC33">
        <v>33.804727</v>
      </c>
      <c r="BD33">
        <v>50</v>
      </c>
      <c r="BE33">
        <v>0.495361</v>
      </c>
      <c r="BF33">
        <v>24.768053999999999</v>
      </c>
      <c r="BG33">
        <v>50</v>
      </c>
      <c r="BH33">
        <v>0</v>
      </c>
      <c r="BI33">
        <v>0.98803600000000003</v>
      </c>
      <c r="BJ33">
        <v>0.97265599999999997</v>
      </c>
      <c r="BK33">
        <v>0.99330700000000005</v>
      </c>
      <c r="BL33">
        <v>0.98705200000000004</v>
      </c>
      <c r="BM33">
        <v>0.97265599999999997</v>
      </c>
      <c r="BN33">
        <v>0.99197900000000006</v>
      </c>
      <c r="BO33">
        <v>0.98409100000000005</v>
      </c>
      <c r="BP33">
        <v>0.95744700000000005</v>
      </c>
      <c r="BQ33">
        <v>0.99132900000000002</v>
      </c>
      <c r="BR33">
        <v>4.4759E-2</v>
      </c>
      <c r="BS33">
        <v>50</v>
      </c>
      <c r="BT33">
        <v>50</v>
      </c>
      <c r="BU33">
        <v>8.5918999999999995E-2</v>
      </c>
      <c r="BV33">
        <v>42.816229</v>
      </c>
      <c r="BW33">
        <v>50</v>
      </c>
      <c r="BX33">
        <v>0.85906000000000005</v>
      </c>
      <c r="BY33">
        <v>50</v>
      </c>
      <c r="BZ33">
        <v>50</v>
      </c>
      <c r="CA33">
        <v>0.47986600000000001</v>
      </c>
      <c r="CB33">
        <v>31.991050999999999</v>
      </c>
      <c r="CC33">
        <v>50</v>
      </c>
      <c r="CD33">
        <v>0.93962299999999999</v>
      </c>
      <c r="CE33">
        <v>49.979928000000001</v>
      </c>
      <c r="CF33">
        <v>50</v>
      </c>
      <c r="CG33">
        <v>0.94964000000000004</v>
      </c>
      <c r="CH33">
        <v>100</v>
      </c>
      <c r="CI33">
        <v>100</v>
      </c>
      <c r="CJ33">
        <v>0</v>
      </c>
      <c r="CK33">
        <v>0.87878800000000001</v>
      </c>
      <c r="CL33">
        <v>93.488072000000003</v>
      </c>
      <c r="CM33">
        <v>100</v>
      </c>
      <c r="CN33">
        <v>0.872</v>
      </c>
      <c r="CO33">
        <v>100</v>
      </c>
      <c r="CP33">
        <v>100</v>
      </c>
      <c r="CQ33">
        <v>0.47560999999999998</v>
      </c>
      <c r="CR33">
        <v>0.98119699999999999</v>
      </c>
      <c r="CS33">
        <v>31.707317</v>
      </c>
      <c r="CT33">
        <v>50</v>
      </c>
      <c r="CU33">
        <v>0.61663699999999999</v>
      </c>
      <c r="CV33">
        <v>50</v>
      </c>
      <c r="CW33">
        <v>50</v>
      </c>
      <c r="CX33">
        <v>0.87878800000000001</v>
      </c>
      <c r="CY33">
        <v>0.94</v>
      </c>
      <c r="CZ33">
        <v>6.1212000000000003E-2</v>
      </c>
      <c r="DA33">
        <v>15.389535</v>
      </c>
      <c r="DB33">
        <v>17.608319000000002</v>
      </c>
      <c r="DC33">
        <v>16.064022999999999</v>
      </c>
      <c r="DD33">
        <v>11.115401</v>
      </c>
      <c r="DE33" t="s">
        <v>125</v>
      </c>
      <c r="DJ33" t="s">
        <v>125</v>
      </c>
      <c r="DK33" t="s">
        <v>125</v>
      </c>
      <c r="DL33" t="s">
        <v>125</v>
      </c>
      <c r="DM33" t="s">
        <v>125</v>
      </c>
      <c r="DN33" t="s">
        <v>125</v>
      </c>
      <c r="DO33" t="s">
        <v>125</v>
      </c>
      <c r="DQ33" t="s">
        <v>126</v>
      </c>
    </row>
    <row r="34" spans="1:121" x14ac:dyDescent="0.15">
      <c r="A34">
        <v>2018</v>
      </c>
      <c r="B34" t="s">
        <v>156</v>
      </c>
      <c r="C34" t="str">
        <f>"2090012"</f>
        <v>2090012</v>
      </c>
      <c r="D34" t="s">
        <v>123</v>
      </c>
      <c r="E34" t="str">
        <f t="shared" si="0"/>
        <v>0000000</v>
      </c>
      <c r="F34" t="s">
        <v>123</v>
      </c>
      <c r="G34" t="s">
        <v>123</v>
      </c>
      <c r="H34" t="s">
        <v>123</v>
      </c>
      <c r="J34" t="s">
        <v>124</v>
      </c>
      <c r="K34">
        <v>1278.0045299999999</v>
      </c>
      <c r="L34">
        <v>1450</v>
      </c>
      <c r="M34">
        <v>88.138243000000003</v>
      </c>
      <c r="N34" t="s">
        <v>125</v>
      </c>
      <c r="O34">
        <v>1</v>
      </c>
      <c r="P34">
        <v>70.760233999999997</v>
      </c>
      <c r="Q34">
        <v>141.52046799999999</v>
      </c>
      <c r="R34">
        <v>150</v>
      </c>
      <c r="S34">
        <v>56.237127000000001</v>
      </c>
      <c r="T34">
        <v>74.304563000000002</v>
      </c>
      <c r="U34">
        <v>112.474255</v>
      </c>
      <c r="V34">
        <v>150</v>
      </c>
      <c r="W34">
        <v>70.508771999999993</v>
      </c>
      <c r="X34">
        <v>141.01754399999999</v>
      </c>
      <c r="Y34">
        <v>150</v>
      </c>
      <c r="Z34">
        <v>74.544642999999994</v>
      </c>
      <c r="AA34">
        <v>53.971544999999999</v>
      </c>
      <c r="AB34">
        <v>107.943089</v>
      </c>
      <c r="AC34">
        <v>150</v>
      </c>
      <c r="AD34">
        <v>74.508612999999997</v>
      </c>
      <c r="AE34">
        <v>99.344817000000006</v>
      </c>
      <c r="AF34">
        <v>100</v>
      </c>
      <c r="AG34">
        <v>58.870714999999997</v>
      </c>
      <c r="AH34">
        <v>75</v>
      </c>
      <c r="AI34">
        <v>78.494286000000002</v>
      </c>
      <c r="AJ34">
        <v>100</v>
      </c>
      <c r="AK34">
        <v>18.059999999999999</v>
      </c>
      <c r="AL34">
        <v>20.57</v>
      </c>
      <c r="AM34">
        <v>16.12</v>
      </c>
      <c r="AN34" t="s">
        <v>125</v>
      </c>
      <c r="AO34" t="s">
        <v>125</v>
      </c>
      <c r="AP34" t="s">
        <v>125</v>
      </c>
      <c r="AQ34" t="s">
        <v>125</v>
      </c>
      <c r="AR34" t="s">
        <v>125</v>
      </c>
      <c r="AS34" t="s">
        <v>125</v>
      </c>
      <c r="AT34" t="s">
        <v>125</v>
      </c>
      <c r="AU34" t="s">
        <v>125</v>
      </c>
      <c r="AV34" t="s">
        <v>125</v>
      </c>
      <c r="AW34" t="s">
        <v>125</v>
      </c>
      <c r="AX34" t="s">
        <v>125</v>
      </c>
      <c r="AY34" t="s">
        <v>125</v>
      </c>
      <c r="AZ34" t="s">
        <v>125</v>
      </c>
      <c r="BA34" t="s">
        <v>125</v>
      </c>
      <c r="BB34" t="s">
        <v>125</v>
      </c>
      <c r="BC34" t="s">
        <v>125</v>
      </c>
      <c r="BD34" t="s">
        <v>125</v>
      </c>
      <c r="BE34" t="s">
        <v>125</v>
      </c>
      <c r="BF34" t="s">
        <v>125</v>
      </c>
      <c r="BG34" t="s">
        <v>125</v>
      </c>
      <c r="BH34">
        <v>1</v>
      </c>
      <c r="BI34">
        <v>0.98130799999999996</v>
      </c>
      <c r="BJ34">
        <v>0.93333299999999997</v>
      </c>
      <c r="BK34">
        <v>0.99408300000000005</v>
      </c>
      <c r="BL34">
        <v>0.98130799999999996</v>
      </c>
      <c r="BM34">
        <v>0.93333299999999997</v>
      </c>
      <c r="BN34">
        <v>0.99408300000000005</v>
      </c>
      <c r="BO34">
        <v>0.96279099999999995</v>
      </c>
      <c r="BP34">
        <v>0.88888900000000004</v>
      </c>
      <c r="BQ34">
        <v>0.98235300000000003</v>
      </c>
      <c r="BR34">
        <v>9.1927999999999996E-2</v>
      </c>
      <c r="BS34">
        <v>41.614350000000002</v>
      </c>
      <c r="BT34">
        <v>50</v>
      </c>
      <c r="BU34">
        <v>0.18181800000000001</v>
      </c>
      <c r="BV34">
        <v>23.636364</v>
      </c>
      <c r="BW34">
        <v>50</v>
      </c>
      <c r="BX34">
        <v>0.59299800000000003</v>
      </c>
      <c r="BY34">
        <v>39.533186999999998</v>
      </c>
      <c r="BZ34">
        <v>50</v>
      </c>
      <c r="CA34">
        <v>0.73523000000000005</v>
      </c>
      <c r="CB34">
        <v>49.015317000000003</v>
      </c>
      <c r="CC34">
        <v>50</v>
      </c>
      <c r="CD34">
        <v>0.99541299999999999</v>
      </c>
      <c r="CE34">
        <v>50</v>
      </c>
      <c r="CF34">
        <v>50</v>
      </c>
      <c r="CG34">
        <v>0.96595699999999995</v>
      </c>
      <c r="CH34">
        <v>100</v>
      </c>
      <c r="CI34">
        <v>100</v>
      </c>
      <c r="CJ34">
        <v>0</v>
      </c>
      <c r="CK34">
        <v>0.95238100000000003</v>
      </c>
      <c r="CL34">
        <v>100</v>
      </c>
      <c r="CM34">
        <v>100</v>
      </c>
      <c r="CN34">
        <v>0.81299999999999994</v>
      </c>
      <c r="CO34">
        <v>100</v>
      </c>
      <c r="CP34">
        <v>100</v>
      </c>
      <c r="CQ34">
        <v>0.65116300000000005</v>
      </c>
      <c r="CR34">
        <v>0.99078299999999997</v>
      </c>
      <c r="CS34">
        <v>43.410853000000003</v>
      </c>
      <c r="CT34">
        <v>50</v>
      </c>
      <c r="CU34">
        <v>0.72309400000000001</v>
      </c>
      <c r="CV34">
        <v>50</v>
      </c>
      <c r="CW34">
        <v>50</v>
      </c>
      <c r="CX34">
        <v>0.95238100000000003</v>
      </c>
      <c r="CY34">
        <v>0.94</v>
      </c>
      <c r="CZ34">
        <v>-1.2381E-2</v>
      </c>
      <c r="DA34">
        <v>15.389535</v>
      </c>
      <c r="DB34">
        <v>17.608319000000002</v>
      </c>
      <c r="DC34">
        <v>16.064022999999999</v>
      </c>
      <c r="DD34">
        <v>11.115401</v>
      </c>
      <c r="DE34" t="s">
        <v>125</v>
      </c>
      <c r="DJ34" t="s">
        <v>125</v>
      </c>
      <c r="DK34" t="s">
        <v>125</v>
      </c>
      <c r="DL34" t="s">
        <v>125</v>
      </c>
      <c r="DM34" t="s">
        <v>125</v>
      </c>
      <c r="DN34" t="s">
        <v>125</v>
      </c>
      <c r="DO34" t="s">
        <v>125</v>
      </c>
      <c r="DQ34" t="s">
        <v>126</v>
      </c>
    </row>
    <row r="35" spans="1:121" x14ac:dyDescent="0.15">
      <c r="A35">
        <v>2018</v>
      </c>
      <c r="B35" t="s">
        <v>157</v>
      </c>
      <c r="C35" t="str">
        <f>"2100012"</f>
        <v>2100012</v>
      </c>
      <c r="D35" t="s">
        <v>123</v>
      </c>
      <c r="E35" t="str">
        <f t="shared" si="0"/>
        <v>0000000</v>
      </c>
      <c r="F35" t="s">
        <v>123</v>
      </c>
      <c r="G35" t="s">
        <v>123</v>
      </c>
      <c r="H35" t="s">
        <v>123</v>
      </c>
      <c r="J35" t="s">
        <v>124</v>
      </c>
      <c r="K35">
        <v>1177.8526790000001</v>
      </c>
      <c r="L35">
        <v>1450</v>
      </c>
      <c r="M35">
        <v>81.231218999999996</v>
      </c>
      <c r="N35" t="s">
        <v>125</v>
      </c>
      <c r="O35">
        <v>0</v>
      </c>
      <c r="P35">
        <v>74.979200000000006</v>
      </c>
      <c r="Q35">
        <v>49.986133000000002</v>
      </c>
      <c r="R35">
        <v>50</v>
      </c>
      <c r="S35">
        <v>63.554262000000001</v>
      </c>
      <c r="T35">
        <v>75</v>
      </c>
      <c r="U35">
        <v>42.369508000000003</v>
      </c>
      <c r="V35">
        <v>50</v>
      </c>
      <c r="W35">
        <v>72.601057999999995</v>
      </c>
      <c r="X35">
        <v>48.400705000000002</v>
      </c>
      <c r="Y35">
        <v>50</v>
      </c>
      <c r="Z35">
        <v>75</v>
      </c>
      <c r="AA35">
        <v>60.752383999999999</v>
      </c>
      <c r="AB35">
        <v>40.50159</v>
      </c>
      <c r="AC35">
        <v>50</v>
      </c>
      <c r="AD35">
        <v>71.390980999999996</v>
      </c>
      <c r="AE35">
        <v>47.593986999999998</v>
      </c>
      <c r="AF35">
        <v>50</v>
      </c>
      <c r="AG35">
        <v>63.326307</v>
      </c>
      <c r="AH35">
        <v>73.816445999999999</v>
      </c>
      <c r="AI35">
        <v>42.217537999999998</v>
      </c>
      <c r="AJ35">
        <v>50</v>
      </c>
      <c r="AK35">
        <v>11.44</v>
      </c>
      <c r="AL35">
        <v>14.24</v>
      </c>
      <c r="AM35">
        <v>10.49</v>
      </c>
      <c r="AN35">
        <v>0.56624300000000005</v>
      </c>
      <c r="AO35">
        <v>56.624271999999998</v>
      </c>
      <c r="AP35">
        <v>100</v>
      </c>
      <c r="AQ35">
        <v>0.67094399999999998</v>
      </c>
      <c r="AR35">
        <v>67.094402000000002</v>
      </c>
      <c r="AS35">
        <v>100</v>
      </c>
      <c r="AT35">
        <v>0.521702</v>
      </c>
      <c r="AU35">
        <v>0.57803099999999996</v>
      </c>
      <c r="AV35">
        <v>52.170209999999997</v>
      </c>
      <c r="AW35">
        <v>100</v>
      </c>
      <c r="AX35">
        <v>0.60800200000000004</v>
      </c>
      <c r="AY35">
        <v>0.68750800000000001</v>
      </c>
      <c r="AZ35">
        <v>60.800195000000002</v>
      </c>
      <c r="BA35">
        <v>100</v>
      </c>
      <c r="BB35">
        <v>0.91016699999999995</v>
      </c>
      <c r="BC35">
        <v>45.508325999999997</v>
      </c>
      <c r="BD35">
        <v>50</v>
      </c>
      <c r="BE35">
        <v>0.490506</v>
      </c>
      <c r="BF35">
        <v>24.525304999999999</v>
      </c>
      <c r="BG35">
        <v>50</v>
      </c>
      <c r="BH35">
        <v>0</v>
      </c>
      <c r="BI35">
        <v>0.98414000000000001</v>
      </c>
      <c r="BJ35">
        <v>0.95918400000000004</v>
      </c>
      <c r="BK35">
        <v>0.99225699999999994</v>
      </c>
      <c r="BL35">
        <v>0.98412699999999997</v>
      </c>
      <c r="BM35">
        <v>0.95904400000000001</v>
      </c>
      <c r="BN35">
        <v>0.99225699999999994</v>
      </c>
      <c r="BO35">
        <v>0.98501899999999998</v>
      </c>
      <c r="BP35">
        <v>0.961538</v>
      </c>
      <c r="BQ35">
        <v>0.99257399999999996</v>
      </c>
      <c r="BR35">
        <v>4.0825E-2</v>
      </c>
      <c r="BS35">
        <v>50</v>
      </c>
      <c r="BT35">
        <v>50</v>
      </c>
      <c r="BU35">
        <v>0.11823599999999999</v>
      </c>
      <c r="BV35">
        <v>36.352705</v>
      </c>
      <c r="BW35">
        <v>50</v>
      </c>
      <c r="BX35">
        <v>0.66395700000000002</v>
      </c>
      <c r="BY35">
        <v>44.263776</v>
      </c>
      <c r="BZ35">
        <v>50</v>
      </c>
      <c r="CA35">
        <v>0.598916</v>
      </c>
      <c r="CB35">
        <v>39.927733000000003</v>
      </c>
      <c r="CC35">
        <v>50</v>
      </c>
      <c r="CD35">
        <v>0.96962000000000004</v>
      </c>
      <c r="CE35">
        <v>50</v>
      </c>
      <c r="CF35">
        <v>50</v>
      </c>
      <c r="CG35">
        <v>0.95544600000000002</v>
      </c>
      <c r="CH35">
        <v>100</v>
      </c>
      <c r="CI35">
        <v>100</v>
      </c>
      <c r="CJ35">
        <v>0</v>
      </c>
      <c r="CK35">
        <v>0.87804899999999997</v>
      </c>
      <c r="CL35">
        <v>93.409445000000005</v>
      </c>
      <c r="CM35">
        <v>100</v>
      </c>
      <c r="CN35">
        <v>0.82899999999999996</v>
      </c>
      <c r="CO35">
        <v>100</v>
      </c>
      <c r="CP35">
        <v>100</v>
      </c>
      <c r="CQ35">
        <v>0.57101400000000002</v>
      </c>
      <c r="CR35">
        <v>0.95833299999999999</v>
      </c>
      <c r="CS35">
        <v>38.067633000000001</v>
      </c>
      <c r="CT35">
        <v>50</v>
      </c>
      <c r="CU35">
        <v>0.57647099999999996</v>
      </c>
      <c r="CV35">
        <v>48.039216000000003</v>
      </c>
      <c r="CW35">
        <v>50</v>
      </c>
      <c r="CX35">
        <v>0.87804899999999997</v>
      </c>
      <c r="CY35">
        <v>0.94</v>
      </c>
      <c r="CZ35">
        <v>6.1950999999999999E-2</v>
      </c>
      <c r="DA35">
        <v>15.389535</v>
      </c>
      <c r="DB35">
        <v>17.608319000000002</v>
      </c>
      <c r="DC35">
        <v>16.064022999999999</v>
      </c>
      <c r="DD35">
        <v>11.115401</v>
      </c>
      <c r="DE35" t="s">
        <v>125</v>
      </c>
      <c r="DJ35" t="s">
        <v>125</v>
      </c>
      <c r="DK35" t="s">
        <v>125</v>
      </c>
      <c r="DL35" t="s">
        <v>125</v>
      </c>
      <c r="DM35" t="s">
        <v>125</v>
      </c>
      <c r="DN35" t="s">
        <v>125</v>
      </c>
      <c r="DO35" t="s">
        <v>125</v>
      </c>
      <c r="DQ35" t="s">
        <v>126</v>
      </c>
    </row>
    <row r="36" spans="1:121" x14ac:dyDescent="0.15">
      <c r="A36">
        <v>2018</v>
      </c>
      <c r="B36" t="s">
        <v>158</v>
      </c>
      <c r="C36" t="str">
        <f>"0130011"</f>
        <v>0130011</v>
      </c>
      <c r="D36" t="s">
        <v>123</v>
      </c>
      <c r="E36" t="str">
        <f t="shared" si="0"/>
        <v>0000000</v>
      </c>
      <c r="F36" t="s">
        <v>123</v>
      </c>
      <c r="G36" t="s">
        <v>123</v>
      </c>
      <c r="H36" t="s">
        <v>123</v>
      </c>
      <c r="J36" t="s">
        <v>124</v>
      </c>
      <c r="K36">
        <v>657.89886000000001</v>
      </c>
      <c r="L36">
        <v>900</v>
      </c>
      <c r="M36">
        <v>73.099873000000002</v>
      </c>
      <c r="N36" t="s">
        <v>125</v>
      </c>
      <c r="O36">
        <v>1</v>
      </c>
      <c r="P36">
        <v>67.898084999999995</v>
      </c>
      <c r="Q36">
        <v>45.265389999999996</v>
      </c>
      <c r="R36">
        <v>50</v>
      </c>
      <c r="S36">
        <v>61.492562999999997</v>
      </c>
      <c r="T36">
        <v>72.656473000000005</v>
      </c>
      <c r="U36">
        <v>40.995041999999998</v>
      </c>
      <c r="V36">
        <v>50</v>
      </c>
      <c r="W36">
        <v>63.894525000000002</v>
      </c>
      <c r="X36">
        <v>42.596350000000001</v>
      </c>
      <c r="Y36">
        <v>50</v>
      </c>
      <c r="Z36">
        <v>69.122972000000004</v>
      </c>
      <c r="AA36">
        <v>56.856231999999999</v>
      </c>
      <c r="AB36">
        <v>37.904153999999998</v>
      </c>
      <c r="AC36">
        <v>50</v>
      </c>
      <c r="AD36">
        <v>68.124026999999998</v>
      </c>
      <c r="AE36">
        <v>45.416018000000001</v>
      </c>
      <c r="AF36">
        <v>50</v>
      </c>
      <c r="AG36">
        <v>56.944271000000001</v>
      </c>
      <c r="AH36">
        <v>75</v>
      </c>
      <c r="AI36">
        <v>37.962848000000001</v>
      </c>
      <c r="AJ36">
        <v>50</v>
      </c>
      <c r="AK36">
        <v>11.16</v>
      </c>
      <c r="AL36">
        <v>12.26</v>
      </c>
      <c r="AM36">
        <v>18.05</v>
      </c>
      <c r="AN36">
        <v>0.54209499999999999</v>
      </c>
      <c r="AO36">
        <v>54.209538999999999</v>
      </c>
      <c r="AP36">
        <v>100</v>
      </c>
      <c r="AQ36">
        <v>0.65986299999999998</v>
      </c>
      <c r="AR36">
        <v>65.986331000000007</v>
      </c>
      <c r="AS36">
        <v>100</v>
      </c>
      <c r="AT36">
        <v>0.48543399999999998</v>
      </c>
      <c r="AU36">
        <v>0.58045100000000005</v>
      </c>
      <c r="AV36">
        <v>48.543419999999998</v>
      </c>
      <c r="AW36">
        <v>100</v>
      </c>
      <c r="AX36">
        <v>0.68659400000000004</v>
      </c>
      <c r="AY36">
        <v>0.64176900000000003</v>
      </c>
      <c r="AZ36">
        <v>68.659407999999999</v>
      </c>
      <c r="BA36">
        <v>100</v>
      </c>
      <c r="BB36" t="s">
        <v>125</v>
      </c>
      <c r="BC36" t="s">
        <v>125</v>
      </c>
      <c r="BD36" t="s">
        <v>125</v>
      </c>
      <c r="BE36" t="s">
        <v>125</v>
      </c>
      <c r="BF36" t="s">
        <v>125</v>
      </c>
      <c r="BG36" t="s">
        <v>125</v>
      </c>
      <c r="BH36">
        <v>1</v>
      </c>
      <c r="BI36">
        <v>0.97656299999999996</v>
      </c>
      <c r="BJ36">
        <v>0.94736799999999999</v>
      </c>
      <c r="BK36">
        <v>1</v>
      </c>
      <c r="BL36">
        <v>0.97656299999999996</v>
      </c>
      <c r="BM36">
        <v>0.94736799999999999</v>
      </c>
      <c r="BN36">
        <v>1</v>
      </c>
      <c r="BO36">
        <v>0.97916700000000001</v>
      </c>
      <c r="BP36">
        <v>0.95833299999999999</v>
      </c>
      <c r="BQ36">
        <v>1</v>
      </c>
      <c r="BR36">
        <v>4.5198000000000002E-2</v>
      </c>
      <c r="BS36">
        <v>50</v>
      </c>
      <c r="BT36">
        <v>50</v>
      </c>
      <c r="BU36">
        <v>8.3333000000000004E-2</v>
      </c>
      <c r="BV36">
        <v>43.333333000000003</v>
      </c>
      <c r="BW36">
        <v>50</v>
      </c>
      <c r="BX36" t="s">
        <v>125</v>
      </c>
      <c r="BY36" t="s">
        <v>125</v>
      </c>
      <c r="BZ36" t="s">
        <v>125</v>
      </c>
      <c r="CA36" t="s">
        <v>125</v>
      </c>
      <c r="CB36" t="s">
        <v>125</v>
      </c>
      <c r="CC36" t="s">
        <v>125</v>
      </c>
      <c r="CD36">
        <v>1</v>
      </c>
      <c r="CE36">
        <v>50</v>
      </c>
      <c r="CF36">
        <v>50</v>
      </c>
      <c r="CG36" t="s">
        <v>125</v>
      </c>
      <c r="CH36" t="s">
        <v>125</v>
      </c>
      <c r="CI36" t="s">
        <v>125</v>
      </c>
      <c r="CJ36" t="s">
        <v>125</v>
      </c>
      <c r="CK36" t="s">
        <v>125</v>
      </c>
      <c r="CL36" t="s">
        <v>125</v>
      </c>
      <c r="CM36" t="s">
        <v>125</v>
      </c>
      <c r="CN36" t="s">
        <v>125</v>
      </c>
      <c r="CO36" t="s">
        <v>125</v>
      </c>
      <c r="CP36" t="s">
        <v>125</v>
      </c>
      <c r="CQ36">
        <v>0.40540500000000002</v>
      </c>
      <c r="CR36">
        <v>0.97368399999999999</v>
      </c>
      <c r="CS36">
        <v>27.027027</v>
      </c>
      <c r="CT36">
        <v>50</v>
      </c>
      <c r="CU36" t="s">
        <v>125</v>
      </c>
      <c r="CV36" t="s">
        <v>125</v>
      </c>
      <c r="CW36" t="s">
        <v>125</v>
      </c>
      <c r="CX36" t="s">
        <v>125</v>
      </c>
      <c r="CY36" t="s">
        <v>125</v>
      </c>
      <c r="CZ36" t="s">
        <v>125</v>
      </c>
      <c r="DA36">
        <v>15.389535</v>
      </c>
      <c r="DB36">
        <v>17.608319000000002</v>
      </c>
      <c r="DC36">
        <v>16.064022999999999</v>
      </c>
      <c r="DD36" t="s">
        <v>125</v>
      </c>
      <c r="DE36" t="s">
        <v>125</v>
      </c>
      <c r="DJ36" t="s">
        <v>125</v>
      </c>
      <c r="DK36" t="s">
        <v>125</v>
      </c>
      <c r="DL36" t="s">
        <v>125</v>
      </c>
      <c r="DM36" t="s">
        <v>125</v>
      </c>
      <c r="DN36" t="s">
        <v>125</v>
      </c>
      <c r="DO36" t="s">
        <v>125</v>
      </c>
      <c r="DQ36" t="s">
        <v>126</v>
      </c>
    </row>
    <row r="37" spans="1:121" x14ac:dyDescent="0.15">
      <c r="A37">
        <v>2018</v>
      </c>
      <c r="B37" t="s">
        <v>159</v>
      </c>
      <c r="C37" t="str">
        <f>"0140011"</f>
        <v>0140011</v>
      </c>
      <c r="D37" t="s">
        <v>123</v>
      </c>
      <c r="E37" t="str">
        <f t="shared" si="0"/>
        <v>0000000</v>
      </c>
      <c r="F37" t="s">
        <v>123</v>
      </c>
      <c r="G37" t="s">
        <v>123</v>
      </c>
      <c r="H37" t="s">
        <v>123</v>
      </c>
      <c r="J37" t="s">
        <v>124</v>
      </c>
      <c r="K37">
        <v>1129.951726</v>
      </c>
      <c r="L37">
        <v>1450</v>
      </c>
      <c r="M37">
        <v>77.927705000000003</v>
      </c>
      <c r="N37" t="s">
        <v>125</v>
      </c>
      <c r="O37">
        <v>0</v>
      </c>
      <c r="P37">
        <v>69.302469000000002</v>
      </c>
      <c r="Q37">
        <v>46.201645999999997</v>
      </c>
      <c r="R37">
        <v>50</v>
      </c>
      <c r="S37">
        <v>61.194367</v>
      </c>
      <c r="T37">
        <v>75</v>
      </c>
      <c r="U37">
        <v>40.796244000000002</v>
      </c>
      <c r="V37">
        <v>50</v>
      </c>
      <c r="W37">
        <v>66.252750000000006</v>
      </c>
      <c r="X37">
        <v>44.168500000000002</v>
      </c>
      <c r="Y37">
        <v>50</v>
      </c>
      <c r="Z37">
        <v>72.994534000000002</v>
      </c>
      <c r="AA37">
        <v>57.058410000000002</v>
      </c>
      <c r="AB37">
        <v>38.038939999999997</v>
      </c>
      <c r="AC37">
        <v>50</v>
      </c>
      <c r="AD37">
        <v>66.627668999999997</v>
      </c>
      <c r="AE37">
        <v>44.418446000000003</v>
      </c>
      <c r="AF37">
        <v>50</v>
      </c>
      <c r="AG37">
        <v>57.349881000000003</v>
      </c>
      <c r="AH37">
        <v>72.837023000000002</v>
      </c>
      <c r="AI37">
        <v>38.233254000000002</v>
      </c>
      <c r="AJ37">
        <v>50</v>
      </c>
      <c r="AK37">
        <v>13.8</v>
      </c>
      <c r="AL37">
        <v>15.93</v>
      </c>
      <c r="AM37">
        <v>15.48</v>
      </c>
      <c r="AN37">
        <v>0.63489099999999998</v>
      </c>
      <c r="AO37">
        <v>63.489134</v>
      </c>
      <c r="AP37">
        <v>100</v>
      </c>
      <c r="AQ37">
        <v>0.60536299999999998</v>
      </c>
      <c r="AR37">
        <v>60.536290000000001</v>
      </c>
      <c r="AS37">
        <v>100</v>
      </c>
      <c r="AT37">
        <v>0.61109199999999997</v>
      </c>
      <c r="AU37">
        <v>0.65204200000000001</v>
      </c>
      <c r="AV37">
        <v>61.109155999999999</v>
      </c>
      <c r="AW37">
        <v>100</v>
      </c>
      <c r="AX37">
        <v>0.54000800000000004</v>
      </c>
      <c r="AY37">
        <v>0.65231600000000001</v>
      </c>
      <c r="AZ37">
        <v>54.000816</v>
      </c>
      <c r="BA37">
        <v>100</v>
      </c>
      <c r="BB37">
        <v>0.61672899999999997</v>
      </c>
      <c r="BC37">
        <v>30.836434000000001</v>
      </c>
      <c r="BD37">
        <v>50</v>
      </c>
      <c r="BE37">
        <v>0.58124299999999995</v>
      </c>
      <c r="BF37">
        <v>29.062151</v>
      </c>
      <c r="BG37">
        <v>50</v>
      </c>
      <c r="BH37">
        <v>0</v>
      </c>
      <c r="BI37">
        <v>0.98736699999999999</v>
      </c>
      <c r="BJ37">
        <v>0.975684</v>
      </c>
      <c r="BK37">
        <v>0.99645399999999995</v>
      </c>
      <c r="BL37">
        <v>0.98537200000000003</v>
      </c>
      <c r="BM37">
        <v>0.97112500000000002</v>
      </c>
      <c r="BN37">
        <v>0.99645399999999995</v>
      </c>
      <c r="BO37">
        <v>0.99244699999999997</v>
      </c>
      <c r="BP37">
        <v>0.985294</v>
      </c>
      <c r="BQ37">
        <v>0.99743599999999999</v>
      </c>
      <c r="BR37">
        <v>6.9836999999999996E-2</v>
      </c>
      <c r="BS37">
        <v>46.032688999999998</v>
      </c>
      <c r="BT37">
        <v>50</v>
      </c>
      <c r="BU37">
        <v>0.109862</v>
      </c>
      <c r="BV37">
        <v>38.027681999999999</v>
      </c>
      <c r="BW37">
        <v>50</v>
      </c>
      <c r="BX37">
        <v>0.92224600000000001</v>
      </c>
      <c r="BY37">
        <v>50</v>
      </c>
      <c r="BZ37">
        <v>50</v>
      </c>
      <c r="CA37">
        <v>0.43196499999999999</v>
      </c>
      <c r="CB37">
        <v>28.797695999999998</v>
      </c>
      <c r="CC37">
        <v>50</v>
      </c>
      <c r="CD37">
        <v>0.94270799999999999</v>
      </c>
      <c r="CE37">
        <v>50</v>
      </c>
      <c r="CF37">
        <v>50</v>
      </c>
      <c r="CG37">
        <v>0.933921</v>
      </c>
      <c r="CH37">
        <v>99.353266000000005</v>
      </c>
      <c r="CI37">
        <v>100</v>
      </c>
      <c r="CJ37">
        <v>0</v>
      </c>
      <c r="CK37">
        <v>0.93939399999999995</v>
      </c>
      <c r="CL37">
        <v>99.935524999999998</v>
      </c>
      <c r="CM37">
        <v>100</v>
      </c>
      <c r="CN37">
        <v>0.68700000000000006</v>
      </c>
      <c r="CO37">
        <v>91.588785000000001</v>
      </c>
      <c r="CP37">
        <v>100</v>
      </c>
      <c r="CQ37">
        <v>0.43478299999999998</v>
      </c>
      <c r="CR37">
        <v>0.93206199999999995</v>
      </c>
      <c r="CS37">
        <v>28.985506999999998</v>
      </c>
      <c r="CT37">
        <v>50</v>
      </c>
      <c r="CU37">
        <v>0.55607499999999999</v>
      </c>
      <c r="CV37">
        <v>46.339564000000003</v>
      </c>
      <c r="CW37">
        <v>50</v>
      </c>
      <c r="CX37">
        <v>0.93939399999999995</v>
      </c>
      <c r="CY37">
        <v>0.94</v>
      </c>
      <c r="CZ37">
        <v>6.0599999999999998E-4</v>
      </c>
      <c r="DA37">
        <v>15.389535</v>
      </c>
      <c r="DB37">
        <v>17.608319000000002</v>
      </c>
      <c r="DC37">
        <v>16.064022999999999</v>
      </c>
      <c r="DD37">
        <v>11.115401</v>
      </c>
      <c r="DE37" t="s">
        <v>125</v>
      </c>
      <c r="DJ37" t="s">
        <v>125</v>
      </c>
      <c r="DK37" t="s">
        <v>125</v>
      </c>
      <c r="DL37" t="s">
        <v>125</v>
      </c>
      <c r="DM37" t="s">
        <v>125</v>
      </c>
      <c r="DN37" t="s">
        <v>125</v>
      </c>
      <c r="DO37" t="s">
        <v>125</v>
      </c>
      <c r="DQ37" t="s">
        <v>126</v>
      </c>
    </row>
    <row r="38" spans="1:121" x14ac:dyDescent="0.15">
      <c r="A38">
        <v>2018</v>
      </c>
      <c r="B38" t="s">
        <v>160</v>
      </c>
      <c r="C38" t="str">
        <f>"1030011"</f>
        <v>1030011</v>
      </c>
      <c r="D38" t="s">
        <v>123</v>
      </c>
      <c r="E38" t="str">
        <f t="shared" si="0"/>
        <v>0000000</v>
      </c>
      <c r="F38" t="s">
        <v>123</v>
      </c>
      <c r="G38" t="s">
        <v>123</v>
      </c>
      <c r="H38" t="s">
        <v>123</v>
      </c>
      <c r="J38" t="s">
        <v>124</v>
      </c>
      <c r="K38">
        <v>1096.750826</v>
      </c>
      <c r="L38">
        <v>1450</v>
      </c>
      <c r="M38">
        <v>75.637988000000007</v>
      </c>
      <c r="N38" t="s">
        <v>125</v>
      </c>
      <c r="O38">
        <v>1</v>
      </c>
      <c r="P38">
        <v>65.026583000000002</v>
      </c>
      <c r="Q38">
        <v>43.351055000000002</v>
      </c>
      <c r="R38">
        <v>50</v>
      </c>
      <c r="S38">
        <v>59.304245000000002</v>
      </c>
      <c r="T38">
        <v>75</v>
      </c>
      <c r="U38">
        <v>39.536163999999999</v>
      </c>
      <c r="V38">
        <v>50</v>
      </c>
      <c r="W38">
        <v>60.696257000000003</v>
      </c>
      <c r="X38">
        <v>40.464171</v>
      </c>
      <c r="Y38">
        <v>50</v>
      </c>
      <c r="Z38">
        <v>72.592749999999995</v>
      </c>
      <c r="AA38">
        <v>54.856274999999997</v>
      </c>
      <c r="AB38">
        <v>36.57085</v>
      </c>
      <c r="AC38">
        <v>50</v>
      </c>
      <c r="AD38">
        <v>57.544359</v>
      </c>
      <c r="AE38">
        <v>38.362906000000002</v>
      </c>
      <c r="AF38">
        <v>50</v>
      </c>
      <c r="AG38">
        <v>52.813527999999998</v>
      </c>
      <c r="AH38">
        <v>66.466846000000004</v>
      </c>
      <c r="AI38">
        <v>35.209018999999998</v>
      </c>
      <c r="AJ38">
        <v>50</v>
      </c>
      <c r="AK38">
        <v>15.69</v>
      </c>
      <c r="AL38">
        <v>17.73</v>
      </c>
      <c r="AM38">
        <v>13.65</v>
      </c>
      <c r="AN38">
        <v>0.60370100000000004</v>
      </c>
      <c r="AO38">
        <v>60.370134</v>
      </c>
      <c r="AP38">
        <v>100</v>
      </c>
      <c r="AQ38">
        <v>0.60904000000000003</v>
      </c>
      <c r="AR38">
        <v>60.904018999999998</v>
      </c>
      <c r="AS38">
        <v>100</v>
      </c>
      <c r="AT38">
        <v>0.57259800000000005</v>
      </c>
      <c r="AU38">
        <v>0.66722499999999996</v>
      </c>
      <c r="AV38">
        <v>57.259773000000003</v>
      </c>
      <c r="AW38">
        <v>100</v>
      </c>
      <c r="AX38">
        <v>0.56996599999999997</v>
      </c>
      <c r="AY38">
        <v>0.68884299999999998</v>
      </c>
      <c r="AZ38">
        <v>56.996622000000002</v>
      </c>
      <c r="BA38">
        <v>100</v>
      </c>
      <c r="BB38">
        <v>0.68363600000000002</v>
      </c>
      <c r="BC38">
        <v>34.181797000000003</v>
      </c>
      <c r="BD38">
        <v>50</v>
      </c>
      <c r="BE38">
        <v>0.60125499999999998</v>
      </c>
      <c r="BF38">
        <v>30.062742</v>
      </c>
      <c r="BG38">
        <v>50</v>
      </c>
      <c r="BH38">
        <v>0</v>
      </c>
      <c r="BI38">
        <v>0.98789800000000005</v>
      </c>
      <c r="BJ38">
        <v>0.98763900000000004</v>
      </c>
      <c r="BK38">
        <v>0.98845799999999995</v>
      </c>
      <c r="BL38">
        <v>0.98756999999999995</v>
      </c>
      <c r="BM38">
        <v>0.98740300000000003</v>
      </c>
      <c r="BN38">
        <v>0.98793299999999995</v>
      </c>
      <c r="BO38">
        <v>0.98400600000000005</v>
      </c>
      <c r="BP38">
        <v>0.98022799999999999</v>
      </c>
      <c r="BQ38">
        <v>0.991587</v>
      </c>
      <c r="BR38">
        <v>0.102772</v>
      </c>
      <c r="BS38">
        <v>39.445523999999999</v>
      </c>
      <c r="BT38">
        <v>50</v>
      </c>
      <c r="BU38">
        <v>0.12545000000000001</v>
      </c>
      <c r="BV38">
        <v>34.909916000000003</v>
      </c>
      <c r="BW38">
        <v>50</v>
      </c>
      <c r="BX38">
        <v>0.87615500000000002</v>
      </c>
      <c r="BY38">
        <v>50</v>
      </c>
      <c r="BZ38">
        <v>50</v>
      </c>
      <c r="CA38">
        <v>0.36968600000000001</v>
      </c>
      <c r="CB38">
        <v>24.645717999999999</v>
      </c>
      <c r="CC38">
        <v>50</v>
      </c>
      <c r="CD38">
        <v>0.91688899999999995</v>
      </c>
      <c r="CE38">
        <v>48.770673000000002</v>
      </c>
      <c r="CF38">
        <v>50</v>
      </c>
      <c r="CG38">
        <v>0.91601299999999997</v>
      </c>
      <c r="CH38">
        <v>97.448238000000003</v>
      </c>
      <c r="CI38">
        <v>100</v>
      </c>
      <c r="CJ38">
        <v>0</v>
      </c>
      <c r="CK38">
        <v>0.904555</v>
      </c>
      <c r="CL38">
        <v>96.229288999999994</v>
      </c>
      <c r="CM38">
        <v>100</v>
      </c>
      <c r="CN38">
        <v>0.66</v>
      </c>
      <c r="CO38">
        <v>88.044338999999994</v>
      </c>
      <c r="CP38">
        <v>100</v>
      </c>
      <c r="CQ38">
        <v>0.50981799999999999</v>
      </c>
      <c r="CR38">
        <v>1.14361</v>
      </c>
      <c r="CS38">
        <v>33.987879</v>
      </c>
      <c r="CT38">
        <v>50</v>
      </c>
      <c r="CU38">
        <v>0.64850699999999994</v>
      </c>
      <c r="CV38">
        <v>50</v>
      </c>
      <c r="CW38">
        <v>50</v>
      </c>
      <c r="CX38">
        <v>0.904555</v>
      </c>
      <c r="CY38">
        <v>0.94</v>
      </c>
      <c r="CZ38">
        <v>3.5444999999999997E-2</v>
      </c>
      <c r="DA38">
        <v>15.389535</v>
      </c>
      <c r="DB38">
        <v>17.608319000000002</v>
      </c>
      <c r="DC38">
        <v>16.064022999999999</v>
      </c>
      <c r="DD38">
        <v>11.115401</v>
      </c>
      <c r="DE38" t="s">
        <v>125</v>
      </c>
      <c r="DJ38" t="s">
        <v>125</v>
      </c>
      <c r="DK38" t="s">
        <v>125</v>
      </c>
      <c r="DL38" t="s">
        <v>125</v>
      </c>
      <c r="DM38" t="s">
        <v>125</v>
      </c>
      <c r="DN38" t="s">
        <v>125</v>
      </c>
      <c r="DO38" t="s">
        <v>125</v>
      </c>
      <c r="DQ38" t="s">
        <v>126</v>
      </c>
    </row>
    <row r="39" spans="1:121" x14ac:dyDescent="0.15">
      <c r="A39">
        <v>2018</v>
      </c>
      <c r="B39" t="s">
        <v>161</v>
      </c>
      <c r="C39" t="str">
        <f>"0830011"</f>
        <v>0830011</v>
      </c>
      <c r="D39" t="s">
        <v>123</v>
      </c>
      <c r="E39" t="str">
        <f t="shared" si="0"/>
        <v>0000000</v>
      </c>
      <c r="F39" t="s">
        <v>123</v>
      </c>
      <c r="G39" t="s">
        <v>123</v>
      </c>
      <c r="H39" t="s">
        <v>123</v>
      </c>
      <c r="J39" t="s">
        <v>124</v>
      </c>
      <c r="K39">
        <v>1059.952115</v>
      </c>
      <c r="L39">
        <v>1450</v>
      </c>
      <c r="M39">
        <v>73.100145999999995</v>
      </c>
      <c r="N39" t="s">
        <v>125</v>
      </c>
      <c r="O39">
        <v>1</v>
      </c>
      <c r="P39">
        <v>65.178827999999996</v>
      </c>
      <c r="Q39">
        <v>43.452551999999997</v>
      </c>
      <c r="R39">
        <v>50</v>
      </c>
      <c r="S39">
        <v>57.144821</v>
      </c>
      <c r="T39">
        <v>74.372702000000004</v>
      </c>
      <c r="U39">
        <v>38.096547000000001</v>
      </c>
      <c r="V39">
        <v>50</v>
      </c>
      <c r="W39">
        <v>59.431786000000002</v>
      </c>
      <c r="X39">
        <v>39.621191000000003</v>
      </c>
      <c r="Y39">
        <v>50</v>
      </c>
      <c r="Z39">
        <v>68.186915999999997</v>
      </c>
      <c r="AA39">
        <v>51.742370000000001</v>
      </c>
      <c r="AB39">
        <v>34.494912999999997</v>
      </c>
      <c r="AC39">
        <v>50</v>
      </c>
      <c r="AD39">
        <v>57.587055999999997</v>
      </c>
      <c r="AE39">
        <v>38.391370999999999</v>
      </c>
      <c r="AF39">
        <v>50</v>
      </c>
      <c r="AG39">
        <v>50.836593000000001</v>
      </c>
      <c r="AH39">
        <v>65.145778000000007</v>
      </c>
      <c r="AI39">
        <v>33.891061999999998</v>
      </c>
      <c r="AJ39">
        <v>50</v>
      </c>
      <c r="AK39">
        <v>17.22</v>
      </c>
      <c r="AL39">
        <v>16.440000000000001</v>
      </c>
      <c r="AM39">
        <v>14.3</v>
      </c>
      <c r="AN39">
        <v>0.61933499999999997</v>
      </c>
      <c r="AO39">
        <v>61.933545000000002</v>
      </c>
      <c r="AP39">
        <v>100</v>
      </c>
      <c r="AQ39">
        <v>0.54821299999999995</v>
      </c>
      <c r="AR39">
        <v>54.821278999999997</v>
      </c>
      <c r="AS39">
        <v>100</v>
      </c>
      <c r="AT39">
        <v>0.57529399999999997</v>
      </c>
      <c r="AU39">
        <v>0.66806600000000005</v>
      </c>
      <c r="AV39">
        <v>57.529412000000001</v>
      </c>
      <c r="AW39">
        <v>100</v>
      </c>
      <c r="AX39">
        <v>0.52147600000000005</v>
      </c>
      <c r="AY39">
        <v>0.57765900000000003</v>
      </c>
      <c r="AZ39">
        <v>52.147630999999997</v>
      </c>
      <c r="BA39">
        <v>100</v>
      </c>
      <c r="BB39">
        <v>0.744224</v>
      </c>
      <c r="BC39">
        <v>37.211188999999997</v>
      </c>
      <c r="BD39">
        <v>50</v>
      </c>
      <c r="BE39">
        <v>0.62730399999999997</v>
      </c>
      <c r="BF39">
        <v>31.365183999999999</v>
      </c>
      <c r="BG39">
        <v>50</v>
      </c>
      <c r="BH39">
        <v>0</v>
      </c>
      <c r="BI39">
        <v>0.99485599999999996</v>
      </c>
      <c r="BJ39">
        <v>0.99450499999999997</v>
      </c>
      <c r="BK39">
        <v>0.99527900000000002</v>
      </c>
      <c r="BL39">
        <v>0.99442299999999995</v>
      </c>
      <c r="BM39">
        <v>0.99371100000000001</v>
      </c>
      <c r="BN39">
        <v>0.99527900000000002</v>
      </c>
      <c r="BO39">
        <v>0.98910900000000002</v>
      </c>
      <c r="BP39">
        <v>0.98548100000000005</v>
      </c>
      <c r="BQ39">
        <v>0.99346400000000001</v>
      </c>
      <c r="BR39">
        <v>0.10643</v>
      </c>
      <c r="BS39">
        <v>38.713968999999999</v>
      </c>
      <c r="BT39">
        <v>50</v>
      </c>
      <c r="BU39">
        <v>0.14983299999999999</v>
      </c>
      <c r="BV39">
        <v>30.033389</v>
      </c>
      <c r="BW39">
        <v>50</v>
      </c>
      <c r="BX39">
        <v>0.78634999999999999</v>
      </c>
      <c r="BY39">
        <v>50</v>
      </c>
      <c r="BZ39">
        <v>50</v>
      </c>
      <c r="CA39">
        <v>0.33086100000000002</v>
      </c>
      <c r="CB39">
        <v>22.057369000000001</v>
      </c>
      <c r="CC39">
        <v>50</v>
      </c>
      <c r="CD39">
        <v>0.90583000000000002</v>
      </c>
      <c r="CE39">
        <v>48.182425000000002</v>
      </c>
      <c r="CF39">
        <v>50</v>
      </c>
      <c r="CG39">
        <v>0.90273599999999998</v>
      </c>
      <c r="CH39">
        <v>96.035697999999996</v>
      </c>
      <c r="CI39">
        <v>100</v>
      </c>
      <c r="CJ39">
        <v>0</v>
      </c>
      <c r="CK39">
        <v>0.91145799999999999</v>
      </c>
      <c r="CL39">
        <v>96.963651999999996</v>
      </c>
      <c r="CM39">
        <v>100</v>
      </c>
      <c r="CN39">
        <v>0.67500000000000004</v>
      </c>
      <c r="CO39">
        <v>90.054644999999994</v>
      </c>
      <c r="CP39">
        <v>100</v>
      </c>
      <c r="CQ39">
        <v>0.51602300000000001</v>
      </c>
      <c r="CR39">
        <v>0.90550600000000003</v>
      </c>
      <c r="CS39">
        <v>34.401533999999998</v>
      </c>
      <c r="CT39">
        <v>50</v>
      </c>
      <c r="CU39">
        <v>0.366643</v>
      </c>
      <c r="CV39">
        <v>30.553559</v>
      </c>
      <c r="CW39">
        <v>50</v>
      </c>
      <c r="CX39">
        <v>0.91145799999999999</v>
      </c>
      <c r="CY39">
        <v>0.94</v>
      </c>
      <c r="CZ39">
        <v>2.8542000000000001E-2</v>
      </c>
      <c r="DA39">
        <v>15.389535</v>
      </c>
      <c r="DB39">
        <v>17.608319000000002</v>
      </c>
      <c r="DC39">
        <v>16.064022999999999</v>
      </c>
      <c r="DD39">
        <v>11.115401</v>
      </c>
      <c r="DE39" t="s">
        <v>125</v>
      </c>
      <c r="DJ39" t="s">
        <v>125</v>
      </c>
      <c r="DK39" t="s">
        <v>125</v>
      </c>
      <c r="DL39" t="s">
        <v>125</v>
      </c>
      <c r="DM39" t="s">
        <v>125</v>
      </c>
      <c r="DN39" t="s">
        <v>125</v>
      </c>
      <c r="DO39" t="s">
        <v>125</v>
      </c>
      <c r="DQ39" t="s">
        <v>126</v>
      </c>
    </row>
    <row r="40" spans="1:121" x14ac:dyDescent="0.15">
      <c r="A40">
        <v>2018</v>
      </c>
      <c r="B40" t="s">
        <v>162</v>
      </c>
      <c r="C40" t="str">
        <f>"0420011"</f>
        <v>0420011</v>
      </c>
      <c r="D40" t="s">
        <v>123</v>
      </c>
      <c r="E40" t="str">
        <f t="shared" si="0"/>
        <v>0000000</v>
      </c>
      <c r="F40" t="s">
        <v>123</v>
      </c>
      <c r="G40" t="s">
        <v>123</v>
      </c>
      <c r="H40" t="s">
        <v>123</v>
      </c>
      <c r="J40" t="s">
        <v>124</v>
      </c>
      <c r="K40">
        <v>1084.8832970000001</v>
      </c>
      <c r="L40">
        <v>1350</v>
      </c>
      <c r="M40">
        <v>80.361726000000004</v>
      </c>
      <c r="N40" t="s">
        <v>125</v>
      </c>
      <c r="O40">
        <v>0</v>
      </c>
      <c r="P40">
        <v>71.742102000000003</v>
      </c>
      <c r="Q40">
        <v>47.828068000000002</v>
      </c>
      <c r="R40">
        <v>50</v>
      </c>
      <c r="S40">
        <v>62.124141000000002</v>
      </c>
      <c r="T40">
        <v>75</v>
      </c>
      <c r="U40">
        <v>41.416094000000001</v>
      </c>
      <c r="V40">
        <v>50</v>
      </c>
      <c r="W40">
        <v>66.622277999999994</v>
      </c>
      <c r="X40">
        <v>44.414852000000003</v>
      </c>
      <c r="Y40">
        <v>50</v>
      </c>
      <c r="Z40">
        <v>70.451278000000002</v>
      </c>
      <c r="AA40">
        <v>56.736494999999998</v>
      </c>
      <c r="AB40">
        <v>37.824330000000003</v>
      </c>
      <c r="AC40">
        <v>50</v>
      </c>
      <c r="AD40">
        <v>66.656279999999995</v>
      </c>
      <c r="AE40">
        <v>44.437519999999999</v>
      </c>
      <c r="AF40">
        <v>50</v>
      </c>
      <c r="AG40">
        <v>61.419190999999998</v>
      </c>
      <c r="AH40">
        <v>68.743660000000006</v>
      </c>
      <c r="AI40">
        <v>40.946126999999997</v>
      </c>
      <c r="AJ40">
        <v>50</v>
      </c>
      <c r="AK40">
        <v>12.87</v>
      </c>
      <c r="AL40">
        <v>13.71</v>
      </c>
      <c r="AM40">
        <v>7.32</v>
      </c>
      <c r="AN40">
        <v>0.57183300000000004</v>
      </c>
      <c r="AO40">
        <v>57.183346999999998</v>
      </c>
      <c r="AP40">
        <v>100</v>
      </c>
      <c r="AQ40">
        <v>0.65946199999999999</v>
      </c>
      <c r="AR40">
        <v>65.946156999999999</v>
      </c>
      <c r="AS40">
        <v>100</v>
      </c>
      <c r="AT40">
        <v>0.54560600000000004</v>
      </c>
      <c r="AU40">
        <v>0.58182999999999996</v>
      </c>
      <c r="AV40">
        <v>54.560609999999997</v>
      </c>
      <c r="AW40">
        <v>100</v>
      </c>
      <c r="AX40">
        <v>0.60631299999999999</v>
      </c>
      <c r="AY40">
        <v>0.679759</v>
      </c>
      <c r="AZ40">
        <v>60.631265999999997</v>
      </c>
      <c r="BA40">
        <v>100</v>
      </c>
      <c r="BB40" t="s">
        <v>125</v>
      </c>
      <c r="BC40" t="s">
        <v>125</v>
      </c>
      <c r="BD40" t="s">
        <v>125</v>
      </c>
      <c r="BE40" t="s">
        <v>125</v>
      </c>
      <c r="BF40" t="s">
        <v>125</v>
      </c>
      <c r="BG40" t="s">
        <v>125</v>
      </c>
      <c r="BH40">
        <v>0</v>
      </c>
      <c r="BI40">
        <v>0.98029599999999995</v>
      </c>
      <c r="BJ40">
        <v>0.96551699999999996</v>
      </c>
      <c r="BK40">
        <v>0.98620699999999994</v>
      </c>
      <c r="BL40">
        <v>0.98027600000000004</v>
      </c>
      <c r="BM40">
        <v>0.96539799999999998</v>
      </c>
      <c r="BN40">
        <v>0.98620699999999994</v>
      </c>
      <c r="BO40">
        <v>0.98511199999999999</v>
      </c>
      <c r="BP40">
        <v>0.97435899999999998</v>
      </c>
      <c r="BQ40">
        <v>0.98951</v>
      </c>
      <c r="BR40">
        <v>6.7477999999999996E-2</v>
      </c>
      <c r="BS40">
        <v>46.504424999999998</v>
      </c>
      <c r="BT40">
        <v>50</v>
      </c>
      <c r="BU40">
        <v>0.14228499999999999</v>
      </c>
      <c r="BV40">
        <v>31.543085999999999</v>
      </c>
      <c r="BW40">
        <v>50</v>
      </c>
      <c r="BX40">
        <v>0.83004</v>
      </c>
      <c r="BY40">
        <v>50</v>
      </c>
      <c r="BZ40">
        <v>50</v>
      </c>
      <c r="CA40">
        <v>0.50988100000000003</v>
      </c>
      <c r="CB40">
        <v>33.992094999999999</v>
      </c>
      <c r="CC40">
        <v>50</v>
      </c>
      <c r="CD40">
        <v>0.98545499999999997</v>
      </c>
      <c r="CE40">
        <v>50</v>
      </c>
      <c r="CF40">
        <v>50</v>
      </c>
      <c r="CG40">
        <v>0.94690300000000005</v>
      </c>
      <c r="CH40">
        <v>100</v>
      </c>
      <c r="CI40">
        <v>100</v>
      </c>
      <c r="CJ40">
        <v>0</v>
      </c>
      <c r="CK40">
        <v>0.9375</v>
      </c>
      <c r="CL40">
        <v>99.734043</v>
      </c>
      <c r="CM40">
        <v>100</v>
      </c>
      <c r="CN40">
        <v>0.78100000000000003</v>
      </c>
      <c r="CO40">
        <v>100</v>
      </c>
      <c r="CP40">
        <v>100</v>
      </c>
      <c r="CQ40">
        <v>0.418819</v>
      </c>
      <c r="CR40">
        <v>0.97132600000000002</v>
      </c>
      <c r="CS40">
        <v>27.921278999999998</v>
      </c>
      <c r="CT40">
        <v>50</v>
      </c>
      <c r="CU40">
        <v>0.68493199999999999</v>
      </c>
      <c r="CV40">
        <v>50</v>
      </c>
      <c r="CW40">
        <v>50</v>
      </c>
      <c r="CX40">
        <v>0.9375</v>
      </c>
      <c r="CY40">
        <v>0.94</v>
      </c>
      <c r="CZ40">
        <v>2.5000000000000001E-3</v>
      </c>
      <c r="DA40">
        <v>15.389535</v>
      </c>
      <c r="DB40">
        <v>17.608319000000002</v>
      </c>
      <c r="DC40">
        <v>16.064022999999999</v>
      </c>
      <c r="DD40">
        <v>11.115401</v>
      </c>
      <c r="DE40" t="s">
        <v>125</v>
      </c>
      <c r="DJ40" t="s">
        <v>125</v>
      </c>
      <c r="DK40" t="s">
        <v>125</v>
      </c>
      <c r="DL40" t="s">
        <v>125</v>
      </c>
      <c r="DM40" t="s">
        <v>125</v>
      </c>
      <c r="DN40" t="s">
        <v>125</v>
      </c>
      <c r="DO40" t="s">
        <v>125</v>
      </c>
      <c r="DQ40" t="s">
        <v>126</v>
      </c>
    </row>
    <row r="41" spans="1:121" x14ac:dyDescent="0.15">
      <c r="A41">
        <v>2018</v>
      </c>
      <c r="B41" t="s">
        <v>163</v>
      </c>
      <c r="C41" t="str">
        <f>"9010022"</f>
        <v>9010022</v>
      </c>
      <c r="D41" t="s">
        <v>123</v>
      </c>
      <c r="E41" t="str">
        <f t="shared" si="0"/>
        <v>0000000</v>
      </c>
      <c r="F41" t="s">
        <v>123</v>
      </c>
      <c r="G41" t="s">
        <v>123</v>
      </c>
      <c r="H41" t="s">
        <v>123</v>
      </c>
      <c r="J41" t="s">
        <v>124</v>
      </c>
      <c r="K41">
        <v>1071.2050469999999</v>
      </c>
      <c r="L41">
        <v>1550</v>
      </c>
      <c r="M41">
        <v>69.110003000000006</v>
      </c>
      <c r="N41" t="s">
        <v>125</v>
      </c>
      <c r="O41">
        <v>0</v>
      </c>
      <c r="P41">
        <v>55.127907</v>
      </c>
      <c r="Q41">
        <v>110.255814</v>
      </c>
      <c r="R41">
        <v>150</v>
      </c>
      <c r="S41">
        <v>47.666666999999997</v>
      </c>
      <c r="T41">
        <v>62.148727000000001</v>
      </c>
      <c r="U41">
        <v>95.333332999999996</v>
      </c>
      <c r="V41">
        <v>150</v>
      </c>
      <c r="W41">
        <v>51.123435000000001</v>
      </c>
      <c r="X41">
        <v>102.246869</v>
      </c>
      <c r="Y41">
        <v>150</v>
      </c>
      <c r="Z41">
        <v>58.800347000000002</v>
      </c>
      <c r="AA41">
        <v>42.964945</v>
      </c>
      <c r="AB41">
        <v>85.929889000000003</v>
      </c>
      <c r="AC41">
        <v>150</v>
      </c>
      <c r="AD41">
        <v>58.087435999999997</v>
      </c>
      <c r="AE41">
        <v>77.449915000000004</v>
      </c>
      <c r="AF41">
        <v>100</v>
      </c>
      <c r="AG41">
        <v>50.746172999999999</v>
      </c>
      <c r="AH41">
        <v>64.814795000000004</v>
      </c>
      <c r="AI41">
        <v>67.661563999999998</v>
      </c>
      <c r="AJ41">
        <v>100</v>
      </c>
      <c r="AK41">
        <v>14.48</v>
      </c>
      <c r="AL41">
        <v>15.83</v>
      </c>
      <c r="AM41">
        <v>14.06</v>
      </c>
      <c r="AN41" t="s">
        <v>125</v>
      </c>
      <c r="AO41" t="s">
        <v>125</v>
      </c>
      <c r="AP41" t="s">
        <v>125</v>
      </c>
      <c r="AQ41" t="s">
        <v>125</v>
      </c>
      <c r="AR41" t="s">
        <v>125</v>
      </c>
      <c r="AS41" t="s">
        <v>125</v>
      </c>
      <c r="AT41" t="s">
        <v>125</v>
      </c>
      <c r="AU41" t="s">
        <v>125</v>
      </c>
      <c r="AV41" t="s">
        <v>125</v>
      </c>
      <c r="AW41" t="s">
        <v>125</v>
      </c>
      <c r="AX41" t="s">
        <v>125</v>
      </c>
      <c r="AY41" t="s">
        <v>125</v>
      </c>
      <c r="AZ41" t="s">
        <v>125</v>
      </c>
      <c r="BA41" t="s">
        <v>125</v>
      </c>
      <c r="BB41">
        <v>0.46406799999999998</v>
      </c>
      <c r="BC41">
        <v>23.203375000000001</v>
      </c>
      <c r="BD41">
        <v>50</v>
      </c>
      <c r="BE41">
        <v>0.56309100000000001</v>
      </c>
      <c r="BF41">
        <v>28.15457</v>
      </c>
      <c r="BG41">
        <v>50</v>
      </c>
      <c r="BH41">
        <v>1</v>
      </c>
      <c r="BI41">
        <v>0.94625400000000004</v>
      </c>
      <c r="BJ41">
        <v>0.91455699999999995</v>
      </c>
      <c r="BK41">
        <v>0.97986600000000001</v>
      </c>
      <c r="BL41">
        <v>0.94625400000000004</v>
      </c>
      <c r="BM41">
        <v>0.91455699999999995</v>
      </c>
      <c r="BN41">
        <v>0.97986600000000001</v>
      </c>
      <c r="BO41">
        <v>0.93606599999999995</v>
      </c>
      <c r="BP41">
        <v>0.89456899999999995</v>
      </c>
      <c r="BQ41">
        <v>0.97979799999999995</v>
      </c>
      <c r="BR41">
        <v>0.182393</v>
      </c>
      <c r="BS41">
        <v>23.521445</v>
      </c>
      <c r="BT41">
        <v>50</v>
      </c>
      <c r="BU41">
        <v>0.23352800000000001</v>
      </c>
      <c r="BV41">
        <v>13.294411999999999</v>
      </c>
      <c r="BW41">
        <v>50</v>
      </c>
      <c r="BX41">
        <v>0.725352</v>
      </c>
      <c r="BY41">
        <v>48.356808000000001</v>
      </c>
      <c r="BZ41">
        <v>50</v>
      </c>
      <c r="CA41">
        <v>0.34771099999999999</v>
      </c>
      <c r="CB41">
        <v>23.180751000000001</v>
      </c>
      <c r="CC41">
        <v>50</v>
      </c>
      <c r="CD41">
        <v>0.85077499999999995</v>
      </c>
      <c r="CE41">
        <v>45.253999999999998</v>
      </c>
      <c r="CF41">
        <v>50</v>
      </c>
      <c r="CG41">
        <v>0.86143599999999998</v>
      </c>
      <c r="CH41">
        <v>91.642099000000002</v>
      </c>
      <c r="CI41">
        <v>100</v>
      </c>
      <c r="CJ41">
        <v>1</v>
      </c>
      <c r="CK41">
        <v>0.79883400000000004</v>
      </c>
      <c r="CL41">
        <v>84.982320999999999</v>
      </c>
      <c r="CM41">
        <v>100</v>
      </c>
      <c r="CN41">
        <v>0.66500000000000004</v>
      </c>
      <c r="CO41">
        <v>88.631985</v>
      </c>
      <c r="CP41">
        <v>100</v>
      </c>
      <c r="CQ41">
        <v>0.30630600000000002</v>
      </c>
      <c r="CR41">
        <v>0.984043</v>
      </c>
      <c r="CS41">
        <v>20.42042</v>
      </c>
      <c r="CT41">
        <v>50</v>
      </c>
      <c r="CU41">
        <v>0.50022599999999995</v>
      </c>
      <c r="CV41">
        <v>41.685478000000003</v>
      </c>
      <c r="CW41">
        <v>50</v>
      </c>
      <c r="CX41">
        <v>0.79883400000000004</v>
      </c>
      <c r="CY41">
        <v>0.94</v>
      </c>
      <c r="CZ41">
        <v>0.14116600000000001</v>
      </c>
      <c r="DA41">
        <v>15.389535</v>
      </c>
      <c r="DB41">
        <v>17.608319000000002</v>
      </c>
      <c r="DC41">
        <v>16.064022999999999</v>
      </c>
      <c r="DD41">
        <v>11.115401</v>
      </c>
      <c r="DE41" t="s">
        <v>125</v>
      </c>
      <c r="DJ41" t="s">
        <v>125</v>
      </c>
      <c r="DK41" t="s">
        <v>125</v>
      </c>
      <c r="DL41" t="s">
        <v>125</v>
      </c>
      <c r="DM41" t="s">
        <v>125</v>
      </c>
      <c r="DN41" t="s">
        <v>125</v>
      </c>
      <c r="DO41" t="s">
        <v>125</v>
      </c>
      <c r="DQ41" t="s">
        <v>126</v>
      </c>
    </row>
    <row r="42" spans="1:121" x14ac:dyDescent="0.15">
      <c r="A42">
        <v>2018</v>
      </c>
      <c r="B42" t="s">
        <v>164</v>
      </c>
      <c r="C42" t="str">
        <f>"9020022"</f>
        <v>9020022</v>
      </c>
      <c r="D42" t="s">
        <v>123</v>
      </c>
      <c r="E42" t="str">
        <f t="shared" si="0"/>
        <v>0000000</v>
      </c>
      <c r="F42" t="s">
        <v>123</v>
      </c>
      <c r="G42" t="s">
        <v>123</v>
      </c>
      <c r="H42" t="s">
        <v>123</v>
      </c>
      <c r="J42" t="s">
        <v>124</v>
      </c>
      <c r="K42">
        <v>989.68911700000001</v>
      </c>
      <c r="L42">
        <v>1350</v>
      </c>
      <c r="M42">
        <v>73.310305</v>
      </c>
      <c r="N42" t="s">
        <v>125</v>
      </c>
      <c r="O42">
        <v>0</v>
      </c>
      <c r="P42">
        <v>60.898515000000003</v>
      </c>
      <c r="Q42">
        <v>40.59901</v>
      </c>
      <c r="R42">
        <v>50</v>
      </c>
      <c r="S42">
        <v>56.21125</v>
      </c>
      <c r="T42">
        <v>66.541435000000007</v>
      </c>
      <c r="U42">
        <v>37.474165999999997</v>
      </c>
      <c r="V42">
        <v>50</v>
      </c>
      <c r="W42">
        <v>55.745665000000002</v>
      </c>
      <c r="X42">
        <v>37.163777000000003</v>
      </c>
      <c r="Y42">
        <v>50</v>
      </c>
      <c r="Z42">
        <v>61.166775000000001</v>
      </c>
      <c r="AA42">
        <v>51.168827</v>
      </c>
      <c r="AB42">
        <v>34.112551000000003</v>
      </c>
      <c r="AC42">
        <v>50</v>
      </c>
      <c r="AD42">
        <v>59.031928000000001</v>
      </c>
      <c r="AE42">
        <v>39.354619</v>
      </c>
      <c r="AF42">
        <v>50</v>
      </c>
      <c r="AG42">
        <v>56.743777999999999</v>
      </c>
      <c r="AH42">
        <v>61.821590999999998</v>
      </c>
      <c r="AI42">
        <v>37.829186</v>
      </c>
      <c r="AJ42">
        <v>50</v>
      </c>
      <c r="AK42">
        <v>10.33</v>
      </c>
      <c r="AL42">
        <v>9.99</v>
      </c>
      <c r="AM42">
        <v>5.07</v>
      </c>
      <c r="AN42">
        <v>0.66809700000000005</v>
      </c>
      <c r="AO42">
        <v>66.809663999999998</v>
      </c>
      <c r="AP42">
        <v>100</v>
      </c>
      <c r="AQ42">
        <v>0.66708500000000004</v>
      </c>
      <c r="AR42">
        <v>66.708524999999995</v>
      </c>
      <c r="AS42">
        <v>100</v>
      </c>
      <c r="AT42">
        <v>0.61851900000000004</v>
      </c>
      <c r="AU42">
        <v>0.73126800000000003</v>
      </c>
      <c r="AV42">
        <v>61.851931999999998</v>
      </c>
      <c r="AW42">
        <v>100</v>
      </c>
      <c r="AX42">
        <v>0.67697399999999996</v>
      </c>
      <c r="AY42">
        <v>0.65480400000000005</v>
      </c>
      <c r="AZ42">
        <v>67.697385999999995</v>
      </c>
      <c r="BA42">
        <v>100</v>
      </c>
      <c r="BB42" t="s">
        <v>125</v>
      </c>
      <c r="BC42" t="s">
        <v>125</v>
      </c>
      <c r="BD42" t="s">
        <v>125</v>
      </c>
      <c r="BE42" t="s">
        <v>125</v>
      </c>
      <c r="BF42" t="s">
        <v>125</v>
      </c>
      <c r="BG42" t="s">
        <v>125</v>
      </c>
      <c r="BH42">
        <v>1</v>
      </c>
      <c r="BI42">
        <v>0.97550999999999999</v>
      </c>
      <c r="BJ42">
        <v>0.96946600000000005</v>
      </c>
      <c r="BK42">
        <v>0.982456</v>
      </c>
      <c r="BL42">
        <v>0.96734699999999996</v>
      </c>
      <c r="BM42">
        <v>0.95419799999999999</v>
      </c>
      <c r="BN42">
        <v>0.982456</v>
      </c>
      <c r="BO42">
        <v>0.96022700000000005</v>
      </c>
      <c r="BP42">
        <v>0.94845400000000002</v>
      </c>
      <c r="BQ42">
        <v>0.97468399999999999</v>
      </c>
      <c r="BR42">
        <v>0.138132</v>
      </c>
      <c r="BS42">
        <v>32.373541000000003</v>
      </c>
      <c r="BT42">
        <v>50</v>
      </c>
      <c r="BU42">
        <v>0.21343899999999999</v>
      </c>
      <c r="BV42">
        <v>17.312252999999998</v>
      </c>
      <c r="BW42">
        <v>50</v>
      </c>
      <c r="BX42">
        <v>0.79047599999999996</v>
      </c>
      <c r="BY42">
        <v>50</v>
      </c>
      <c r="BZ42">
        <v>50</v>
      </c>
      <c r="CA42">
        <v>0.33333299999999999</v>
      </c>
      <c r="CB42">
        <v>22.222221999999999</v>
      </c>
      <c r="CC42">
        <v>50</v>
      </c>
      <c r="CD42">
        <v>0.87234</v>
      </c>
      <c r="CE42">
        <v>46.401085999999999</v>
      </c>
      <c r="CF42">
        <v>50</v>
      </c>
      <c r="CG42">
        <v>0.86956500000000003</v>
      </c>
      <c r="CH42">
        <v>92.506938000000005</v>
      </c>
      <c r="CI42">
        <v>100</v>
      </c>
      <c r="CJ42">
        <v>0</v>
      </c>
      <c r="CK42">
        <v>0.86206899999999997</v>
      </c>
      <c r="CL42">
        <v>91.709463999999997</v>
      </c>
      <c r="CM42">
        <v>100</v>
      </c>
      <c r="CN42">
        <v>0.64100000000000001</v>
      </c>
      <c r="CO42">
        <v>85.470084999999997</v>
      </c>
      <c r="CP42">
        <v>100</v>
      </c>
      <c r="CQ42">
        <v>0.221557</v>
      </c>
      <c r="CR42">
        <v>0.97092999999999996</v>
      </c>
      <c r="CS42">
        <v>14.770459000000001</v>
      </c>
      <c r="CT42">
        <v>50</v>
      </c>
      <c r="CU42">
        <v>0.56786700000000001</v>
      </c>
      <c r="CV42">
        <v>47.322253000000003</v>
      </c>
      <c r="CW42">
        <v>50</v>
      </c>
      <c r="CX42">
        <v>0.86206899999999997</v>
      </c>
      <c r="CY42">
        <v>0.94</v>
      </c>
      <c r="CZ42">
        <v>7.7931E-2</v>
      </c>
      <c r="DA42">
        <v>15.389535</v>
      </c>
      <c r="DB42">
        <v>17.608319000000002</v>
      </c>
      <c r="DC42">
        <v>16.064022999999999</v>
      </c>
      <c r="DD42">
        <v>11.115401</v>
      </c>
      <c r="DE42" t="s">
        <v>125</v>
      </c>
      <c r="DJ42" t="s">
        <v>125</v>
      </c>
      <c r="DK42" t="s">
        <v>125</v>
      </c>
      <c r="DL42" t="s">
        <v>125</v>
      </c>
      <c r="DM42" t="s">
        <v>125</v>
      </c>
      <c r="DN42" t="s">
        <v>125</v>
      </c>
      <c r="DO42" t="s">
        <v>125</v>
      </c>
      <c r="DQ42" t="s">
        <v>126</v>
      </c>
    </row>
    <row r="43" spans="1:121" x14ac:dyDescent="0.15">
      <c r="A43">
        <v>2018</v>
      </c>
      <c r="B43" t="s">
        <v>165</v>
      </c>
      <c r="C43" t="str">
        <f>"9030022"</f>
        <v>9030022</v>
      </c>
      <c r="D43" t="s">
        <v>123</v>
      </c>
      <c r="E43" t="str">
        <f t="shared" si="0"/>
        <v>0000000</v>
      </c>
      <c r="F43" t="s">
        <v>123</v>
      </c>
      <c r="G43" t="s">
        <v>123</v>
      </c>
      <c r="H43" t="s">
        <v>123</v>
      </c>
      <c r="J43" t="s">
        <v>124</v>
      </c>
      <c r="K43">
        <v>1135.4285090000001</v>
      </c>
      <c r="L43">
        <v>1450</v>
      </c>
      <c r="M43">
        <v>78.305413999999999</v>
      </c>
      <c r="N43" t="s">
        <v>125</v>
      </c>
      <c r="O43">
        <v>1</v>
      </c>
      <c r="P43">
        <v>59.094890999999997</v>
      </c>
      <c r="Q43">
        <v>118.189781</v>
      </c>
      <c r="R43">
        <v>150</v>
      </c>
      <c r="S43">
        <v>48.724359</v>
      </c>
      <c r="T43">
        <v>60.182124000000002</v>
      </c>
      <c r="U43">
        <v>97.448718</v>
      </c>
      <c r="V43">
        <v>150</v>
      </c>
      <c r="W43">
        <v>60.123074000000003</v>
      </c>
      <c r="X43">
        <v>120.24614800000001</v>
      </c>
      <c r="Y43">
        <v>150</v>
      </c>
      <c r="Z43">
        <v>61.926746999999999</v>
      </c>
      <c r="AA43">
        <v>42.918802999999997</v>
      </c>
      <c r="AB43">
        <v>85.837607000000006</v>
      </c>
      <c r="AC43">
        <v>150</v>
      </c>
      <c r="AD43">
        <v>61.717053</v>
      </c>
      <c r="AE43">
        <v>82.289404000000005</v>
      </c>
      <c r="AF43">
        <v>100</v>
      </c>
      <c r="AG43">
        <v>50.016061000000001</v>
      </c>
      <c r="AH43">
        <v>62.924298</v>
      </c>
      <c r="AI43">
        <v>66.688080999999997</v>
      </c>
      <c r="AJ43">
        <v>100</v>
      </c>
      <c r="AK43">
        <v>11.45</v>
      </c>
      <c r="AL43">
        <v>19</v>
      </c>
      <c r="AM43">
        <v>12.9</v>
      </c>
      <c r="AN43" t="s">
        <v>125</v>
      </c>
      <c r="AO43" t="s">
        <v>125</v>
      </c>
      <c r="AP43" t="s">
        <v>125</v>
      </c>
      <c r="AQ43" t="s">
        <v>125</v>
      </c>
      <c r="AR43" t="s">
        <v>125</v>
      </c>
      <c r="AS43" t="s">
        <v>125</v>
      </c>
      <c r="AT43" t="s">
        <v>125</v>
      </c>
      <c r="AU43" t="s">
        <v>125</v>
      </c>
      <c r="AV43" t="s">
        <v>125</v>
      </c>
      <c r="AW43" t="s">
        <v>125</v>
      </c>
      <c r="AX43" t="s">
        <v>125</v>
      </c>
      <c r="AY43" t="s">
        <v>125</v>
      </c>
      <c r="AZ43" t="s">
        <v>125</v>
      </c>
      <c r="BA43" t="s">
        <v>125</v>
      </c>
      <c r="BB43" t="s">
        <v>125</v>
      </c>
      <c r="BC43" t="s">
        <v>125</v>
      </c>
      <c r="BD43" t="s">
        <v>125</v>
      </c>
      <c r="BE43" t="s">
        <v>125</v>
      </c>
      <c r="BF43" t="s">
        <v>125</v>
      </c>
      <c r="BG43" t="s">
        <v>125</v>
      </c>
      <c r="BH43">
        <v>1</v>
      </c>
      <c r="BI43">
        <v>0.98581600000000003</v>
      </c>
      <c r="BJ43">
        <v>0.92857100000000004</v>
      </c>
      <c r="BK43">
        <v>0.99212599999999995</v>
      </c>
      <c r="BL43">
        <v>0.98581600000000003</v>
      </c>
      <c r="BM43">
        <v>0.92857100000000004</v>
      </c>
      <c r="BN43">
        <v>0.99212599999999995</v>
      </c>
      <c r="BO43">
        <v>0.98239399999999999</v>
      </c>
      <c r="BP43">
        <v>0.92857100000000004</v>
      </c>
      <c r="BQ43">
        <v>0.98828099999999997</v>
      </c>
      <c r="BR43">
        <v>0.103321</v>
      </c>
      <c r="BS43">
        <v>39.335793000000002</v>
      </c>
      <c r="BT43">
        <v>50</v>
      </c>
      <c r="BU43">
        <v>0.19230800000000001</v>
      </c>
      <c r="BV43">
        <v>21.538461999999999</v>
      </c>
      <c r="BW43">
        <v>50</v>
      </c>
      <c r="BX43">
        <v>0.69217700000000004</v>
      </c>
      <c r="BY43">
        <v>46.145125</v>
      </c>
      <c r="BZ43">
        <v>50</v>
      </c>
      <c r="CA43">
        <v>0.56122399999999995</v>
      </c>
      <c r="CB43">
        <v>37.414966</v>
      </c>
      <c r="CC43">
        <v>50</v>
      </c>
      <c r="CD43">
        <v>0.97435899999999998</v>
      </c>
      <c r="CE43">
        <v>50</v>
      </c>
      <c r="CF43">
        <v>50</v>
      </c>
      <c r="CG43">
        <v>0.98814199999999996</v>
      </c>
      <c r="CH43">
        <v>100</v>
      </c>
      <c r="CI43">
        <v>100</v>
      </c>
      <c r="CJ43">
        <v>0</v>
      </c>
      <c r="CK43">
        <v>0.94285699999999995</v>
      </c>
      <c r="CL43">
        <v>100</v>
      </c>
      <c r="CM43">
        <v>100</v>
      </c>
      <c r="CN43">
        <v>0.74299999999999999</v>
      </c>
      <c r="CO43">
        <v>99.092088000000004</v>
      </c>
      <c r="CP43">
        <v>100</v>
      </c>
      <c r="CQ43">
        <v>0.91627899999999995</v>
      </c>
      <c r="CR43">
        <v>0.82061099999999998</v>
      </c>
      <c r="CS43">
        <v>25</v>
      </c>
      <c r="CT43">
        <v>50</v>
      </c>
      <c r="CU43">
        <v>0.55442800000000003</v>
      </c>
      <c r="CV43">
        <v>46.202337</v>
      </c>
      <c r="CW43">
        <v>50</v>
      </c>
      <c r="CX43">
        <v>0.94285699999999995</v>
      </c>
      <c r="CY43">
        <v>0.94</v>
      </c>
      <c r="CZ43">
        <v>-2.8570000000000002E-3</v>
      </c>
      <c r="DA43">
        <v>15.389535</v>
      </c>
      <c r="DB43">
        <v>17.608319000000002</v>
      </c>
      <c r="DC43">
        <v>16.064022999999999</v>
      </c>
      <c r="DD43">
        <v>11.115401</v>
      </c>
      <c r="DE43" t="s">
        <v>125</v>
      </c>
      <c r="DJ43" t="s">
        <v>125</v>
      </c>
      <c r="DK43" t="s">
        <v>125</v>
      </c>
      <c r="DL43" t="s">
        <v>125</v>
      </c>
      <c r="DM43" t="s">
        <v>125</v>
      </c>
      <c r="DN43" t="s">
        <v>125</v>
      </c>
      <c r="DO43" t="s">
        <v>125</v>
      </c>
      <c r="DQ43" t="s">
        <v>126</v>
      </c>
    </row>
    <row r="44" spans="1:121" x14ac:dyDescent="0.15">
      <c r="A44">
        <v>2018</v>
      </c>
      <c r="B44" t="s">
        <v>166</v>
      </c>
      <c r="C44" t="str">
        <f>"0890011"</f>
        <v>0890011</v>
      </c>
      <c r="D44" t="s">
        <v>123</v>
      </c>
      <c r="E44" t="str">
        <f t="shared" si="0"/>
        <v>0000000</v>
      </c>
      <c r="F44" t="s">
        <v>123</v>
      </c>
      <c r="G44" t="s">
        <v>123</v>
      </c>
      <c r="H44" t="s">
        <v>123</v>
      </c>
      <c r="J44" t="s">
        <v>124</v>
      </c>
      <c r="K44">
        <v>805.33908799999995</v>
      </c>
      <c r="L44">
        <v>1450</v>
      </c>
      <c r="M44">
        <v>55.540627000000001</v>
      </c>
      <c r="N44" t="s">
        <v>125</v>
      </c>
      <c r="O44">
        <v>0</v>
      </c>
      <c r="P44">
        <v>50.623097000000001</v>
      </c>
      <c r="Q44">
        <v>33.748731999999997</v>
      </c>
      <c r="R44">
        <v>50</v>
      </c>
      <c r="S44">
        <v>49.111075999999997</v>
      </c>
      <c r="T44">
        <v>63.767442000000003</v>
      </c>
      <c r="U44">
        <v>32.740716999999997</v>
      </c>
      <c r="V44">
        <v>50</v>
      </c>
      <c r="W44">
        <v>42.790897000000001</v>
      </c>
      <c r="X44">
        <v>28.527265</v>
      </c>
      <c r="Y44">
        <v>50</v>
      </c>
      <c r="Z44">
        <v>55.722510999999997</v>
      </c>
      <c r="AA44">
        <v>41.296377999999997</v>
      </c>
      <c r="AB44">
        <v>27.530919000000001</v>
      </c>
      <c r="AC44">
        <v>50</v>
      </c>
      <c r="AD44">
        <v>47.734366999999999</v>
      </c>
      <c r="AE44">
        <v>31.822911999999999</v>
      </c>
      <c r="AF44">
        <v>50</v>
      </c>
      <c r="AG44">
        <v>46.350095000000003</v>
      </c>
      <c r="AH44">
        <v>58.941653000000002</v>
      </c>
      <c r="AI44">
        <v>30.900062999999999</v>
      </c>
      <c r="AJ44">
        <v>50</v>
      </c>
      <c r="AK44">
        <v>14.65</v>
      </c>
      <c r="AL44">
        <v>14.42</v>
      </c>
      <c r="AM44">
        <v>12.59</v>
      </c>
      <c r="AN44">
        <v>0.48819099999999999</v>
      </c>
      <c r="AO44">
        <v>48.819057999999998</v>
      </c>
      <c r="AP44">
        <v>100</v>
      </c>
      <c r="AQ44">
        <v>0.44247999999999998</v>
      </c>
      <c r="AR44">
        <v>44.247995000000003</v>
      </c>
      <c r="AS44">
        <v>100</v>
      </c>
      <c r="AT44">
        <v>0.48298600000000003</v>
      </c>
      <c r="AU44">
        <v>0.537327</v>
      </c>
      <c r="AV44">
        <v>48.298625000000001</v>
      </c>
      <c r="AW44">
        <v>100</v>
      </c>
      <c r="AX44">
        <v>0.43646499999999999</v>
      </c>
      <c r="AY44">
        <v>0.49871199999999999</v>
      </c>
      <c r="AZ44">
        <v>43.646475000000002</v>
      </c>
      <c r="BA44">
        <v>100</v>
      </c>
      <c r="BB44">
        <v>0.50757399999999997</v>
      </c>
      <c r="BC44">
        <v>25.378684</v>
      </c>
      <c r="BD44">
        <v>50</v>
      </c>
      <c r="BE44">
        <v>0.46994900000000001</v>
      </c>
      <c r="BF44">
        <v>23.49746</v>
      </c>
      <c r="BG44">
        <v>50</v>
      </c>
      <c r="BH44">
        <v>0</v>
      </c>
      <c r="BI44">
        <v>0.98170599999999997</v>
      </c>
      <c r="BJ44">
        <v>0.98128899999999997</v>
      </c>
      <c r="BK44">
        <v>0.985375</v>
      </c>
      <c r="BL44">
        <v>0.97499100000000005</v>
      </c>
      <c r="BM44">
        <v>0.97402299999999997</v>
      </c>
      <c r="BN44">
        <v>0.98351599999999995</v>
      </c>
      <c r="BO44">
        <v>0.96860100000000005</v>
      </c>
      <c r="BP44">
        <v>0.96540700000000002</v>
      </c>
      <c r="BQ44">
        <v>0.99551599999999996</v>
      </c>
      <c r="BR44">
        <v>0.241618</v>
      </c>
      <c r="BS44">
        <v>11.676325</v>
      </c>
      <c r="BT44">
        <v>50</v>
      </c>
      <c r="BU44">
        <v>0.26056000000000001</v>
      </c>
      <c r="BV44">
        <v>7.8879809999999999</v>
      </c>
      <c r="BW44">
        <v>50</v>
      </c>
      <c r="BX44">
        <v>0.67332800000000004</v>
      </c>
      <c r="BY44">
        <v>44.888503</v>
      </c>
      <c r="BZ44">
        <v>50</v>
      </c>
      <c r="CA44">
        <v>0.112945</v>
      </c>
      <c r="CB44">
        <v>7.5296839999999996</v>
      </c>
      <c r="CC44">
        <v>50</v>
      </c>
      <c r="CD44">
        <v>0.63890800000000003</v>
      </c>
      <c r="CE44">
        <v>33.984485999999997</v>
      </c>
      <c r="CF44">
        <v>50</v>
      </c>
      <c r="CG44">
        <v>0.73205699999999996</v>
      </c>
      <c r="CH44">
        <v>77.878449000000003</v>
      </c>
      <c r="CI44">
        <v>100</v>
      </c>
      <c r="CJ44">
        <v>1</v>
      </c>
      <c r="CK44">
        <v>0.77288699999999999</v>
      </c>
      <c r="CL44">
        <v>82.222055999999995</v>
      </c>
      <c r="CM44">
        <v>100</v>
      </c>
      <c r="CN44">
        <v>0.47599999999999998</v>
      </c>
      <c r="CO44">
        <v>63.467689999999997</v>
      </c>
      <c r="CP44">
        <v>100</v>
      </c>
      <c r="CQ44">
        <v>0.39608199999999999</v>
      </c>
      <c r="CR44">
        <v>0.80493700000000001</v>
      </c>
      <c r="CS44">
        <v>13.202726</v>
      </c>
      <c r="CT44">
        <v>50</v>
      </c>
      <c r="CU44">
        <v>0.52130699999999996</v>
      </c>
      <c r="CV44">
        <v>43.442284000000001</v>
      </c>
      <c r="CW44">
        <v>50</v>
      </c>
      <c r="CX44">
        <v>0.77288699999999999</v>
      </c>
      <c r="CY44">
        <v>0.94</v>
      </c>
      <c r="CZ44">
        <v>0.16711300000000001</v>
      </c>
      <c r="DA44">
        <v>15.389535</v>
      </c>
      <c r="DB44">
        <v>17.608319000000002</v>
      </c>
      <c r="DC44">
        <v>16.064022999999999</v>
      </c>
      <c r="DD44">
        <v>11.115401</v>
      </c>
      <c r="DE44" t="s">
        <v>125</v>
      </c>
      <c r="DJ44" t="s">
        <v>125</v>
      </c>
      <c r="DK44" t="s">
        <v>125</v>
      </c>
      <c r="DL44" t="s">
        <v>125</v>
      </c>
      <c r="DM44" t="s">
        <v>125</v>
      </c>
      <c r="DN44" t="s">
        <v>125</v>
      </c>
      <c r="DO44" t="s">
        <v>125</v>
      </c>
      <c r="DQ44" t="s">
        <v>126</v>
      </c>
    </row>
    <row r="45" spans="1:121" x14ac:dyDescent="0.15">
      <c r="A45">
        <v>2018</v>
      </c>
      <c r="B45" t="s">
        <v>167</v>
      </c>
      <c r="C45" t="str">
        <f>"0880011"</f>
        <v>0880011</v>
      </c>
      <c r="D45" t="s">
        <v>123</v>
      </c>
      <c r="E45" t="str">
        <f t="shared" si="0"/>
        <v>0000000</v>
      </c>
      <c r="F45" t="s">
        <v>123</v>
      </c>
      <c r="G45" t="s">
        <v>123</v>
      </c>
      <c r="H45" t="s">
        <v>123</v>
      </c>
      <c r="J45" t="s">
        <v>124</v>
      </c>
      <c r="K45">
        <v>1034.133032</v>
      </c>
      <c r="L45">
        <v>1450</v>
      </c>
      <c r="M45">
        <v>71.319519</v>
      </c>
      <c r="N45" t="s">
        <v>125</v>
      </c>
      <c r="O45">
        <v>0</v>
      </c>
      <c r="P45">
        <v>66.130863000000005</v>
      </c>
      <c r="Q45">
        <v>44.087242000000003</v>
      </c>
      <c r="R45">
        <v>50</v>
      </c>
      <c r="S45">
        <v>60.917025000000002</v>
      </c>
      <c r="T45">
        <v>74.807766999999998</v>
      </c>
      <c r="U45">
        <v>40.611350000000002</v>
      </c>
      <c r="V45">
        <v>50</v>
      </c>
      <c r="W45">
        <v>61.925248000000003</v>
      </c>
      <c r="X45">
        <v>41.283498999999999</v>
      </c>
      <c r="Y45">
        <v>50</v>
      </c>
      <c r="Z45">
        <v>71.771186999999998</v>
      </c>
      <c r="AA45">
        <v>55.997293999999997</v>
      </c>
      <c r="AB45">
        <v>37.331529000000003</v>
      </c>
      <c r="AC45">
        <v>50</v>
      </c>
      <c r="AD45">
        <v>57.946959999999997</v>
      </c>
      <c r="AE45">
        <v>38.631307</v>
      </c>
      <c r="AF45">
        <v>50</v>
      </c>
      <c r="AG45">
        <v>52.988424000000002</v>
      </c>
      <c r="AH45">
        <v>65.811749000000006</v>
      </c>
      <c r="AI45">
        <v>35.325615999999997</v>
      </c>
      <c r="AJ45">
        <v>50</v>
      </c>
      <c r="AK45">
        <v>13.89</v>
      </c>
      <c r="AL45">
        <v>15.77</v>
      </c>
      <c r="AM45">
        <v>12.82</v>
      </c>
      <c r="AN45">
        <v>0.62492999999999999</v>
      </c>
      <c r="AO45">
        <v>62.493029999999997</v>
      </c>
      <c r="AP45">
        <v>100</v>
      </c>
      <c r="AQ45">
        <v>0.55724899999999999</v>
      </c>
      <c r="AR45">
        <v>55.724936</v>
      </c>
      <c r="AS45">
        <v>100</v>
      </c>
      <c r="AT45">
        <v>0.60104299999999999</v>
      </c>
      <c r="AU45">
        <v>0.66346300000000002</v>
      </c>
      <c r="AV45">
        <v>60.104349999999997</v>
      </c>
      <c r="AW45">
        <v>100</v>
      </c>
      <c r="AX45">
        <v>0.513378</v>
      </c>
      <c r="AY45">
        <v>0.62766999999999995</v>
      </c>
      <c r="AZ45">
        <v>51.337828000000002</v>
      </c>
      <c r="BA45">
        <v>100</v>
      </c>
      <c r="BB45">
        <v>0.65246000000000004</v>
      </c>
      <c r="BC45">
        <v>32.622988999999997</v>
      </c>
      <c r="BD45">
        <v>50</v>
      </c>
      <c r="BE45">
        <v>0.605792</v>
      </c>
      <c r="BF45">
        <v>30.28961</v>
      </c>
      <c r="BG45">
        <v>50</v>
      </c>
      <c r="BH45">
        <v>0</v>
      </c>
      <c r="BI45">
        <v>0.98701300000000003</v>
      </c>
      <c r="BJ45">
        <v>0.98164499999999999</v>
      </c>
      <c r="BK45">
        <v>0.99642399999999998</v>
      </c>
      <c r="BL45">
        <v>0.98702400000000001</v>
      </c>
      <c r="BM45">
        <v>0.98099099999999995</v>
      </c>
      <c r="BN45">
        <v>0.99761599999999995</v>
      </c>
      <c r="BO45">
        <v>0.98871799999999999</v>
      </c>
      <c r="BP45">
        <v>0.98349799999999998</v>
      </c>
      <c r="BQ45">
        <v>0.99729000000000001</v>
      </c>
      <c r="BR45">
        <v>0.144869</v>
      </c>
      <c r="BS45">
        <v>31.026253000000001</v>
      </c>
      <c r="BT45">
        <v>50</v>
      </c>
      <c r="BU45">
        <v>0.18951299999999999</v>
      </c>
      <c r="BV45">
        <v>22.097377999999999</v>
      </c>
      <c r="BW45">
        <v>50</v>
      </c>
      <c r="BX45">
        <v>0.69711500000000004</v>
      </c>
      <c r="BY45">
        <v>46.474359</v>
      </c>
      <c r="BZ45">
        <v>50</v>
      </c>
      <c r="CA45">
        <v>0.24679499999999999</v>
      </c>
      <c r="CB45">
        <v>16.452991000000001</v>
      </c>
      <c r="CC45">
        <v>50</v>
      </c>
      <c r="CD45">
        <v>0.83974400000000005</v>
      </c>
      <c r="CE45">
        <v>44.667211999999999</v>
      </c>
      <c r="CF45">
        <v>50</v>
      </c>
      <c r="CG45">
        <v>0.86075900000000005</v>
      </c>
      <c r="CH45">
        <v>91.570159000000004</v>
      </c>
      <c r="CI45">
        <v>100</v>
      </c>
      <c r="CJ45">
        <v>0</v>
      </c>
      <c r="CK45">
        <v>0.85051500000000002</v>
      </c>
      <c r="CL45">
        <v>90.480368999999996</v>
      </c>
      <c r="CM45">
        <v>100</v>
      </c>
      <c r="CN45">
        <v>0.64400000000000002</v>
      </c>
      <c r="CO45">
        <v>85.915492999999998</v>
      </c>
      <c r="CP45">
        <v>100</v>
      </c>
      <c r="CQ45">
        <v>0.55983899999999998</v>
      </c>
      <c r="CR45">
        <v>0.93608999999999998</v>
      </c>
      <c r="CS45">
        <v>37.322623999999998</v>
      </c>
      <c r="CT45">
        <v>50</v>
      </c>
      <c r="CU45">
        <v>0.459395</v>
      </c>
      <c r="CV45">
        <v>38.282908999999997</v>
      </c>
      <c r="CW45">
        <v>50</v>
      </c>
      <c r="CX45">
        <v>0.85051500000000002</v>
      </c>
      <c r="CY45">
        <v>0.94</v>
      </c>
      <c r="CZ45">
        <v>8.9484999999999995E-2</v>
      </c>
      <c r="DA45">
        <v>15.389535</v>
      </c>
      <c r="DB45">
        <v>17.608319000000002</v>
      </c>
      <c r="DC45">
        <v>16.064022999999999</v>
      </c>
      <c r="DD45">
        <v>11.115401</v>
      </c>
      <c r="DE45" t="s">
        <v>125</v>
      </c>
      <c r="DJ45" t="s">
        <v>125</v>
      </c>
      <c r="DK45" t="s">
        <v>125</v>
      </c>
      <c r="DL45" t="s">
        <v>125</v>
      </c>
      <c r="DM45" t="s">
        <v>125</v>
      </c>
      <c r="DN45" t="s">
        <v>125</v>
      </c>
      <c r="DO45" t="s">
        <v>125</v>
      </c>
      <c r="DQ45" t="s">
        <v>126</v>
      </c>
    </row>
    <row r="46" spans="1:121" x14ac:dyDescent="0.15">
      <c r="A46">
        <v>2018</v>
      </c>
      <c r="B46" t="s">
        <v>168</v>
      </c>
      <c r="C46" t="str">
        <f>"0090011"</f>
        <v>0090011</v>
      </c>
      <c r="D46" t="s">
        <v>123</v>
      </c>
      <c r="E46" t="str">
        <f t="shared" si="0"/>
        <v>0000000</v>
      </c>
      <c r="F46" t="s">
        <v>123</v>
      </c>
      <c r="G46" t="s">
        <v>123</v>
      </c>
      <c r="H46" t="s">
        <v>123</v>
      </c>
      <c r="J46" t="s">
        <v>124</v>
      </c>
      <c r="K46">
        <v>1188.0877840000001</v>
      </c>
      <c r="L46">
        <v>1450</v>
      </c>
      <c r="M46">
        <v>81.937089</v>
      </c>
      <c r="N46" t="s">
        <v>125</v>
      </c>
      <c r="O46">
        <v>0</v>
      </c>
      <c r="P46">
        <v>73.126822000000004</v>
      </c>
      <c r="Q46">
        <v>48.751213999999997</v>
      </c>
      <c r="R46">
        <v>50</v>
      </c>
      <c r="S46">
        <v>63.306550999999999</v>
      </c>
      <c r="T46">
        <v>75</v>
      </c>
      <c r="U46">
        <v>42.204366999999998</v>
      </c>
      <c r="V46">
        <v>50</v>
      </c>
      <c r="W46">
        <v>69.133686999999995</v>
      </c>
      <c r="X46">
        <v>46.089123999999998</v>
      </c>
      <c r="Y46">
        <v>50</v>
      </c>
      <c r="Z46">
        <v>75</v>
      </c>
      <c r="AA46">
        <v>59.378435000000003</v>
      </c>
      <c r="AB46">
        <v>39.585624000000003</v>
      </c>
      <c r="AC46">
        <v>50</v>
      </c>
      <c r="AD46">
        <v>71.599869999999996</v>
      </c>
      <c r="AE46">
        <v>47.733246999999999</v>
      </c>
      <c r="AF46">
        <v>50</v>
      </c>
      <c r="AG46">
        <v>61.209674</v>
      </c>
      <c r="AH46">
        <v>75</v>
      </c>
      <c r="AI46">
        <v>40.806449000000001</v>
      </c>
      <c r="AJ46">
        <v>50</v>
      </c>
      <c r="AK46">
        <v>11.69</v>
      </c>
      <c r="AL46">
        <v>15.62</v>
      </c>
      <c r="AM46">
        <v>13.79</v>
      </c>
      <c r="AN46">
        <v>0.62062600000000001</v>
      </c>
      <c r="AO46">
        <v>62.062620000000003</v>
      </c>
      <c r="AP46">
        <v>100</v>
      </c>
      <c r="AQ46">
        <v>0.64898299999999998</v>
      </c>
      <c r="AR46">
        <v>64.898291</v>
      </c>
      <c r="AS46">
        <v>100</v>
      </c>
      <c r="AT46">
        <v>0.56372599999999995</v>
      </c>
      <c r="AU46">
        <v>0.65412899999999996</v>
      </c>
      <c r="AV46">
        <v>56.372635000000002</v>
      </c>
      <c r="AW46">
        <v>100</v>
      </c>
      <c r="AX46">
        <v>0.57506500000000005</v>
      </c>
      <c r="AY46">
        <v>0.69223900000000005</v>
      </c>
      <c r="AZ46">
        <v>57.506525000000003</v>
      </c>
      <c r="BA46">
        <v>100</v>
      </c>
      <c r="BB46">
        <v>0.727545</v>
      </c>
      <c r="BC46">
        <v>36.377254000000001</v>
      </c>
      <c r="BD46">
        <v>50</v>
      </c>
      <c r="BE46">
        <v>0.673902</v>
      </c>
      <c r="BF46">
        <v>33.695081000000002</v>
      </c>
      <c r="BG46">
        <v>50</v>
      </c>
      <c r="BH46">
        <v>0</v>
      </c>
      <c r="BI46">
        <v>0.99234800000000001</v>
      </c>
      <c r="BJ46">
        <v>0.98668599999999995</v>
      </c>
      <c r="BK46">
        <v>0.99609000000000003</v>
      </c>
      <c r="BL46">
        <v>0.99058299999999999</v>
      </c>
      <c r="BM46">
        <v>0.98370400000000002</v>
      </c>
      <c r="BN46">
        <v>0.99511700000000003</v>
      </c>
      <c r="BO46">
        <v>0.99585100000000004</v>
      </c>
      <c r="BP46">
        <v>0.98951</v>
      </c>
      <c r="BQ46">
        <v>1</v>
      </c>
      <c r="BR46">
        <v>4.0890999999999997E-2</v>
      </c>
      <c r="BS46">
        <v>50</v>
      </c>
      <c r="BT46">
        <v>50</v>
      </c>
      <c r="BU46">
        <v>6.5461000000000005E-2</v>
      </c>
      <c r="BV46">
        <v>46.907837999999998</v>
      </c>
      <c r="BW46">
        <v>50</v>
      </c>
      <c r="BX46">
        <v>0.82911400000000002</v>
      </c>
      <c r="BY46">
        <v>50</v>
      </c>
      <c r="BZ46">
        <v>50</v>
      </c>
      <c r="CA46">
        <v>0.51898699999999998</v>
      </c>
      <c r="CB46">
        <v>34.599156000000001</v>
      </c>
      <c r="CC46">
        <v>50</v>
      </c>
      <c r="CD46">
        <v>0.94458399999999998</v>
      </c>
      <c r="CE46">
        <v>50</v>
      </c>
      <c r="CF46">
        <v>50</v>
      </c>
      <c r="CG46">
        <v>0.93103400000000003</v>
      </c>
      <c r="CH46">
        <v>99.046222</v>
      </c>
      <c r="CI46">
        <v>100</v>
      </c>
      <c r="CJ46">
        <v>0</v>
      </c>
      <c r="CK46">
        <v>0.97468399999999999</v>
      </c>
      <c r="CL46">
        <v>100</v>
      </c>
      <c r="CM46">
        <v>100</v>
      </c>
      <c r="CN46">
        <v>0.746</v>
      </c>
      <c r="CO46">
        <v>99.481864999999999</v>
      </c>
      <c r="CP46">
        <v>100</v>
      </c>
      <c r="CQ46">
        <v>0.53210000000000002</v>
      </c>
      <c r="CR46">
        <v>0.93679900000000005</v>
      </c>
      <c r="CS46">
        <v>35.473340999999998</v>
      </c>
      <c r="CT46">
        <v>50</v>
      </c>
      <c r="CU46">
        <v>0.55796299999999999</v>
      </c>
      <c r="CV46">
        <v>46.496929999999999</v>
      </c>
      <c r="CW46">
        <v>50</v>
      </c>
      <c r="CX46">
        <v>0.97468399999999999</v>
      </c>
      <c r="CY46">
        <v>0.94</v>
      </c>
      <c r="CZ46">
        <v>-3.4684E-2</v>
      </c>
      <c r="DA46">
        <v>15.389535</v>
      </c>
      <c r="DB46">
        <v>17.608319000000002</v>
      </c>
      <c r="DC46">
        <v>16.064022999999999</v>
      </c>
      <c r="DD46">
        <v>11.115401</v>
      </c>
      <c r="DE46" t="s">
        <v>125</v>
      </c>
      <c r="DJ46" t="s">
        <v>125</v>
      </c>
      <c r="DK46" t="s">
        <v>125</v>
      </c>
      <c r="DL46" t="s">
        <v>125</v>
      </c>
      <c r="DM46" t="s">
        <v>125</v>
      </c>
      <c r="DN46" t="s">
        <v>125</v>
      </c>
      <c r="DO46" t="s">
        <v>125</v>
      </c>
      <c r="DQ46" t="s">
        <v>126</v>
      </c>
    </row>
    <row r="47" spans="1:121" x14ac:dyDescent="0.15">
      <c r="A47">
        <v>2018</v>
      </c>
      <c r="B47" t="s">
        <v>169</v>
      </c>
      <c r="C47" t="str">
        <f>"0780011"</f>
        <v>0780011</v>
      </c>
      <c r="D47" t="s">
        <v>123</v>
      </c>
      <c r="E47" t="str">
        <f t="shared" si="0"/>
        <v>0000000</v>
      </c>
      <c r="F47" t="s">
        <v>123</v>
      </c>
      <c r="G47" t="s">
        <v>123</v>
      </c>
      <c r="H47" t="s">
        <v>123</v>
      </c>
      <c r="J47" t="s">
        <v>124</v>
      </c>
      <c r="K47">
        <v>812.34647600000005</v>
      </c>
      <c r="L47">
        <v>1000</v>
      </c>
      <c r="M47">
        <v>81.234648000000007</v>
      </c>
      <c r="N47" t="s">
        <v>125</v>
      </c>
      <c r="O47">
        <v>0</v>
      </c>
      <c r="P47">
        <v>80.072226000000001</v>
      </c>
      <c r="Q47">
        <v>50</v>
      </c>
      <c r="R47">
        <v>50</v>
      </c>
      <c r="S47">
        <v>70.207626000000005</v>
      </c>
      <c r="T47">
        <v>75</v>
      </c>
      <c r="U47">
        <v>46.805084000000001</v>
      </c>
      <c r="V47">
        <v>50</v>
      </c>
      <c r="W47">
        <v>77.192817000000005</v>
      </c>
      <c r="X47">
        <v>50</v>
      </c>
      <c r="Y47">
        <v>50</v>
      </c>
      <c r="Z47">
        <v>75</v>
      </c>
      <c r="AA47">
        <v>67.233804000000006</v>
      </c>
      <c r="AB47">
        <v>44.822535999999999</v>
      </c>
      <c r="AC47">
        <v>50</v>
      </c>
      <c r="AD47">
        <v>81.343192000000002</v>
      </c>
      <c r="AE47">
        <v>50</v>
      </c>
      <c r="AF47">
        <v>50</v>
      </c>
      <c r="AG47">
        <v>71.594122999999996</v>
      </c>
      <c r="AH47">
        <v>75</v>
      </c>
      <c r="AI47">
        <v>47.729415000000003</v>
      </c>
      <c r="AJ47">
        <v>50</v>
      </c>
      <c r="AK47">
        <v>4.79</v>
      </c>
      <c r="AL47">
        <v>7.76</v>
      </c>
      <c r="AM47">
        <v>3.4</v>
      </c>
      <c r="AN47">
        <v>0.68692200000000003</v>
      </c>
      <c r="AO47">
        <v>68.692243000000005</v>
      </c>
      <c r="AP47">
        <v>100</v>
      </c>
      <c r="AQ47">
        <v>0.76512800000000003</v>
      </c>
      <c r="AR47">
        <v>76.512765999999999</v>
      </c>
      <c r="AS47">
        <v>100</v>
      </c>
      <c r="AT47">
        <v>0.61939</v>
      </c>
      <c r="AU47">
        <v>0.72173900000000002</v>
      </c>
      <c r="AV47">
        <v>61.938966999999998</v>
      </c>
      <c r="AW47">
        <v>100</v>
      </c>
      <c r="AX47">
        <v>0.69402600000000003</v>
      </c>
      <c r="AY47">
        <v>0.80169400000000002</v>
      </c>
      <c r="AZ47">
        <v>69.402569</v>
      </c>
      <c r="BA47">
        <v>100</v>
      </c>
      <c r="BB47">
        <v>0.67523</v>
      </c>
      <c r="BC47">
        <v>33.761513000000001</v>
      </c>
      <c r="BD47">
        <v>50</v>
      </c>
      <c r="BE47">
        <v>0.60859600000000003</v>
      </c>
      <c r="BF47">
        <v>30.429817</v>
      </c>
      <c r="BG47">
        <v>50</v>
      </c>
      <c r="BH47">
        <v>1</v>
      </c>
      <c r="BI47">
        <v>0.95859499999999997</v>
      </c>
      <c r="BJ47">
        <v>0.97749200000000003</v>
      </c>
      <c r="BK47">
        <v>0.94650199999999995</v>
      </c>
      <c r="BL47">
        <v>0.95608499999999996</v>
      </c>
      <c r="BM47">
        <v>0.97427699999999995</v>
      </c>
      <c r="BN47">
        <v>0.94444399999999995</v>
      </c>
      <c r="BO47">
        <v>0.92968799999999996</v>
      </c>
      <c r="BP47">
        <v>0.94565200000000005</v>
      </c>
      <c r="BQ47">
        <v>0.92073199999999999</v>
      </c>
      <c r="BR47">
        <v>4.0552999999999999E-2</v>
      </c>
      <c r="BS47">
        <v>50</v>
      </c>
      <c r="BT47">
        <v>50</v>
      </c>
      <c r="BU47">
        <v>6.2052999999999997E-2</v>
      </c>
      <c r="BV47">
        <v>47.589499000000004</v>
      </c>
      <c r="BW47">
        <v>50</v>
      </c>
      <c r="BX47" t="s">
        <v>125</v>
      </c>
      <c r="BY47" t="s">
        <v>125</v>
      </c>
      <c r="BZ47" t="s">
        <v>125</v>
      </c>
      <c r="CA47" t="s">
        <v>125</v>
      </c>
      <c r="CB47" t="s">
        <v>125</v>
      </c>
      <c r="CC47" t="s">
        <v>125</v>
      </c>
      <c r="CD47">
        <v>0.92792799999999998</v>
      </c>
      <c r="CE47">
        <v>49.357869000000001</v>
      </c>
      <c r="CF47">
        <v>50</v>
      </c>
      <c r="CG47" t="s">
        <v>125</v>
      </c>
      <c r="CH47" t="s">
        <v>125</v>
      </c>
      <c r="CI47" t="s">
        <v>125</v>
      </c>
      <c r="CJ47" t="s">
        <v>125</v>
      </c>
      <c r="CK47" t="s">
        <v>125</v>
      </c>
      <c r="CL47" t="s">
        <v>125</v>
      </c>
      <c r="CM47" t="s">
        <v>125</v>
      </c>
      <c r="CN47" t="s">
        <v>125</v>
      </c>
      <c r="CO47" t="s">
        <v>125</v>
      </c>
      <c r="CP47" t="s">
        <v>125</v>
      </c>
      <c r="CQ47">
        <v>0.52956300000000001</v>
      </c>
      <c r="CR47">
        <v>0.95343100000000003</v>
      </c>
      <c r="CS47">
        <v>35.304198999999997</v>
      </c>
      <c r="CT47">
        <v>50</v>
      </c>
      <c r="CU47" t="s">
        <v>125</v>
      </c>
      <c r="CV47" t="s">
        <v>125</v>
      </c>
      <c r="CW47" t="s">
        <v>125</v>
      </c>
      <c r="CX47" t="s">
        <v>125</v>
      </c>
      <c r="CY47" t="s">
        <v>125</v>
      </c>
      <c r="CZ47" t="s">
        <v>125</v>
      </c>
      <c r="DA47">
        <v>15.389535</v>
      </c>
      <c r="DB47">
        <v>17.608319000000002</v>
      </c>
      <c r="DC47">
        <v>16.064022999999999</v>
      </c>
      <c r="DD47" t="s">
        <v>125</v>
      </c>
      <c r="DE47" t="s">
        <v>125</v>
      </c>
      <c r="DJ47" t="s">
        <v>125</v>
      </c>
      <c r="DK47" t="s">
        <v>125</v>
      </c>
      <c r="DL47" t="s">
        <v>125</v>
      </c>
      <c r="DM47" t="s">
        <v>125</v>
      </c>
      <c r="DN47" t="s">
        <v>125</v>
      </c>
      <c r="DO47" t="s">
        <v>125</v>
      </c>
      <c r="DQ47" t="s">
        <v>126</v>
      </c>
    </row>
    <row r="48" spans="1:121" x14ac:dyDescent="0.15">
      <c r="A48">
        <v>2018</v>
      </c>
      <c r="B48" t="s">
        <v>170</v>
      </c>
      <c r="C48" t="str">
        <f>"0850011"</f>
        <v>0850011</v>
      </c>
      <c r="D48" t="s">
        <v>123</v>
      </c>
      <c r="E48" t="str">
        <f t="shared" si="0"/>
        <v>0000000</v>
      </c>
      <c r="F48" t="s">
        <v>123</v>
      </c>
      <c r="G48" t="s">
        <v>123</v>
      </c>
      <c r="H48" t="s">
        <v>123</v>
      </c>
      <c r="J48" t="s">
        <v>124</v>
      </c>
      <c r="K48">
        <v>1139.3123880000001</v>
      </c>
      <c r="L48">
        <v>1350</v>
      </c>
      <c r="M48">
        <v>84.393510000000006</v>
      </c>
      <c r="N48" t="s">
        <v>125</v>
      </c>
      <c r="O48">
        <v>0</v>
      </c>
      <c r="P48">
        <v>80.795546999999999</v>
      </c>
      <c r="Q48">
        <v>50</v>
      </c>
      <c r="R48">
        <v>50</v>
      </c>
      <c r="S48">
        <v>69.858503999999996</v>
      </c>
      <c r="T48">
        <v>75</v>
      </c>
      <c r="U48">
        <v>46.572336</v>
      </c>
      <c r="V48">
        <v>50</v>
      </c>
      <c r="W48">
        <v>75.357781000000003</v>
      </c>
      <c r="X48">
        <v>50</v>
      </c>
      <c r="Y48">
        <v>50</v>
      </c>
      <c r="Z48">
        <v>75</v>
      </c>
      <c r="AA48">
        <v>62.789000999999999</v>
      </c>
      <c r="AB48">
        <v>41.859333999999997</v>
      </c>
      <c r="AC48">
        <v>50</v>
      </c>
      <c r="AD48">
        <v>74.513337000000007</v>
      </c>
      <c r="AE48">
        <v>49.675558000000002</v>
      </c>
      <c r="AF48">
        <v>50</v>
      </c>
      <c r="AG48">
        <v>64.518047999999993</v>
      </c>
      <c r="AH48">
        <v>75</v>
      </c>
      <c r="AI48">
        <v>43.012031999999998</v>
      </c>
      <c r="AJ48">
        <v>50</v>
      </c>
      <c r="AK48">
        <v>5.14</v>
      </c>
      <c r="AL48">
        <v>12.21</v>
      </c>
      <c r="AM48">
        <v>10.48</v>
      </c>
      <c r="AN48">
        <v>0.69795099999999999</v>
      </c>
      <c r="AO48">
        <v>69.795113999999998</v>
      </c>
      <c r="AP48">
        <v>100</v>
      </c>
      <c r="AQ48">
        <v>0.68554400000000004</v>
      </c>
      <c r="AR48">
        <v>68.554433000000003</v>
      </c>
      <c r="AS48">
        <v>100</v>
      </c>
      <c r="AT48">
        <v>0.61858000000000002</v>
      </c>
      <c r="AU48">
        <v>0.72398200000000001</v>
      </c>
      <c r="AV48">
        <v>61.857987000000001</v>
      </c>
      <c r="AW48">
        <v>100</v>
      </c>
      <c r="AX48">
        <v>0.58910399999999996</v>
      </c>
      <c r="AY48">
        <v>0.71702399999999999</v>
      </c>
      <c r="AZ48">
        <v>58.910409999999999</v>
      </c>
      <c r="BA48">
        <v>100</v>
      </c>
      <c r="BB48" t="s">
        <v>125</v>
      </c>
      <c r="BC48" t="s">
        <v>125</v>
      </c>
      <c r="BD48" t="s">
        <v>125</v>
      </c>
      <c r="BE48" t="s">
        <v>125</v>
      </c>
      <c r="BF48" t="s">
        <v>125</v>
      </c>
      <c r="BG48" t="s">
        <v>125</v>
      </c>
      <c r="BH48">
        <v>1</v>
      </c>
      <c r="BI48">
        <v>0.98332299999999995</v>
      </c>
      <c r="BJ48">
        <v>0.95754700000000004</v>
      </c>
      <c r="BK48">
        <v>0.99203200000000002</v>
      </c>
      <c r="BL48">
        <v>0.98152600000000001</v>
      </c>
      <c r="BM48">
        <v>0.95282999999999995</v>
      </c>
      <c r="BN48">
        <v>0.991228</v>
      </c>
      <c r="BO48">
        <v>0.97777800000000004</v>
      </c>
      <c r="BP48">
        <v>0.93333299999999997</v>
      </c>
      <c r="BQ48">
        <v>0.99259299999999995</v>
      </c>
      <c r="BR48">
        <v>3.3203000000000003E-2</v>
      </c>
      <c r="BS48">
        <v>50</v>
      </c>
      <c r="BT48">
        <v>50</v>
      </c>
      <c r="BU48">
        <v>7.2442999999999994E-2</v>
      </c>
      <c r="BV48">
        <v>45.511364</v>
      </c>
      <c r="BW48">
        <v>50</v>
      </c>
      <c r="BX48">
        <v>0.782609</v>
      </c>
      <c r="BY48">
        <v>50</v>
      </c>
      <c r="BZ48">
        <v>50</v>
      </c>
      <c r="CA48">
        <v>0.63768100000000005</v>
      </c>
      <c r="CB48">
        <v>42.512076999999998</v>
      </c>
      <c r="CC48">
        <v>50</v>
      </c>
      <c r="CD48">
        <v>0.98178500000000002</v>
      </c>
      <c r="CE48">
        <v>50</v>
      </c>
      <c r="CF48">
        <v>50</v>
      </c>
      <c r="CG48">
        <v>0.95113999999999999</v>
      </c>
      <c r="CH48">
        <v>100</v>
      </c>
      <c r="CI48">
        <v>100</v>
      </c>
      <c r="CJ48">
        <v>0</v>
      </c>
      <c r="CK48">
        <v>0.98214299999999999</v>
      </c>
      <c r="CL48">
        <v>100</v>
      </c>
      <c r="CM48">
        <v>100</v>
      </c>
      <c r="CN48">
        <v>0.86799999999999999</v>
      </c>
      <c r="CO48">
        <v>100</v>
      </c>
      <c r="CP48">
        <v>100</v>
      </c>
      <c r="CQ48">
        <v>0.53620100000000004</v>
      </c>
      <c r="CR48">
        <v>0.96948100000000004</v>
      </c>
      <c r="CS48">
        <v>35.746765000000003</v>
      </c>
      <c r="CT48">
        <v>50</v>
      </c>
      <c r="CU48">
        <v>0.30365999999999999</v>
      </c>
      <c r="CV48">
        <v>25.304978999999999</v>
      </c>
      <c r="CW48">
        <v>50</v>
      </c>
      <c r="CX48">
        <v>0.98214299999999999</v>
      </c>
      <c r="CY48">
        <v>0.94</v>
      </c>
      <c r="CZ48">
        <v>-4.2143E-2</v>
      </c>
      <c r="DA48">
        <v>15.389535</v>
      </c>
      <c r="DB48">
        <v>17.608319000000002</v>
      </c>
      <c r="DC48">
        <v>16.064022999999999</v>
      </c>
      <c r="DD48">
        <v>11.115401</v>
      </c>
      <c r="DE48" t="s">
        <v>125</v>
      </c>
      <c r="DJ48" t="s">
        <v>125</v>
      </c>
      <c r="DK48" t="s">
        <v>125</v>
      </c>
      <c r="DL48" t="s">
        <v>125</v>
      </c>
      <c r="DM48" t="s">
        <v>125</v>
      </c>
      <c r="DN48" t="s">
        <v>125</v>
      </c>
      <c r="DO48" t="s">
        <v>125</v>
      </c>
      <c r="DQ48" t="s">
        <v>126</v>
      </c>
    </row>
    <row r="49" spans="1:121" x14ac:dyDescent="0.15">
      <c r="A49">
        <v>2018</v>
      </c>
      <c r="B49" t="s">
        <v>171</v>
      </c>
      <c r="C49" t="str">
        <f>"0350011"</f>
        <v>0350011</v>
      </c>
      <c r="D49" t="s">
        <v>123</v>
      </c>
      <c r="E49" t="str">
        <f t="shared" si="0"/>
        <v>0000000</v>
      </c>
      <c r="F49" t="s">
        <v>123</v>
      </c>
      <c r="G49" t="s">
        <v>123</v>
      </c>
      <c r="H49" t="s">
        <v>123</v>
      </c>
      <c r="J49" t="s">
        <v>124</v>
      </c>
      <c r="K49">
        <v>1203.0287499999999</v>
      </c>
      <c r="L49">
        <v>1350</v>
      </c>
      <c r="M49">
        <v>89.113241000000002</v>
      </c>
      <c r="N49" t="s">
        <v>125</v>
      </c>
      <c r="O49">
        <v>0</v>
      </c>
      <c r="P49">
        <v>83.339967000000001</v>
      </c>
      <c r="Q49">
        <v>50</v>
      </c>
      <c r="R49">
        <v>50</v>
      </c>
      <c r="S49">
        <v>66.726999000000006</v>
      </c>
      <c r="T49">
        <v>75</v>
      </c>
      <c r="U49">
        <v>44.484665999999997</v>
      </c>
      <c r="V49">
        <v>50</v>
      </c>
      <c r="W49">
        <v>83.425734000000006</v>
      </c>
      <c r="X49">
        <v>50</v>
      </c>
      <c r="Y49">
        <v>50</v>
      </c>
      <c r="Z49">
        <v>75</v>
      </c>
      <c r="AA49">
        <v>66.133024000000006</v>
      </c>
      <c r="AB49">
        <v>44.088683000000003</v>
      </c>
      <c r="AC49">
        <v>50</v>
      </c>
      <c r="AD49">
        <v>78.404300000000006</v>
      </c>
      <c r="AE49">
        <v>50</v>
      </c>
      <c r="AF49">
        <v>50</v>
      </c>
      <c r="AG49">
        <v>59.513770999999998</v>
      </c>
      <c r="AH49">
        <v>75</v>
      </c>
      <c r="AI49">
        <v>39.675846999999997</v>
      </c>
      <c r="AJ49">
        <v>50</v>
      </c>
      <c r="AK49">
        <v>8.27</v>
      </c>
      <c r="AL49">
        <v>8.86</v>
      </c>
      <c r="AM49">
        <v>15.48</v>
      </c>
      <c r="AN49">
        <v>0.71864499999999998</v>
      </c>
      <c r="AO49">
        <v>71.864478000000005</v>
      </c>
      <c r="AP49">
        <v>100</v>
      </c>
      <c r="AQ49">
        <v>0.84666399999999997</v>
      </c>
      <c r="AR49">
        <v>84.666410999999997</v>
      </c>
      <c r="AS49">
        <v>100</v>
      </c>
      <c r="AT49">
        <v>0.60586399999999996</v>
      </c>
      <c r="AU49">
        <v>0.741309</v>
      </c>
      <c r="AV49">
        <v>60.586367000000003</v>
      </c>
      <c r="AW49">
        <v>100</v>
      </c>
      <c r="AX49">
        <v>0.73232699999999995</v>
      </c>
      <c r="AY49">
        <v>0.86946900000000005</v>
      </c>
      <c r="AZ49">
        <v>73.232744999999994</v>
      </c>
      <c r="BA49">
        <v>100</v>
      </c>
      <c r="BB49" t="s">
        <v>125</v>
      </c>
      <c r="BC49" t="s">
        <v>125</v>
      </c>
      <c r="BD49" t="s">
        <v>125</v>
      </c>
      <c r="BE49" t="s">
        <v>125</v>
      </c>
      <c r="BF49" t="s">
        <v>125</v>
      </c>
      <c r="BG49" t="s">
        <v>125</v>
      </c>
      <c r="BH49">
        <v>0</v>
      </c>
      <c r="BI49">
        <v>0.99108499999999999</v>
      </c>
      <c r="BJ49">
        <v>0.97494800000000004</v>
      </c>
      <c r="BK49">
        <v>0.99476399999999998</v>
      </c>
      <c r="BL49">
        <v>0.99031000000000002</v>
      </c>
      <c r="BM49">
        <v>0.96868500000000002</v>
      </c>
      <c r="BN49">
        <v>0.99524000000000001</v>
      </c>
      <c r="BO49">
        <v>0.98923799999999995</v>
      </c>
      <c r="BP49">
        <v>0.97129200000000004</v>
      </c>
      <c r="BQ49">
        <v>0.99337699999999995</v>
      </c>
      <c r="BR49">
        <v>3.075E-2</v>
      </c>
      <c r="BS49">
        <v>50</v>
      </c>
      <c r="BT49">
        <v>50</v>
      </c>
      <c r="BU49">
        <v>6.0741999999999997E-2</v>
      </c>
      <c r="BV49">
        <v>47.851519000000003</v>
      </c>
      <c r="BW49">
        <v>50</v>
      </c>
      <c r="BX49">
        <v>0.60337600000000002</v>
      </c>
      <c r="BY49">
        <v>40.225034999999998</v>
      </c>
      <c r="BZ49">
        <v>50</v>
      </c>
      <c r="CA49">
        <v>0.85513399999999995</v>
      </c>
      <c r="CB49">
        <v>50</v>
      </c>
      <c r="CC49">
        <v>50</v>
      </c>
      <c r="CD49">
        <v>0.98135799999999995</v>
      </c>
      <c r="CE49">
        <v>50</v>
      </c>
      <c r="CF49">
        <v>50</v>
      </c>
      <c r="CG49">
        <v>0.96511599999999997</v>
      </c>
      <c r="CH49">
        <v>100</v>
      </c>
      <c r="CI49">
        <v>100</v>
      </c>
      <c r="CJ49">
        <v>0</v>
      </c>
      <c r="CK49">
        <v>0.98275900000000005</v>
      </c>
      <c r="CL49">
        <v>100</v>
      </c>
      <c r="CM49">
        <v>100</v>
      </c>
      <c r="CN49">
        <v>0.89800000000000002</v>
      </c>
      <c r="CO49">
        <v>100</v>
      </c>
      <c r="CP49">
        <v>100</v>
      </c>
      <c r="CQ49">
        <v>0.695295</v>
      </c>
      <c r="CR49">
        <v>0.93180200000000002</v>
      </c>
      <c r="CS49">
        <v>46.353000000000002</v>
      </c>
      <c r="CT49">
        <v>50</v>
      </c>
      <c r="CU49">
        <v>0.61382700000000001</v>
      </c>
      <c r="CV49">
        <v>50</v>
      </c>
      <c r="CW49">
        <v>50</v>
      </c>
      <c r="CX49">
        <v>0.98275900000000005</v>
      </c>
      <c r="CY49">
        <v>0.94</v>
      </c>
      <c r="CZ49">
        <v>-4.2758999999999998E-2</v>
      </c>
      <c r="DA49">
        <v>15.389535</v>
      </c>
      <c r="DB49">
        <v>17.608319000000002</v>
      </c>
      <c r="DC49">
        <v>16.064022999999999</v>
      </c>
      <c r="DD49">
        <v>11.115401</v>
      </c>
      <c r="DE49" t="s">
        <v>125</v>
      </c>
      <c r="DJ49" t="s">
        <v>125</v>
      </c>
      <c r="DK49" t="s">
        <v>125</v>
      </c>
      <c r="DL49" t="s">
        <v>125</v>
      </c>
      <c r="DM49" t="s">
        <v>125</v>
      </c>
      <c r="DN49" t="s">
        <v>125</v>
      </c>
      <c r="DO49" t="s">
        <v>125</v>
      </c>
      <c r="DQ49" t="s">
        <v>126</v>
      </c>
    </row>
    <row r="50" spans="1:121" x14ac:dyDescent="0.15">
      <c r="A50">
        <v>2018</v>
      </c>
      <c r="B50" t="s">
        <v>172</v>
      </c>
      <c r="C50" t="str">
        <f>"0450011"</f>
        <v>0450011</v>
      </c>
      <c r="D50" t="s">
        <v>123</v>
      </c>
      <c r="E50" t="str">
        <f t="shared" si="0"/>
        <v>0000000</v>
      </c>
      <c r="F50" t="s">
        <v>123</v>
      </c>
      <c r="G50" t="s">
        <v>123</v>
      </c>
      <c r="H50" t="s">
        <v>123</v>
      </c>
      <c r="J50" t="s">
        <v>124</v>
      </c>
      <c r="K50">
        <v>1179.5594679999999</v>
      </c>
      <c r="L50">
        <v>1450</v>
      </c>
      <c r="M50">
        <v>81.348928999999998</v>
      </c>
      <c r="N50" t="s">
        <v>125</v>
      </c>
      <c r="O50">
        <v>0</v>
      </c>
      <c r="P50">
        <v>76.509073999999998</v>
      </c>
      <c r="Q50">
        <v>50</v>
      </c>
      <c r="R50">
        <v>50</v>
      </c>
      <c r="S50">
        <v>66.311886999999999</v>
      </c>
      <c r="T50">
        <v>75</v>
      </c>
      <c r="U50">
        <v>44.207923999999998</v>
      </c>
      <c r="V50">
        <v>50</v>
      </c>
      <c r="W50">
        <v>72.512885999999995</v>
      </c>
      <c r="X50">
        <v>48.341923999999999</v>
      </c>
      <c r="Y50">
        <v>50</v>
      </c>
      <c r="Z50">
        <v>75</v>
      </c>
      <c r="AA50">
        <v>61.637524999999997</v>
      </c>
      <c r="AB50">
        <v>41.091683000000003</v>
      </c>
      <c r="AC50">
        <v>50</v>
      </c>
      <c r="AD50">
        <v>73.736385999999996</v>
      </c>
      <c r="AE50">
        <v>49.157590999999996</v>
      </c>
      <c r="AF50">
        <v>50</v>
      </c>
      <c r="AG50">
        <v>63.092525000000002</v>
      </c>
      <c r="AH50">
        <v>75</v>
      </c>
      <c r="AI50">
        <v>42.061683000000002</v>
      </c>
      <c r="AJ50">
        <v>50</v>
      </c>
      <c r="AK50">
        <v>8.68</v>
      </c>
      <c r="AL50">
        <v>13.36</v>
      </c>
      <c r="AM50">
        <v>11.9</v>
      </c>
      <c r="AN50">
        <v>0.63284399999999996</v>
      </c>
      <c r="AO50">
        <v>63.284362999999999</v>
      </c>
      <c r="AP50">
        <v>100</v>
      </c>
      <c r="AQ50">
        <v>0.63089899999999999</v>
      </c>
      <c r="AR50">
        <v>63.089854000000003</v>
      </c>
      <c r="AS50">
        <v>100</v>
      </c>
      <c r="AT50">
        <v>0.56873499999999999</v>
      </c>
      <c r="AU50">
        <v>0.66148600000000002</v>
      </c>
      <c r="AV50">
        <v>56.873469</v>
      </c>
      <c r="AW50">
        <v>100</v>
      </c>
      <c r="AX50">
        <v>0.51790700000000001</v>
      </c>
      <c r="AY50">
        <v>0.68137999999999999</v>
      </c>
      <c r="AZ50">
        <v>51.790731999999998</v>
      </c>
      <c r="BA50">
        <v>100</v>
      </c>
      <c r="BB50">
        <v>0.85370800000000002</v>
      </c>
      <c r="BC50">
        <v>42.685381</v>
      </c>
      <c r="BD50">
        <v>50</v>
      </c>
      <c r="BE50">
        <v>0.66079200000000005</v>
      </c>
      <c r="BF50">
        <v>33.039619000000002</v>
      </c>
      <c r="BG50">
        <v>50</v>
      </c>
      <c r="BH50">
        <v>0</v>
      </c>
      <c r="BI50">
        <v>0.97694499999999995</v>
      </c>
      <c r="BJ50">
        <v>0.95833299999999999</v>
      </c>
      <c r="BK50">
        <v>0.98605200000000004</v>
      </c>
      <c r="BL50">
        <v>0.97694499999999995</v>
      </c>
      <c r="BM50">
        <v>0.95833299999999999</v>
      </c>
      <c r="BN50">
        <v>0.98605200000000004</v>
      </c>
      <c r="BO50">
        <v>0.97435899999999998</v>
      </c>
      <c r="BP50">
        <v>0.96279099999999995</v>
      </c>
      <c r="BQ50">
        <v>0.97991099999999998</v>
      </c>
      <c r="BR50">
        <v>4.5626E-2</v>
      </c>
      <c r="BS50">
        <v>50</v>
      </c>
      <c r="BT50">
        <v>50</v>
      </c>
      <c r="BU50">
        <v>7.8179999999999999E-2</v>
      </c>
      <c r="BV50">
        <v>44.364061</v>
      </c>
      <c r="BW50">
        <v>50</v>
      </c>
      <c r="BX50">
        <v>0.95816699999999999</v>
      </c>
      <c r="BY50">
        <v>50</v>
      </c>
      <c r="BZ50">
        <v>50</v>
      </c>
      <c r="CA50">
        <v>0.581673</v>
      </c>
      <c r="CB50">
        <v>38.778219999999997</v>
      </c>
      <c r="CC50">
        <v>50</v>
      </c>
      <c r="CD50">
        <v>0.97629299999999997</v>
      </c>
      <c r="CE50">
        <v>50</v>
      </c>
      <c r="CF50">
        <v>50</v>
      </c>
      <c r="CG50">
        <v>0.954704</v>
      </c>
      <c r="CH50">
        <v>100</v>
      </c>
      <c r="CI50">
        <v>100</v>
      </c>
      <c r="CJ50">
        <v>0</v>
      </c>
      <c r="CK50">
        <v>0.88888900000000004</v>
      </c>
      <c r="CL50">
        <v>94.562647999999996</v>
      </c>
      <c r="CM50">
        <v>100</v>
      </c>
      <c r="CN50">
        <v>0.77400000000000002</v>
      </c>
      <c r="CO50">
        <v>100</v>
      </c>
      <c r="CP50">
        <v>100</v>
      </c>
      <c r="CQ50">
        <v>0.61949299999999996</v>
      </c>
      <c r="CR50">
        <v>0.89808200000000005</v>
      </c>
      <c r="CS50">
        <v>20.649754999999999</v>
      </c>
      <c r="CT50">
        <v>50</v>
      </c>
      <c r="CU50">
        <v>0.54696699999999998</v>
      </c>
      <c r="CV50">
        <v>45.580561000000003</v>
      </c>
      <c r="CW50">
        <v>50</v>
      </c>
      <c r="CX50">
        <v>0.88888900000000004</v>
      </c>
      <c r="CY50">
        <v>0.94</v>
      </c>
      <c r="CZ50">
        <v>5.1110999999999997E-2</v>
      </c>
      <c r="DA50">
        <v>15.389535</v>
      </c>
      <c r="DB50">
        <v>17.608319000000002</v>
      </c>
      <c r="DC50">
        <v>16.064022999999999</v>
      </c>
      <c r="DD50">
        <v>11.115401</v>
      </c>
      <c r="DE50" t="s">
        <v>125</v>
      </c>
      <c r="DJ50" t="s">
        <v>125</v>
      </c>
      <c r="DK50" t="s">
        <v>125</v>
      </c>
      <c r="DL50" t="s">
        <v>125</v>
      </c>
      <c r="DM50" t="s">
        <v>125</v>
      </c>
      <c r="DN50" t="s">
        <v>125</v>
      </c>
      <c r="DO50" t="s">
        <v>125</v>
      </c>
      <c r="DQ50" t="s">
        <v>126</v>
      </c>
    </row>
    <row r="51" spans="1:121" x14ac:dyDescent="0.15">
      <c r="A51">
        <v>2018</v>
      </c>
      <c r="B51" t="s">
        <v>173</v>
      </c>
      <c r="C51" t="str">
        <f>"0980011"</f>
        <v>0980011</v>
      </c>
      <c r="D51" t="s">
        <v>123</v>
      </c>
      <c r="E51" t="str">
        <f t="shared" si="0"/>
        <v>0000000</v>
      </c>
      <c r="F51" t="s">
        <v>123</v>
      </c>
      <c r="G51" t="s">
        <v>123</v>
      </c>
      <c r="H51" t="s">
        <v>123</v>
      </c>
      <c r="J51" t="s">
        <v>124</v>
      </c>
      <c r="K51">
        <v>371.03631300000001</v>
      </c>
      <c r="L51">
        <v>550</v>
      </c>
      <c r="M51">
        <v>67.461147999999994</v>
      </c>
      <c r="N51" t="s">
        <v>125</v>
      </c>
      <c r="O51">
        <v>0</v>
      </c>
      <c r="P51">
        <v>72.718365000000006</v>
      </c>
      <c r="Q51">
        <v>48.478909999999999</v>
      </c>
      <c r="R51">
        <v>50</v>
      </c>
      <c r="S51">
        <v>64.145302000000001</v>
      </c>
      <c r="T51">
        <v>75</v>
      </c>
      <c r="U51">
        <v>42.763534999999997</v>
      </c>
      <c r="V51">
        <v>50</v>
      </c>
      <c r="W51">
        <v>68.008161000000001</v>
      </c>
      <c r="X51">
        <v>45.338774000000001</v>
      </c>
      <c r="Y51">
        <v>50</v>
      </c>
      <c r="Z51">
        <v>73.991933000000003</v>
      </c>
      <c r="AA51">
        <v>61.066986</v>
      </c>
      <c r="AB51">
        <v>40.711323999999998</v>
      </c>
      <c r="AC51">
        <v>50</v>
      </c>
      <c r="AD51" t="s">
        <v>125</v>
      </c>
      <c r="AE51" t="s">
        <v>125</v>
      </c>
      <c r="AF51" t="s">
        <v>125</v>
      </c>
      <c r="AG51" t="s">
        <v>125</v>
      </c>
      <c r="AH51" t="s">
        <v>125</v>
      </c>
      <c r="AI51" t="s">
        <v>125</v>
      </c>
      <c r="AJ51" t="s">
        <v>125</v>
      </c>
      <c r="AK51">
        <v>10.85</v>
      </c>
      <c r="AL51">
        <v>12.92</v>
      </c>
      <c r="AM51" t="s">
        <v>125</v>
      </c>
      <c r="AN51">
        <v>0.47083799999999998</v>
      </c>
      <c r="AO51">
        <v>47.083767999999999</v>
      </c>
      <c r="AP51">
        <v>100</v>
      </c>
      <c r="AQ51">
        <v>0.42603799999999997</v>
      </c>
      <c r="AR51">
        <v>42.603777999999998</v>
      </c>
      <c r="AS51">
        <v>100</v>
      </c>
      <c r="AT51" t="s">
        <v>125</v>
      </c>
      <c r="AU51" t="s">
        <v>125</v>
      </c>
      <c r="AV51" t="s">
        <v>125</v>
      </c>
      <c r="AW51" t="s">
        <v>125</v>
      </c>
      <c r="AX51" t="s">
        <v>125</v>
      </c>
      <c r="AY51" t="s">
        <v>125</v>
      </c>
      <c r="AZ51" t="s">
        <v>125</v>
      </c>
      <c r="BA51" t="s">
        <v>125</v>
      </c>
      <c r="BB51" t="s">
        <v>125</v>
      </c>
      <c r="BC51" t="s">
        <v>125</v>
      </c>
      <c r="BD51" t="s">
        <v>125</v>
      </c>
      <c r="BE51" t="s">
        <v>125</v>
      </c>
      <c r="BF51" t="s">
        <v>125</v>
      </c>
      <c r="BG51" t="s">
        <v>125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 t="s">
        <v>125</v>
      </c>
      <c r="BP51" t="s">
        <v>125</v>
      </c>
      <c r="BQ51" t="s">
        <v>125</v>
      </c>
      <c r="BR51">
        <v>9.6385999999999999E-2</v>
      </c>
      <c r="BS51">
        <v>40.722892000000002</v>
      </c>
      <c r="BT51">
        <v>50</v>
      </c>
      <c r="BU51">
        <v>0.15</v>
      </c>
      <c r="BV51">
        <v>30</v>
      </c>
      <c r="BW51">
        <v>50</v>
      </c>
      <c r="BX51" t="s">
        <v>125</v>
      </c>
      <c r="BY51" t="s">
        <v>125</v>
      </c>
      <c r="BZ51" t="s">
        <v>125</v>
      </c>
      <c r="CA51" t="s">
        <v>125</v>
      </c>
      <c r="CB51" t="s">
        <v>125</v>
      </c>
      <c r="CC51" t="s">
        <v>125</v>
      </c>
      <c r="CD51" t="s">
        <v>125</v>
      </c>
      <c r="CE51" t="s">
        <v>125</v>
      </c>
      <c r="CF51" t="s">
        <v>125</v>
      </c>
      <c r="CG51" t="s">
        <v>125</v>
      </c>
      <c r="CH51" t="s">
        <v>125</v>
      </c>
      <c r="CI51" t="s">
        <v>125</v>
      </c>
      <c r="CJ51" t="s">
        <v>125</v>
      </c>
      <c r="CK51" t="s">
        <v>125</v>
      </c>
      <c r="CL51" t="s">
        <v>125</v>
      </c>
      <c r="CM51" t="s">
        <v>125</v>
      </c>
      <c r="CN51" t="s">
        <v>125</v>
      </c>
      <c r="CO51" t="s">
        <v>125</v>
      </c>
      <c r="CP51" t="s">
        <v>125</v>
      </c>
      <c r="CQ51">
        <v>0.5</v>
      </c>
      <c r="CR51">
        <v>0.92307700000000004</v>
      </c>
      <c r="CS51">
        <v>33.333333000000003</v>
      </c>
      <c r="CT51">
        <v>50</v>
      </c>
      <c r="CU51" t="s">
        <v>125</v>
      </c>
      <c r="CV51" t="s">
        <v>125</v>
      </c>
      <c r="CW51" t="s">
        <v>125</v>
      </c>
      <c r="CX51" t="s">
        <v>125</v>
      </c>
      <c r="CY51" t="s">
        <v>125</v>
      </c>
      <c r="CZ51" t="s">
        <v>125</v>
      </c>
      <c r="DA51">
        <v>15.389535</v>
      </c>
      <c r="DB51">
        <v>17.608319000000002</v>
      </c>
      <c r="DC51">
        <v>16.064022999999999</v>
      </c>
      <c r="DD51" t="s">
        <v>125</v>
      </c>
      <c r="DE51" t="s">
        <v>125</v>
      </c>
      <c r="DJ51" t="s">
        <v>125</v>
      </c>
      <c r="DK51" t="s">
        <v>125</v>
      </c>
      <c r="DL51" t="s">
        <v>125</v>
      </c>
      <c r="DM51" t="s">
        <v>125</v>
      </c>
      <c r="DN51" t="s">
        <v>125</v>
      </c>
      <c r="DO51" t="s">
        <v>125</v>
      </c>
      <c r="DQ51" t="s">
        <v>126</v>
      </c>
    </row>
    <row r="52" spans="1:121" x14ac:dyDescent="0.15">
      <c r="A52">
        <v>2018</v>
      </c>
      <c r="B52" t="s">
        <v>174</v>
      </c>
      <c r="C52" t="str">
        <f>"0990011"</f>
        <v>0990011</v>
      </c>
      <c r="D52" t="s">
        <v>123</v>
      </c>
      <c r="E52" t="str">
        <f t="shared" si="0"/>
        <v>0000000</v>
      </c>
      <c r="F52" t="s">
        <v>123</v>
      </c>
      <c r="G52" t="s">
        <v>123</v>
      </c>
      <c r="H52" t="s">
        <v>123</v>
      </c>
      <c r="J52" t="s">
        <v>124</v>
      </c>
      <c r="K52">
        <v>1053.487932</v>
      </c>
      <c r="L52">
        <v>1350</v>
      </c>
      <c r="M52">
        <v>78.036142999999996</v>
      </c>
      <c r="N52" t="s">
        <v>125</v>
      </c>
      <c r="O52">
        <v>1</v>
      </c>
      <c r="P52">
        <v>66.324661000000006</v>
      </c>
      <c r="Q52">
        <v>44.216441000000003</v>
      </c>
      <c r="R52">
        <v>50</v>
      </c>
      <c r="S52">
        <v>58.092680000000001</v>
      </c>
      <c r="T52">
        <v>70.677203000000006</v>
      </c>
      <c r="U52">
        <v>38.728453000000002</v>
      </c>
      <c r="V52">
        <v>50</v>
      </c>
      <c r="W52">
        <v>64.734922999999995</v>
      </c>
      <c r="X52">
        <v>43.156615000000002</v>
      </c>
      <c r="Y52">
        <v>50</v>
      </c>
      <c r="Z52">
        <v>70.128534000000002</v>
      </c>
      <c r="AA52">
        <v>54.470207000000002</v>
      </c>
      <c r="AB52">
        <v>36.313471</v>
      </c>
      <c r="AC52">
        <v>50</v>
      </c>
      <c r="AD52">
        <v>67.990618999999995</v>
      </c>
      <c r="AE52">
        <v>45.327078999999998</v>
      </c>
      <c r="AF52">
        <v>50</v>
      </c>
      <c r="AG52">
        <v>57.150967999999999</v>
      </c>
      <c r="AH52">
        <v>73.331322999999998</v>
      </c>
      <c r="AI52">
        <v>38.100645</v>
      </c>
      <c r="AJ52">
        <v>50</v>
      </c>
      <c r="AK52">
        <v>12.58</v>
      </c>
      <c r="AL52">
        <v>15.65</v>
      </c>
      <c r="AM52">
        <v>16.18</v>
      </c>
      <c r="AN52">
        <v>0.51190100000000005</v>
      </c>
      <c r="AO52">
        <v>51.190106</v>
      </c>
      <c r="AP52">
        <v>100</v>
      </c>
      <c r="AQ52">
        <v>0.62686799999999998</v>
      </c>
      <c r="AR52">
        <v>62.686777999999997</v>
      </c>
      <c r="AS52">
        <v>100</v>
      </c>
      <c r="AT52">
        <v>0.48081000000000002</v>
      </c>
      <c r="AU52">
        <v>0.52804600000000002</v>
      </c>
      <c r="AV52">
        <v>48.081021999999997</v>
      </c>
      <c r="AW52">
        <v>100</v>
      </c>
      <c r="AX52">
        <v>0.57483799999999996</v>
      </c>
      <c r="AY52">
        <v>0.65364999999999995</v>
      </c>
      <c r="AZ52">
        <v>57.483781999999998</v>
      </c>
      <c r="BA52">
        <v>100</v>
      </c>
      <c r="BB52" t="s">
        <v>125</v>
      </c>
      <c r="BC52" t="s">
        <v>125</v>
      </c>
      <c r="BD52" t="s">
        <v>125</v>
      </c>
      <c r="BE52" t="s">
        <v>125</v>
      </c>
      <c r="BF52" t="s">
        <v>125</v>
      </c>
      <c r="BG52" t="s">
        <v>125</v>
      </c>
      <c r="BH52">
        <v>0</v>
      </c>
      <c r="BI52">
        <v>0.98637300000000006</v>
      </c>
      <c r="BJ52">
        <v>0.98507500000000003</v>
      </c>
      <c r="BK52">
        <v>0.98707599999999995</v>
      </c>
      <c r="BL52">
        <v>0.98531000000000002</v>
      </c>
      <c r="BM52">
        <v>0.98203600000000002</v>
      </c>
      <c r="BN52">
        <v>0.98707599999999995</v>
      </c>
      <c r="BO52">
        <v>0.99277099999999996</v>
      </c>
      <c r="BP52">
        <v>0.98571399999999998</v>
      </c>
      <c r="BQ52">
        <v>0.99636400000000003</v>
      </c>
      <c r="BR52">
        <v>5.1582999999999997E-2</v>
      </c>
      <c r="BS52">
        <v>49.68347</v>
      </c>
      <c r="BT52">
        <v>50</v>
      </c>
      <c r="BU52">
        <v>9.7517999999999994E-2</v>
      </c>
      <c r="BV52">
        <v>40.496454</v>
      </c>
      <c r="BW52">
        <v>50</v>
      </c>
      <c r="BX52">
        <v>0.72862499999999997</v>
      </c>
      <c r="BY52">
        <v>48.574969000000003</v>
      </c>
      <c r="BZ52">
        <v>50</v>
      </c>
      <c r="CA52">
        <v>0.423792</v>
      </c>
      <c r="CB52">
        <v>28.252787999999999</v>
      </c>
      <c r="CC52">
        <v>50</v>
      </c>
      <c r="CD52">
        <v>0.94052000000000002</v>
      </c>
      <c r="CE52">
        <v>50</v>
      </c>
      <c r="CF52">
        <v>50</v>
      </c>
      <c r="CG52">
        <v>0.94039700000000004</v>
      </c>
      <c r="CH52">
        <v>100</v>
      </c>
      <c r="CI52">
        <v>100</v>
      </c>
      <c r="CJ52">
        <v>1</v>
      </c>
      <c r="CK52">
        <v>0.82352899999999996</v>
      </c>
      <c r="CL52">
        <v>87.609511999999995</v>
      </c>
      <c r="CM52">
        <v>100</v>
      </c>
      <c r="CN52">
        <v>0.85499999999999998</v>
      </c>
      <c r="CO52">
        <v>100</v>
      </c>
      <c r="CP52">
        <v>100</v>
      </c>
      <c r="CQ52">
        <v>0.59001800000000004</v>
      </c>
      <c r="CR52">
        <v>0.97905799999999998</v>
      </c>
      <c r="CS52">
        <v>39.334522</v>
      </c>
      <c r="CT52">
        <v>50</v>
      </c>
      <c r="CU52">
        <v>0.53102199999999999</v>
      </c>
      <c r="CV52">
        <v>44.251824999999997</v>
      </c>
      <c r="CW52">
        <v>50</v>
      </c>
      <c r="CX52">
        <v>0.82352899999999996</v>
      </c>
      <c r="CY52">
        <v>0.94</v>
      </c>
      <c r="CZ52">
        <v>0.11647100000000001</v>
      </c>
      <c r="DA52">
        <v>15.389535</v>
      </c>
      <c r="DB52">
        <v>17.608319000000002</v>
      </c>
      <c r="DC52">
        <v>16.064022999999999</v>
      </c>
      <c r="DD52">
        <v>11.115401</v>
      </c>
      <c r="DE52" t="s">
        <v>125</v>
      </c>
      <c r="DJ52" t="s">
        <v>125</v>
      </c>
      <c r="DK52" t="s">
        <v>125</v>
      </c>
      <c r="DL52" t="s">
        <v>125</v>
      </c>
      <c r="DM52" t="s">
        <v>125</v>
      </c>
      <c r="DN52" t="s">
        <v>125</v>
      </c>
      <c r="DO52" t="s">
        <v>125</v>
      </c>
      <c r="DQ52" t="s">
        <v>126</v>
      </c>
    </row>
    <row r="53" spans="1:121" x14ac:dyDescent="0.15">
      <c r="A53">
        <v>2018</v>
      </c>
      <c r="B53" t="s">
        <v>175</v>
      </c>
      <c r="C53" t="str">
        <f>"1620011"</f>
        <v>1620011</v>
      </c>
      <c r="D53" t="s">
        <v>123</v>
      </c>
      <c r="E53" t="str">
        <f t="shared" si="0"/>
        <v>0000000</v>
      </c>
      <c r="F53" t="s">
        <v>123</v>
      </c>
      <c r="G53" t="s">
        <v>123</v>
      </c>
      <c r="H53" t="s">
        <v>123</v>
      </c>
      <c r="J53" t="s">
        <v>124</v>
      </c>
      <c r="K53">
        <v>753.58991200000003</v>
      </c>
      <c r="L53">
        <v>950</v>
      </c>
      <c r="M53">
        <v>79.325254000000001</v>
      </c>
      <c r="N53" t="s">
        <v>125</v>
      </c>
      <c r="O53">
        <v>0</v>
      </c>
      <c r="P53">
        <v>67.755000999999993</v>
      </c>
      <c r="Q53">
        <v>45.17</v>
      </c>
      <c r="R53">
        <v>50</v>
      </c>
      <c r="S53">
        <v>64.607811999999996</v>
      </c>
      <c r="T53">
        <v>75</v>
      </c>
      <c r="U53">
        <v>43.071874999999999</v>
      </c>
      <c r="V53">
        <v>50</v>
      </c>
      <c r="W53">
        <v>68.754476999999994</v>
      </c>
      <c r="X53">
        <v>45.836317999999999</v>
      </c>
      <c r="Y53">
        <v>50</v>
      </c>
      <c r="Z53">
        <v>75</v>
      </c>
      <c r="AA53">
        <v>65.431051999999994</v>
      </c>
      <c r="AB53">
        <v>43.620702000000001</v>
      </c>
      <c r="AC53">
        <v>50</v>
      </c>
      <c r="AD53">
        <v>64.633623999999998</v>
      </c>
      <c r="AE53">
        <v>43.089083000000002</v>
      </c>
      <c r="AF53">
        <v>50</v>
      </c>
      <c r="AG53">
        <v>61.363782999999998</v>
      </c>
      <c r="AH53" t="s">
        <v>125</v>
      </c>
      <c r="AI53">
        <v>40.909188999999998</v>
      </c>
      <c r="AJ53">
        <v>50</v>
      </c>
      <c r="AK53">
        <v>10.39</v>
      </c>
      <c r="AL53">
        <v>9.56</v>
      </c>
      <c r="AM53" t="s">
        <v>125</v>
      </c>
      <c r="AN53">
        <v>0.61474899999999999</v>
      </c>
      <c r="AO53">
        <v>61.474896999999999</v>
      </c>
      <c r="AP53">
        <v>100</v>
      </c>
      <c r="AQ53">
        <v>0.75213200000000002</v>
      </c>
      <c r="AR53">
        <v>75.213238000000004</v>
      </c>
      <c r="AS53">
        <v>100</v>
      </c>
      <c r="AT53">
        <v>0.61465499999999995</v>
      </c>
      <c r="AU53">
        <v>0.61499000000000004</v>
      </c>
      <c r="AV53">
        <v>61.465527000000002</v>
      </c>
      <c r="AW53">
        <v>100</v>
      </c>
      <c r="AX53">
        <v>0.732406</v>
      </c>
      <c r="AY53">
        <v>0.80280799999999997</v>
      </c>
      <c r="AZ53">
        <v>73.240632000000005</v>
      </c>
      <c r="BA53">
        <v>100</v>
      </c>
      <c r="BB53">
        <v>0.95587200000000005</v>
      </c>
      <c r="BC53">
        <v>47.793585999999998</v>
      </c>
      <c r="BD53">
        <v>50</v>
      </c>
      <c r="BE53">
        <v>0.71290200000000004</v>
      </c>
      <c r="BF53">
        <v>35.645124000000003</v>
      </c>
      <c r="BG53">
        <v>50</v>
      </c>
      <c r="BH53">
        <v>0</v>
      </c>
      <c r="BI53">
        <v>0.99337699999999995</v>
      </c>
      <c r="BJ53">
        <v>0.99111099999999996</v>
      </c>
      <c r="BK53">
        <v>1</v>
      </c>
      <c r="BL53">
        <v>0.99337699999999995</v>
      </c>
      <c r="BM53">
        <v>0.99111099999999996</v>
      </c>
      <c r="BN53">
        <v>1</v>
      </c>
      <c r="BO53">
        <v>0.98837200000000003</v>
      </c>
      <c r="BP53">
        <v>0.98571399999999998</v>
      </c>
      <c r="BQ53" t="s">
        <v>125</v>
      </c>
      <c r="BR53">
        <v>6.4077999999999996E-2</v>
      </c>
      <c r="BS53">
        <v>47.184466</v>
      </c>
      <c r="BT53">
        <v>50</v>
      </c>
      <c r="BU53">
        <v>8.5106000000000001E-2</v>
      </c>
      <c r="BV53">
        <v>42.978723000000002</v>
      </c>
      <c r="BW53">
        <v>50</v>
      </c>
      <c r="BX53" t="s">
        <v>125</v>
      </c>
      <c r="BY53" t="s">
        <v>125</v>
      </c>
      <c r="BZ53" t="s">
        <v>125</v>
      </c>
      <c r="CA53" t="s">
        <v>125</v>
      </c>
      <c r="CB53" t="s">
        <v>125</v>
      </c>
      <c r="CC53" t="s">
        <v>125</v>
      </c>
      <c r="CD53" t="s">
        <v>125</v>
      </c>
      <c r="CE53" t="s">
        <v>125</v>
      </c>
      <c r="CF53" t="s">
        <v>125</v>
      </c>
      <c r="CG53" t="s">
        <v>125</v>
      </c>
      <c r="CH53" t="s">
        <v>125</v>
      </c>
      <c r="CI53" t="s">
        <v>125</v>
      </c>
      <c r="CJ53" t="s">
        <v>125</v>
      </c>
      <c r="CK53" t="s">
        <v>125</v>
      </c>
      <c r="CL53" t="s">
        <v>125</v>
      </c>
      <c r="CM53" t="s">
        <v>125</v>
      </c>
      <c r="CN53" t="s">
        <v>125</v>
      </c>
      <c r="CO53" t="s">
        <v>125</v>
      </c>
      <c r="CP53" t="s">
        <v>125</v>
      </c>
      <c r="CQ53">
        <v>0.70344799999999996</v>
      </c>
      <c r="CR53">
        <v>0.95394699999999999</v>
      </c>
      <c r="CS53">
        <v>46.896552</v>
      </c>
      <c r="CT53">
        <v>50</v>
      </c>
      <c r="CU53" t="s">
        <v>125</v>
      </c>
      <c r="CV53" t="s">
        <v>125</v>
      </c>
      <c r="CW53" t="s">
        <v>125</v>
      </c>
      <c r="CX53" t="s">
        <v>125</v>
      </c>
      <c r="CY53" t="s">
        <v>125</v>
      </c>
      <c r="CZ53" t="s">
        <v>125</v>
      </c>
      <c r="DA53">
        <v>15.389535</v>
      </c>
      <c r="DB53">
        <v>17.608319000000002</v>
      </c>
      <c r="DC53">
        <v>16.064022999999999</v>
      </c>
      <c r="DD53" t="s">
        <v>125</v>
      </c>
      <c r="DE53" t="s">
        <v>125</v>
      </c>
      <c r="DJ53" t="s">
        <v>125</v>
      </c>
      <c r="DK53" t="s">
        <v>125</v>
      </c>
      <c r="DL53" t="s">
        <v>125</v>
      </c>
      <c r="DM53" t="s">
        <v>125</v>
      </c>
      <c r="DN53" t="s">
        <v>125</v>
      </c>
      <c r="DO53" t="s">
        <v>125</v>
      </c>
      <c r="DQ53" t="s">
        <v>126</v>
      </c>
    </row>
    <row r="54" spans="1:121" x14ac:dyDescent="0.15">
      <c r="A54">
        <v>2018</v>
      </c>
      <c r="B54" t="s">
        <v>176</v>
      </c>
      <c r="C54" t="str">
        <f>"1630011"</f>
        <v>1630011</v>
      </c>
      <c r="D54" t="s">
        <v>123</v>
      </c>
      <c r="E54" t="str">
        <f t="shared" si="0"/>
        <v>0000000</v>
      </c>
      <c r="F54" t="s">
        <v>123</v>
      </c>
      <c r="G54" t="s">
        <v>123</v>
      </c>
      <c r="H54" t="s">
        <v>123</v>
      </c>
      <c r="J54" t="s">
        <v>124</v>
      </c>
      <c r="K54">
        <v>942.74621300000001</v>
      </c>
      <c r="L54">
        <v>1450</v>
      </c>
      <c r="M54">
        <v>65.016980000000004</v>
      </c>
      <c r="N54" t="s">
        <v>125</v>
      </c>
      <c r="O54">
        <v>1</v>
      </c>
      <c r="P54">
        <v>59.497501999999997</v>
      </c>
      <c r="Q54">
        <v>39.665000999999997</v>
      </c>
      <c r="R54">
        <v>50</v>
      </c>
      <c r="S54">
        <v>55.489179999999998</v>
      </c>
      <c r="T54">
        <v>74.540098</v>
      </c>
      <c r="U54">
        <v>36.992786000000002</v>
      </c>
      <c r="V54">
        <v>50</v>
      </c>
      <c r="W54">
        <v>55.263100000000001</v>
      </c>
      <c r="X54">
        <v>36.842066000000003</v>
      </c>
      <c r="Y54">
        <v>50</v>
      </c>
      <c r="Z54">
        <v>70.755536000000006</v>
      </c>
      <c r="AA54">
        <v>51.116075000000002</v>
      </c>
      <c r="AB54">
        <v>34.077382999999998</v>
      </c>
      <c r="AC54">
        <v>50</v>
      </c>
      <c r="AD54">
        <v>57.590204</v>
      </c>
      <c r="AE54">
        <v>38.393469000000003</v>
      </c>
      <c r="AF54">
        <v>50</v>
      </c>
      <c r="AG54">
        <v>53.536723000000002</v>
      </c>
      <c r="AH54">
        <v>71.522166999999996</v>
      </c>
      <c r="AI54">
        <v>35.691147999999998</v>
      </c>
      <c r="AJ54">
        <v>50</v>
      </c>
      <c r="AK54">
        <v>19.05</v>
      </c>
      <c r="AL54">
        <v>19.63</v>
      </c>
      <c r="AM54">
        <v>17.98</v>
      </c>
      <c r="AN54">
        <v>0.55476199999999998</v>
      </c>
      <c r="AO54">
        <v>55.476188999999998</v>
      </c>
      <c r="AP54">
        <v>100</v>
      </c>
      <c r="AQ54">
        <v>0.56925899999999996</v>
      </c>
      <c r="AR54">
        <v>56.925851000000002</v>
      </c>
      <c r="AS54">
        <v>100</v>
      </c>
      <c r="AT54">
        <v>0.527146</v>
      </c>
      <c r="AU54">
        <v>0.65001200000000003</v>
      </c>
      <c r="AV54">
        <v>52.714618000000002</v>
      </c>
      <c r="AW54">
        <v>100</v>
      </c>
      <c r="AX54">
        <v>0.52898000000000001</v>
      </c>
      <c r="AY54">
        <v>0.70782100000000003</v>
      </c>
      <c r="AZ54">
        <v>52.898040000000002</v>
      </c>
      <c r="BA54">
        <v>100</v>
      </c>
      <c r="BB54">
        <v>0.51980400000000004</v>
      </c>
      <c r="BC54">
        <v>25.990223</v>
      </c>
      <c r="BD54">
        <v>50</v>
      </c>
      <c r="BE54">
        <v>0.39960299999999999</v>
      </c>
      <c r="BF54">
        <v>19.980143000000002</v>
      </c>
      <c r="BG54">
        <v>50</v>
      </c>
      <c r="BH54">
        <v>0</v>
      </c>
      <c r="BI54">
        <v>0.98565100000000005</v>
      </c>
      <c r="BJ54">
        <v>0.98342499999999999</v>
      </c>
      <c r="BK54">
        <v>0.99450499999999997</v>
      </c>
      <c r="BL54">
        <v>0.98231999999999997</v>
      </c>
      <c r="BM54">
        <v>0.97925300000000004</v>
      </c>
      <c r="BN54">
        <v>0.99450499999999997</v>
      </c>
      <c r="BO54">
        <v>0.97575800000000001</v>
      </c>
      <c r="BP54">
        <v>0.97297299999999998</v>
      </c>
      <c r="BQ54">
        <v>0.98591499999999999</v>
      </c>
      <c r="BR54">
        <v>0.17874200000000001</v>
      </c>
      <c r="BS54">
        <v>24.251515999999999</v>
      </c>
      <c r="BT54">
        <v>50</v>
      </c>
      <c r="BU54">
        <v>0.20502699999999999</v>
      </c>
      <c r="BV54">
        <v>18.994501</v>
      </c>
      <c r="BW54">
        <v>50</v>
      </c>
      <c r="BX54">
        <v>0.75261299999999998</v>
      </c>
      <c r="BY54">
        <v>50</v>
      </c>
      <c r="BZ54">
        <v>50</v>
      </c>
      <c r="CA54">
        <v>0.13588900000000001</v>
      </c>
      <c r="CB54">
        <v>9.0592330000000008</v>
      </c>
      <c r="CC54">
        <v>50</v>
      </c>
      <c r="CD54">
        <v>0.72389800000000004</v>
      </c>
      <c r="CE54">
        <v>38.505208000000003</v>
      </c>
      <c r="CF54">
        <v>50</v>
      </c>
      <c r="CG54">
        <v>0.85185200000000005</v>
      </c>
      <c r="CH54">
        <v>90.622536999999994</v>
      </c>
      <c r="CI54">
        <v>100</v>
      </c>
      <c r="CJ54">
        <v>0</v>
      </c>
      <c r="CK54">
        <v>0.86324800000000002</v>
      </c>
      <c r="CL54">
        <v>91.834879000000001</v>
      </c>
      <c r="CM54">
        <v>100</v>
      </c>
      <c r="CN54">
        <v>0.39300000000000002</v>
      </c>
      <c r="CO54">
        <v>52.413792999999998</v>
      </c>
      <c r="CP54">
        <v>100</v>
      </c>
      <c r="CQ54">
        <v>0.47126400000000002</v>
      </c>
      <c r="CR54">
        <v>0.94940500000000005</v>
      </c>
      <c r="CS54">
        <v>31.417625000000001</v>
      </c>
      <c r="CT54">
        <v>50</v>
      </c>
      <c r="CU54">
        <v>0.65977699999999995</v>
      </c>
      <c r="CV54">
        <v>50</v>
      </c>
      <c r="CW54">
        <v>50</v>
      </c>
      <c r="CX54">
        <v>0.86324800000000002</v>
      </c>
      <c r="CY54">
        <v>0.94</v>
      </c>
      <c r="CZ54">
        <v>7.6752000000000001E-2</v>
      </c>
      <c r="DA54">
        <v>15.389535</v>
      </c>
      <c r="DB54">
        <v>17.608319000000002</v>
      </c>
      <c r="DC54">
        <v>16.064022999999999</v>
      </c>
      <c r="DD54">
        <v>11.115401</v>
      </c>
      <c r="DE54" t="s">
        <v>125</v>
      </c>
      <c r="DJ54" t="s">
        <v>125</v>
      </c>
      <c r="DK54" t="s">
        <v>125</v>
      </c>
      <c r="DL54" t="s">
        <v>125</v>
      </c>
      <c r="DM54" t="s">
        <v>125</v>
      </c>
      <c r="DN54" t="s">
        <v>125</v>
      </c>
      <c r="DO54" t="s">
        <v>125</v>
      </c>
      <c r="DQ54" t="s">
        <v>126</v>
      </c>
    </row>
    <row r="55" spans="1:121" x14ac:dyDescent="0.15">
      <c r="A55">
        <v>2018</v>
      </c>
      <c r="B55" t="s">
        <v>177</v>
      </c>
      <c r="C55" t="str">
        <f>"1060011"</f>
        <v>1060011</v>
      </c>
      <c r="D55" t="s">
        <v>123</v>
      </c>
      <c r="E55" t="str">
        <f t="shared" si="0"/>
        <v>0000000</v>
      </c>
      <c r="F55" t="s">
        <v>123</v>
      </c>
      <c r="G55" t="s">
        <v>123</v>
      </c>
      <c r="H55" t="s">
        <v>123</v>
      </c>
      <c r="J55" t="s">
        <v>124</v>
      </c>
      <c r="K55">
        <v>1237.6560280000001</v>
      </c>
      <c r="L55">
        <v>1450</v>
      </c>
      <c r="M55">
        <v>85.355587999999997</v>
      </c>
      <c r="N55" t="s">
        <v>125</v>
      </c>
      <c r="O55">
        <v>0</v>
      </c>
      <c r="P55">
        <v>74.363821999999999</v>
      </c>
      <c r="Q55">
        <v>49.575881000000003</v>
      </c>
      <c r="R55">
        <v>50</v>
      </c>
      <c r="S55">
        <v>66.002351000000004</v>
      </c>
      <c r="T55">
        <v>75</v>
      </c>
      <c r="U55">
        <v>44.001567000000001</v>
      </c>
      <c r="V55">
        <v>50</v>
      </c>
      <c r="W55">
        <v>70.930454999999995</v>
      </c>
      <c r="X55">
        <v>47.286969999999997</v>
      </c>
      <c r="Y55">
        <v>50</v>
      </c>
      <c r="Z55">
        <v>75</v>
      </c>
      <c r="AA55">
        <v>61.729478</v>
      </c>
      <c r="AB55">
        <v>41.152985000000001</v>
      </c>
      <c r="AC55">
        <v>50</v>
      </c>
      <c r="AD55">
        <v>70.538134999999997</v>
      </c>
      <c r="AE55">
        <v>47.025423000000004</v>
      </c>
      <c r="AF55">
        <v>50</v>
      </c>
      <c r="AG55">
        <v>60.121375</v>
      </c>
      <c r="AH55">
        <v>75</v>
      </c>
      <c r="AI55">
        <v>40.080916000000002</v>
      </c>
      <c r="AJ55">
        <v>50</v>
      </c>
      <c r="AK55">
        <v>8.99</v>
      </c>
      <c r="AL55">
        <v>13.27</v>
      </c>
      <c r="AM55">
        <v>14.87</v>
      </c>
      <c r="AN55">
        <v>0.78573599999999999</v>
      </c>
      <c r="AO55">
        <v>78.573566</v>
      </c>
      <c r="AP55">
        <v>100</v>
      </c>
      <c r="AQ55">
        <v>0.80858300000000005</v>
      </c>
      <c r="AR55">
        <v>80.858277999999999</v>
      </c>
      <c r="AS55">
        <v>100</v>
      </c>
      <c r="AT55">
        <v>0.764351</v>
      </c>
      <c r="AU55">
        <v>0.798566</v>
      </c>
      <c r="AV55">
        <v>76.435109999999995</v>
      </c>
      <c r="AW55">
        <v>100</v>
      </c>
      <c r="AX55">
        <v>0.77885499999999996</v>
      </c>
      <c r="AY55">
        <v>0.82655299999999998</v>
      </c>
      <c r="AZ55">
        <v>77.885452999999998</v>
      </c>
      <c r="BA55">
        <v>100</v>
      </c>
      <c r="BB55">
        <v>0.65198699999999998</v>
      </c>
      <c r="BC55">
        <v>32.599370999999998</v>
      </c>
      <c r="BD55">
        <v>50</v>
      </c>
      <c r="BE55">
        <v>0.45308500000000002</v>
      </c>
      <c r="BF55">
        <v>22.654253000000001</v>
      </c>
      <c r="BG55">
        <v>50</v>
      </c>
      <c r="BH55">
        <v>1</v>
      </c>
      <c r="BI55">
        <v>0.97586700000000004</v>
      </c>
      <c r="BJ55">
        <v>0.96899199999999996</v>
      </c>
      <c r="BK55">
        <v>0.98024699999999998</v>
      </c>
      <c r="BL55">
        <v>0.97586700000000004</v>
      </c>
      <c r="BM55">
        <v>0.97286799999999996</v>
      </c>
      <c r="BN55">
        <v>0.97777800000000004</v>
      </c>
      <c r="BO55">
        <v>0.93377500000000002</v>
      </c>
      <c r="BP55">
        <v>0.877193</v>
      </c>
      <c r="BQ55">
        <v>0.96808499999999997</v>
      </c>
      <c r="BR55">
        <v>8.0135999999999999E-2</v>
      </c>
      <c r="BS55">
        <v>43.972720000000002</v>
      </c>
      <c r="BT55">
        <v>50</v>
      </c>
      <c r="BU55">
        <v>0.14221200000000001</v>
      </c>
      <c r="BV55">
        <v>31.557562000000001</v>
      </c>
      <c r="BW55">
        <v>50</v>
      </c>
      <c r="BX55">
        <v>0.83263600000000004</v>
      </c>
      <c r="BY55">
        <v>50</v>
      </c>
      <c r="BZ55">
        <v>50</v>
      </c>
      <c r="CA55">
        <v>0.62343099999999996</v>
      </c>
      <c r="CB55">
        <v>41.562063999999999</v>
      </c>
      <c r="CC55">
        <v>50</v>
      </c>
      <c r="CD55">
        <v>0.98429299999999997</v>
      </c>
      <c r="CE55">
        <v>50</v>
      </c>
      <c r="CF55">
        <v>50</v>
      </c>
      <c r="CG55">
        <v>0.96363600000000005</v>
      </c>
      <c r="CH55">
        <v>100</v>
      </c>
      <c r="CI55">
        <v>100</v>
      </c>
      <c r="CJ55">
        <v>0</v>
      </c>
      <c r="CK55">
        <v>0.92307700000000004</v>
      </c>
      <c r="CL55">
        <v>98.199673000000004</v>
      </c>
      <c r="CM55">
        <v>100</v>
      </c>
      <c r="CN55">
        <v>0.85299999999999998</v>
      </c>
      <c r="CO55">
        <v>100</v>
      </c>
      <c r="CP55">
        <v>100</v>
      </c>
      <c r="CQ55">
        <v>0.51351400000000003</v>
      </c>
      <c r="CR55">
        <v>0.94871799999999995</v>
      </c>
      <c r="CS55">
        <v>34.234234000000001</v>
      </c>
      <c r="CT55">
        <v>50</v>
      </c>
      <c r="CU55">
        <v>0.76765399999999995</v>
      </c>
      <c r="CV55">
        <v>50</v>
      </c>
      <c r="CW55">
        <v>50</v>
      </c>
      <c r="CX55">
        <v>0.92307700000000004</v>
      </c>
      <c r="CY55">
        <v>0.94</v>
      </c>
      <c r="CZ55">
        <v>1.6923000000000001E-2</v>
      </c>
      <c r="DA55">
        <v>15.389535</v>
      </c>
      <c r="DB55">
        <v>17.608319000000002</v>
      </c>
      <c r="DC55">
        <v>16.064022999999999</v>
      </c>
      <c r="DD55">
        <v>11.115401</v>
      </c>
      <c r="DE55" t="s">
        <v>125</v>
      </c>
      <c r="DJ55" t="s">
        <v>125</v>
      </c>
      <c r="DK55" t="s">
        <v>125</v>
      </c>
      <c r="DL55" t="s">
        <v>125</v>
      </c>
      <c r="DM55" t="s">
        <v>125</v>
      </c>
      <c r="DN55" t="s">
        <v>125</v>
      </c>
      <c r="DO55" t="s">
        <v>125</v>
      </c>
      <c r="DQ55" t="s">
        <v>126</v>
      </c>
    </row>
    <row r="56" spans="1:121" x14ac:dyDescent="0.15">
      <c r="A56">
        <v>2018</v>
      </c>
      <c r="B56" t="s">
        <v>178</v>
      </c>
      <c r="C56" t="str">
        <f>"2070012"</f>
        <v>2070012</v>
      </c>
      <c r="D56" t="s">
        <v>123</v>
      </c>
      <c r="E56" t="str">
        <f t="shared" si="0"/>
        <v>0000000</v>
      </c>
      <c r="F56" t="s">
        <v>123</v>
      </c>
      <c r="G56" t="s">
        <v>123</v>
      </c>
      <c r="H56" t="s">
        <v>123</v>
      </c>
      <c r="J56" t="s">
        <v>124</v>
      </c>
      <c r="K56">
        <v>1081.7591130000001</v>
      </c>
      <c r="L56">
        <v>1350</v>
      </c>
      <c r="M56">
        <v>80.130305000000007</v>
      </c>
      <c r="N56" t="s">
        <v>125</v>
      </c>
      <c r="O56">
        <v>1</v>
      </c>
      <c r="P56">
        <v>71.333532000000005</v>
      </c>
      <c r="Q56">
        <v>47.555688000000004</v>
      </c>
      <c r="R56">
        <v>50</v>
      </c>
      <c r="S56">
        <v>59.695936000000003</v>
      </c>
      <c r="T56">
        <v>75</v>
      </c>
      <c r="U56">
        <v>39.797291000000001</v>
      </c>
      <c r="V56">
        <v>50</v>
      </c>
      <c r="W56">
        <v>63.769354</v>
      </c>
      <c r="X56">
        <v>42.512901999999997</v>
      </c>
      <c r="Y56">
        <v>50</v>
      </c>
      <c r="Z56">
        <v>69.543695999999997</v>
      </c>
      <c r="AA56">
        <v>48.832417999999997</v>
      </c>
      <c r="AB56">
        <v>32.554944999999996</v>
      </c>
      <c r="AC56">
        <v>50</v>
      </c>
      <c r="AD56">
        <v>67.033449000000005</v>
      </c>
      <c r="AE56">
        <v>44.688966000000001</v>
      </c>
      <c r="AF56">
        <v>50</v>
      </c>
      <c r="AG56">
        <v>58.586072000000001</v>
      </c>
      <c r="AH56">
        <v>70.017156</v>
      </c>
      <c r="AI56">
        <v>39.057380999999999</v>
      </c>
      <c r="AJ56">
        <v>50</v>
      </c>
      <c r="AK56">
        <v>15.3</v>
      </c>
      <c r="AL56">
        <v>20.71</v>
      </c>
      <c r="AM56">
        <v>11.43</v>
      </c>
      <c r="AN56">
        <v>0.65757699999999997</v>
      </c>
      <c r="AO56">
        <v>65.757733000000002</v>
      </c>
      <c r="AP56">
        <v>100</v>
      </c>
      <c r="AQ56">
        <v>0.552728</v>
      </c>
      <c r="AR56">
        <v>55.272759000000001</v>
      </c>
      <c r="AS56">
        <v>100</v>
      </c>
      <c r="AT56">
        <v>0.58753500000000003</v>
      </c>
      <c r="AU56">
        <v>0.68786599999999998</v>
      </c>
      <c r="AV56">
        <v>58.753509999999999</v>
      </c>
      <c r="AW56">
        <v>100</v>
      </c>
      <c r="AX56">
        <v>0.38661899999999999</v>
      </c>
      <c r="AY56">
        <v>0.62404599999999999</v>
      </c>
      <c r="AZ56">
        <v>38.661867000000001</v>
      </c>
      <c r="BA56">
        <v>100</v>
      </c>
      <c r="BB56" t="s">
        <v>125</v>
      </c>
      <c r="BC56" t="s">
        <v>125</v>
      </c>
      <c r="BD56" t="s">
        <v>125</v>
      </c>
      <c r="BE56" t="s">
        <v>125</v>
      </c>
      <c r="BF56" t="s">
        <v>125</v>
      </c>
      <c r="BG56" t="s">
        <v>125</v>
      </c>
      <c r="BH56">
        <v>1</v>
      </c>
      <c r="BI56">
        <v>0.954148</v>
      </c>
      <c r="BJ56">
        <v>0.90977399999999997</v>
      </c>
      <c r="BK56">
        <v>0.97230799999999995</v>
      </c>
      <c r="BL56">
        <v>0.95196499999999995</v>
      </c>
      <c r="BM56">
        <v>0.90977399999999997</v>
      </c>
      <c r="BN56">
        <v>0.96923099999999995</v>
      </c>
      <c r="BO56">
        <v>0.96103899999999998</v>
      </c>
      <c r="BP56">
        <v>0.92771099999999995</v>
      </c>
      <c r="BQ56">
        <v>0.973333</v>
      </c>
      <c r="BR56">
        <v>7.8007999999999994E-2</v>
      </c>
      <c r="BS56">
        <v>44.398496000000002</v>
      </c>
      <c r="BT56">
        <v>50</v>
      </c>
      <c r="BU56">
        <v>0.13355</v>
      </c>
      <c r="BV56">
        <v>33.289901999999998</v>
      </c>
      <c r="BW56">
        <v>50</v>
      </c>
      <c r="BX56">
        <v>0.93297600000000003</v>
      </c>
      <c r="BY56">
        <v>50</v>
      </c>
      <c r="BZ56">
        <v>50</v>
      </c>
      <c r="CA56">
        <v>0.643432</v>
      </c>
      <c r="CB56">
        <v>42.895442000000003</v>
      </c>
      <c r="CC56">
        <v>50</v>
      </c>
      <c r="CD56">
        <v>0.96470599999999995</v>
      </c>
      <c r="CE56">
        <v>50</v>
      </c>
      <c r="CF56">
        <v>50</v>
      </c>
      <c r="CG56">
        <v>0.98181799999999997</v>
      </c>
      <c r="CH56">
        <v>100</v>
      </c>
      <c r="CI56">
        <v>100</v>
      </c>
      <c r="CJ56">
        <v>0</v>
      </c>
      <c r="CK56">
        <v>0.97872300000000001</v>
      </c>
      <c r="CL56">
        <v>100</v>
      </c>
      <c r="CM56">
        <v>100</v>
      </c>
      <c r="CN56">
        <v>0.77</v>
      </c>
      <c r="CO56">
        <v>100</v>
      </c>
      <c r="CP56">
        <v>100</v>
      </c>
      <c r="CQ56">
        <v>0.75792499999999996</v>
      </c>
      <c r="CR56">
        <v>0.96927399999999997</v>
      </c>
      <c r="CS56">
        <v>50</v>
      </c>
      <c r="CT56">
        <v>50</v>
      </c>
      <c r="CU56">
        <v>0.55874699999999999</v>
      </c>
      <c r="CV56">
        <v>46.562227999999998</v>
      </c>
      <c r="CW56">
        <v>50</v>
      </c>
      <c r="CX56">
        <v>0.97872300000000001</v>
      </c>
      <c r="CY56">
        <v>0.94</v>
      </c>
      <c r="CZ56">
        <v>-3.8723E-2</v>
      </c>
      <c r="DA56">
        <v>15.389535</v>
      </c>
      <c r="DB56">
        <v>17.608319000000002</v>
      </c>
      <c r="DC56">
        <v>16.064022999999999</v>
      </c>
      <c r="DD56">
        <v>11.115401</v>
      </c>
      <c r="DE56" t="s">
        <v>125</v>
      </c>
      <c r="DJ56" t="s">
        <v>125</v>
      </c>
      <c r="DK56" t="s">
        <v>125</v>
      </c>
      <c r="DL56" t="s">
        <v>125</v>
      </c>
      <c r="DM56" t="s">
        <v>125</v>
      </c>
      <c r="DN56" t="s">
        <v>125</v>
      </c>
      <c r="DO56" t="s">
        <v>125</v>
      </c>
      <c r="DQ56" t="s">
        <v>126</v>
      </c>
    </row>
    <row r="57" spans="1:121" x14ac:dyDescent="0.15">
      <c r="A57">
        <v>2018</v>
      </c>
      <c r="B57" t="s">
        <v>179</v>
      </c>
      <c r="C57" t="str">
        <f>"2080012"</f>
        <v>2080012</v>
      </c>
      <c r="D57" t="s">
        <v>123</v>
      </c>
      <c r="E57" t="str">
        <f t="shared" si="0"/>
        <v>0000000</v>
      </c>
      <c r="F57" t="s">
        <v>123</v>
      </c>
      <c r="G57" t="s">
        <v>123</v>
      </c>
      <c r="H57" t="s">
        <v>123</v>
      </c>
      <c r="J57" t="s">
        <v>124</v>
      </c>
      <c r="K57">
        <v>1020.108869</v>
      </c>
      <c r="L57">
        <v>1350</v>
      </c>
      <c r="M57">
        <v>75.56362</v>
      </c>
      <c r="N57" t="s">
        <v>125</v>
      </c>
      <c r="O57">
        <v>1</v>
      </c>
      <c r="P57">
        <v>70.710881999999998</v>
      </c>
      <c r="Q57">
        <v>47.140588000000001</v>
      </c>
      <c r="R57">
        <v>50</v>
      </c>
      <c r="S57">
        <v>56.598363999999997</v>
      </c>
      <c r="T57">
        <v>75</v>
      </c>
      <c r="U57">
        <v>37.732241999999999</v>
      </c>
      <c r="V57">
        <v>50</v>
      </c>
      <c r="W57">
        <v>68.296667999999997</v>
      </c>
      <c r="X57">
        <v>45.531112</v>
      </c>
      <c r="Y57">
        <v>50</v>
      </c>
      <c r="Z57">
        <v>73.546772000000004</v>
      </c>
      <c r="AA57">
        <v>52.429685999999997</v>
      </c>
      <c r="AB57">
        <v>34.953124000000003</v>
      </c>
      <c r="AC57">
        <v>50</v>
      </c>
      <c r="AD57">
        <v>69.788781999999998</v>
      </c>
      <c r="AE57">
        <v>46.525855</v>
      </c>
      <c r="AF57">
        <v>50</v>
      </c>
      <c r="AG57">
        <v>57.038103999999997</v>
      </c>
      <c r="AH57">
        <v>73.841052000000005</v>
      </c>
      <c r="AI57">
        <v>38.025402999999997</v>
      </c>
      <c r="AJ57">
        <v>50</v>
      </c>
      <c r="AK57">
        <v>18.399999999999999</v>
      </c>
      <c r="AL57">
        <v>21.11</v>
      </c>
      <c r="AM57">
        <v>16.8</v>
      </c>
      <c r="AN57">
        <v>0.51330500000000001</v>
      </c>
      <c r="AO57">
        <v>51.330506999999997</v>
      </c>
      <c r="AP57">
        <v>100</v>
      </c>
      <c r="AQ57">
        <v>0.545821</v>
      </c>
      <c r="AR57">
        <v>54.582129000000002</v>
      </c>
      <c r="AS57">
        <v>100</v>
      </c>
      <c r="AT57">
        <v>0.39852900000000002</v>
      </c>
      <c r="AU57">
        <v>0.55408500000000005</v>
      </c>
      <c r="AV57">
        <v>39.852871</v>
      </c>
      <c r="AW57">
        <v>100</v>
      </c>
      <c r="AX57">
        <v>0.40310200000000002</v>
      </c>
      <c r="AY57">
        <v>0.59653</v>
      </c>
      <c r="AZ57">
        <v>40.310214999999999</v>
      </c>
      <c r="BA57">
        <v>100</v>
      </c>
      <c r="BB57" t="s">
        <v>125</v>
      </c>
      <c r="BC57" t="s">
        <v>125</v>
      </c>
      <c r="BD57" t="s">
        <v>125</v>
      </c>
      <c r="BE57" t="s">
        <v>125</v>
      </c>
      <c r="BF57" t="s">
        <v>125</v>
      </c>
      <c r="BG57" t="s">
        <v>125</v>
      </c>
      <c r="BH57">
        <v>0</v>
      </c>
      <c r="BI57">
        <v>0.98921800000000004</v>
      </c>
      <c r="BJ57">
        <v>0.98941800000000002</v>
      </c>
      <c r="BK57">
        <v>0.98914999999999997</v>
      </c>
      <c r="BL57">
        <v>0.98921800000000004</v>
      </c>
      <c r="BM57">
        <v>0.98941800000000002</v>
      </c>
      <c r="BN57">
        <v>0.98914999999999997</v>
      </c>
      <c r="BO57">
        <v>0.98377300000000001</v>
      </c>
      <c r="BP57">
        <v>0.97541</v>
      </c>
      <c r="BQ57">
        <v>0.98652300000000004</v>
      </c>
      <c r="BR57">
        <v>7.3640999999999998E-2</v>
      </c>
      <c r="BS57">
        <v>45.271850999999998</v>
      </c>
      <c r="BT57">
        <v>50</v>
      </c>
      <c r="BU57">
        <v>0.20177999999999999</v>
      </c>
      <c r="BV57">
        <v>19.643916999999998</v>
      </c>
      <c r="BW57">
        <v>50</v>
      </c>
      <c r="BX57">
        <v>0.859155</v>
      </c>
      <c r="BY57">
        <v>50</v>
      </c>
      <c r="BZ57">
        <v>50</v>
      </c>
      <c r="CA57">
        <v>0.67001999999999995</v>
      </c>
      <c r="CB57">
        <v>44.668008</v>
      </c>
      <c r="CC57">
        <v>50</v>
      </c>
      <c r="CD57">
        <v>0.95305200000000001</v>
      </c>
      <c r="CE57">
        <v>50</v>
      </c>
      <c r="CF57">
        <v>50</v>
      </c>
      <c r="CG57">
        <v>0.94505499999999998</v>
      </c>
      <c r="CH57">
        <v>100</v>
      </c>
      <c r="CI57">
        <v>100</v>
      </c>
      <c r="CJ57">
        <v>0</v>
      </c>
      <c r="CK57">
        <v>0.89090899999999995</v>
      </c>
      <c r="CL57">
        <v>94.777563000000001</v>
      </c>
      <c r="CM57">
        <v>100</v>
      </c>
      <c r="CN57">
        <v>0.84699999999999998</v>
      </c>
      <c r="CO57">
        <v>100</v>
      </c>
      <c r="CP57">
        <v>100</v>
      </c>
      <c r="CQ57">
        <v>0.67756000000000005</v>
      </c>
      <c r="CR57">
        <v>0.91800000000000004</v>
      </c>
      <c r="CS57">
        <v>45.170661000000003</v>
      </c>
      <c r="CT57">
        <v>50</v>
      </c>
      <c r="CU57">
        <v>0.41511399999999998</v>
      </c>
      <c r="CV57">
        <v>34.592823000000003</v>
      </c>
      <c r="CW57">
        <v>50</v>
      </c>
      <c r="CX57">
        <v>0.89090899999999995</v>
      </c>
      <c r="CY57">
        <v>0.94</v>
      </c>
      <c r="CZ57">
        <v>4.9091000000000003E-2</v>
      </c>
      <c r="DA57">
        <v>15.389535</v>
      </c>
      <c r="DB57">
        <v>17.608319000000002</v>
      </c>
      <c r="DC57">
        <v>16.064022999999999</v>
      </c>
      <c r="DD57">
        <v>11.115401</v>
      </c>
      <c r="DE57" t="s">
        <v>125</v>
      </c>
      <c r="DJ57" t="s">
        <v>125</v>
      </c>
      <c r="DK57" t="s">
        <v>125</v>
      </c>
      <c r="DL57" t="s">
        <v>125</v>
      </c>
      <c r="DM57" t="s">
        <v>125</v>
      </c>
      <c r="DN57" t="s">
        <v>125</v>
      </c>
      <c r="DO57" t="s">
        <v>125</v>
      </c>
      <c r="DQ57" t="s">
        <v>126</v>
      </c>
    </row>
    <row r="58" spans="1:121" x14ac:dyDescent="0.15">
      <c r="A58">
        <v>2018</v>
      </c>
      <c r="B58" t="s">
        <v>180</v>
      </c>
      <c r="C58" t="str">
        <f>"1570011"</f>
        <v>1570011</v>
      </c>
      <c r="D58" t="s">
        <v>123</v>
      </c>
      <c r="E58" t="str">
        <f t="shared" si="0"/>
        <v>0000000</v>
      </c>
      <c r="F58" t="s">
        <v>123</v>
      </c>
      <c r="G58" t="s">
        <v>123</v>
      </c>
      <c r="H58" t="s">
        <v>123</v>
      </c>
      <c r="J58" t="s">
        <v>124</v>
      </c>
      <c r="K58">
        <v>1153.2645</v>
      </c>
      <c r="L58">
        <v>1350</v>
      </c>
      <c r="M58">
        <v>85.427000000000007</v>
      </c>
      <c r="N58" t="s">
        <v>125</v>
      </c>
      <c r="O58">
        <v>1</v>
      </c>
      <c r="P58">
        <v>78.984392999999997</v>
      </c>
      <c r="Q58">
        <v>50</v>
      </c>
      <c r="R58">
        <v>50</v>
      </c>
      <c r="S58">
        <v>62.887067000000002</v>
      </c>
      <c r="T58">
        <v>75</v>
      </c>
      <c r="U58">
        <v>41.924711000000002</v>
      </c>
      <c r="V58">
        <v>50</v>
      </c>
      <c r="W58">
        <v>76.472148000000004</v>
      </c>
      <c r="X58">
        <v>50</v>
      </c>
      <c r="Y58">
        <v>50</v>
      </c>
      <c r="Z58">
        <v>75</v>
      </c>
      <c r="AA58">
        <v>59.941988000000002</v>
      </c>
      <c r="AB58">
        <v>39.961325000000002</v>
      </c>
      <c r="AC58">
        <v>50</v>
      </c>
      <c r="AD58">
        <v>80.385846999999998</v>
      </c>
      <c r="AE58">
        <v>50</v>
      </c>
      <c r="AF58">
        <v>50</v>
      </c>
      <c r="AG58">
        <v>58.142946000000002</v>
      </c>
      <c r="AH58">
        <v>75</v>
      </c>
      <c r="AI58">
        <v>38.761963999999999</v>
      </c>
      <c r="AJ58">
        <v>50</v>
      </c>
      <c r="AK58">
        <v>12.11</v>
      </c>
      <c r="AL58">
        <v>15.05</v>
      </c>
      <c r="AM58">
        <v>16.850000000000001</v>
      </c>
      <c r="AN58">
        <v>0.64650799999999997</v>
      </c>
      <c r="AO58">
        <v>64.650782000000007</v>
      </c>
      <c r="AP58">
        <v>100</v>
      </c>
      <c r="AQ58">
        <v>0.75123200000000001</v>
      </c>
      <c r="AR58">
        <v>75.123243000000002</v>
      </c>
      <c r="AS58">
        <v>100</v>
      </c>
      <c r="AT58">
        <v>0.52603299999999997</v>
      </c>
      <c r="AU58">
        <v>0.66233900000000001</v>
      </c>
      <c r="AV58">
        <v>52.603347999999997</v>
      </c>
      <c r="AW58">
        <v>100</v>
      </c>
      <c r="AX58">
        <v>0.64174799999999999</v>
      </c>
      <c r="AY58">
        <v>0.76571400000000001</v>
      </c>
      <c r="AZ58">
        <v>64.174814999999995</v>
      </c>
      <c r="BA58">
        <v>100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>
        <v>0</v>
      </c>
      <c r="BI58">
        <v>0.98904499999999995</v>
      </c>
      <c r="BJ58">
        <v>0.96571399999999996</v>
      </c>
      <c r="BK58">
        <v>0.99274700000000005</v>
      </c>
      <c r="BL58">
        <v>0.98591499999999999</v>
      </c>
      <c r="BM58">
        <v>0.96571399999999996</v>
      </c>
      <c r="BN58">
        <v>0.98912100000000003</v>
      </c>
      <c r="BO58">
        <v>0.989286</v>
      </c>
      <c r="BP58">
        <v>0.97101400000000004</v>
      </c>
      <c r="BQ58">
        <v>0.99185299999999998</v>
      </c>
      <c r="BR58">
        <v>7.5347999999999998E-2</v>
      </c>
      <c r="BS58">
        <v>44.930314000000003</v>
      </c>
      <c r="BT58">
        <v>50</v>
      </c>
      <c r="BU58">
        <v>0.12956799999999999</v>
      </c>
      <c r="BV58">
        <v>34.086379000000001</v>
      </c>
      <c r="BW58">
        <v>50</v>
      </c>
      <c r="BX58">
        <v>0.98746900000000004</v>
      </c>
      <c r="BY58">
        <v>50</v>
      </c>
      <c r="BZ58">
        <v>50</v>
      </c>
      <c r="CA58">
        <v>0.84962400000000005</v>
      </c>
      <c r="CB58">
        <v>50</v>
      </c>
      <c r="CC58">
        <v>50</v>
      </c>
      <c r="CD58">
        <v>0.98746900000000004</v>
      </c>
      <c r="CE58">
        <v>50</v>
      </c>
      <c r="CF58">
        <v>50</v>
      </c>
      <c r="CG58">
        <v>0.98048800000000003</v>
      </c>
      <c r="CH58">
        <v>100</v>
      </c>
      <c r="CI58">
        <v>100</v>
      </c>
      <c r="CJ58">
        <v>0</v>
      </c>
      <c r="CK58">
        <v>0.96666700000000005</v>
      </c>
      <c r="CL58">
        <v>100</v>
      </c>
      <c r="CM58">
        <v>100</v>
      </c>
      <c r="CN58">
        <v>0.93100000000000005</v>
      </c>
      <c r="CO58">
        <v>100</v>
      </c>
      <c r="CP58">
        <v>100</v>
      </c>
      <c r="CQ58">
        <v>0.70571399999999995</v>
      </c>
      <c r="CR58">
        <v>0.93333299999999997</v>
      </c>
      <c r="CS58">
        <v>47.047618999999997</v>
      </c>
      <c r="CT58">
        <v>50</v>
      </c>
      <c r="CU58">
        <v>0.697044</v>
      </c>
      <c r="CV58">
        <v>50</v>
      </c>
      <c r="CW58">
        <v>50</v>
      </c>
      <c r="CX58">
        <v>0.96666700000000005</v>
      </c>
      <c r="CY58">
        <v>0.94</v>
      </c>
      <c r="CZ58">
        <v>-2.6667E-2</v>
      </c>
      <c r="DA58">
        <v>15.389535</v>
      </c>
      <c r="DB58">
        <v>17.608319000000002</v>
      </c>
      <c r="DC58">
        <v>16.064022999999999</v>
      </c>
      <c r="DD58">
        <v>11.115401</v>
      </c>
      <c r="DE58" t="s">
        <v>125</v>
      </c>
      <c r="DJ58" t="s">
        <v>125</v>
      </c>
      <c r="DK58" t="s">
        <v>125</v>
      </c>
      <c r="DL58" t="s">
        <v>125</v>
      </c>
      <c r="DM58" t="s">
        <v>125</v>
      </c>
      <c r="DN58" t="s">
        <v>125</v>
      </c>
      <c r="DO58" t="s">
        <v>125</v>
      </c>
      <c r="DQ58" t="s">
        <v>126</v>
      </c>
    </row>
    <row r="59" spans="1:121" x14ac:dyDescent="0.15">
      <c r="A59">
        <v>2018</v>
      </c>
      <c r="B59" t="s">
        <v>181</v>
      </c>
      <c r="C59" t="str">
        <f>"0110011"</f>
        <v>0110011</v>
      </c>
      <c r="D59" t="s">
        <v>123</v>
      </c>
      <c r="E59" t="str">
        <f t="shared" si="0"/>
        <v>0000000</v>
      </c>
      <c r="F59" t="s">
        <v>123</v>
      </c>
      <c r="G59" t="s">
        <v>123</v>
      </c>
      <c r="H59" t="s">
        <v>123</v>
      </c>
      <c r="J59" t="s">
        <v>124</v>
      </c>
      <c r="K59">
        <v>1042.9155840000001</v>
      </c>
      <c r="L59">
        <v>1450</v>
      </c>
      <c r="M59">
        <v>71.925212999999999</v>
      </c>
      <c r="N59" t="s">
        <v>125</v>
      </c>
      <c r="O59">
        <v>0</v>
      </c>
      <c r="P59">
        <v>59.491793000000001</v>
      </c>
      <c r="Q59">
        <v>39.661194999999999</v>
      </c>
      <c r="R59">
        <v>50</v>
      </c>
      <c r="S59">
        <v>56.522544000000003</v>
      </c>
      <c r="T59">
        <v>65.402628000000007</v>
      </c>
      <c r="U59">
        <v>37.681696000000002</v>
      </c>
      <c r="V59">
        <v>50</v>
      </c>
      <c r="W59">
        <v>54.089044999999999</v>
      </c>
      <c r="X59">
        <v>36.059362999999998</v>
      </c>
      <c r="Y59">
        <v>50</v>
      </c>
      <c r="Z59">
        <v>59.996017999999999</v>
      </c>
      <c r="AA59">
        <v>51.117099000000003</v>
      </c>
      <c r="AB59">
        <v>34.078066</v>
      </c>
      <c r="AC59">
        <v>50</v>
      </c>
      <c r="AD59">
        <v>54.565809000000002</v>
      </c>
      <c r="AE59">
        <v>36.377206000000001</v>
      </c>
      <c r="AF59">
        <v>50</v>
      </c>
      <c r="AG59">
        <v>52.145288000000001</v>
      </c>
      <c r="AH59">
        <v>58.324382999999997</v>
      </c>
      <c r="AI59">
        <v>34.763525000000001</v>
      </c>
      <c r="AJ59">
        <v>50</v>
      </c>
      <c r="AK59">
        <v>8.8800000000000008</v>
      </c>
      <c r="AL59">
        <v>8.8699999999999992</v>
      </c>
      <c r="AM59">
        <v>6.17</v>
      </c>
      <c r="AN59">
        <v>0.55296999999999996</v>
      </c>
      <c r="AO59">
        <v>55.297027999999997</v>
      </c>
      <c r="AP59">
        <v>100</v>
      </c>
      <c r="AQ59">
        <v>0.55446200000000001</v>
      </c>
      <c r="AR59">
        <v>55.446179999999998</v>
      </c>
      <c r="AS59">
        <v>100</v>
      </c>
      <c r="AT59">
        <v>0.55244199999999999</v>
      </c>
      <c r="AU59">
        <v>0.55415199999999998</v>
      </c>
      <c r="AV59">
        <v>55.244219999999999</v>
      </c>
      <c r="AW59">
        <v>100</v>
      </c>
      <c r="AX59">
        <v>0.55394100000000002</v>
      </c>
      <c r="AY59">
        <v>0.55562199999999995</v>
      </c>
      <c r="AZ59">
        <v>55.394105000000003</v>
      </c>
      <c r="BA59">
        <v>100</v>
      </c>
      <c r="BB59">
        <v>0.59444300000000005</v>
      </c>
      <c r="BC59">
        <v>29.722131000000001</v>
      </c>
      <c r="BD59">
        <v>50</v>
      </c>
      <c r="BE59">
        <v>0.62991699999999995</v>
      </c>
      <c r="BF59">
        <v>31.495832</v>
      </c>
      <c r="BG59">
        <v>50</v>
      </c>
      <c r="BH59">
        <v>0</v>
      </c>
      <c r="BI59">
        <v>0.99115900000000001</v>
      </c>
      <c r="BJ59">
        <v>0.99114999999999998</v>
      </c>
      <c r="BK59">
        <v>0.99117599999999995</v>
      </c>
      <c r="BL59">
        <v>0.99017699999999997</v>
      </c>
      <c r="BM59">
        <v>0.989676</v>
      </c>
      <c r="BN59">
        <v>0.99117599999999995</v>
      </c>
      <c r="BO59">
        <v>0.98160899999999995</v>
      </c>
      <c r="BP59">
        <v>0.98134299999999997</v>
      </c>
      <c r="BQ59">
        <v>0.98203600000000002</v>
      </c>
      <c r="BR59">
        <v>8.0644999999999994E-2</v>
      </c>
      <c r="BS59">
        <v>43.870967999999998</v>
      </c>
      <c r="BT59">
        <v>50</v>
      </c>
      <c r="BU59">
        <v>0.102424</v>
      </c>
      <c r="BV59">
        <v>39.515245999999998</v>
      </c>
      <c r="BW59">
        <v>50</v>
      </c>
      <c r="BX59">
        <v>0.64723900000000001</v>
      </c>
      <c r="BY59">
        <v>43.149284000000002</v>
      </c>
      <c r="BZ59">
        <v>50</v>
      </c>
      <c r="CA59">
        <v>0.19018399999999999</v>
      </c>
      <c r="CB59">
        <v>12.678936999999999</v>
      </c>
      <c r="CC59">
        <v>50</v>
      </c>
      <c r="CD59">
        <v>0.83793099999999998</v>
      </c>
      <c r="CE59">
        <v>44.570799999999998</v>
      </c>
      <c r="CF59">
        <v>50</v>
      </c>
      <c r="CG59">
        <v>0.875</v>
      </c>
      <c r="CH59">
        <v>93.085105999999996</v>
      </c>
      <c r="CI59">
        <v>100</v>
      </c>
      <c r="CJ59">
        <v>0</v>
      </c>
      <c r="CK59">
        <v>0.88541700000000001</v>
      </c>
      <c r="CL59">
        <v>94.193262000000004</v>
      </c>
      <c r="CM59">
        <v>100</v>
      </c>
      <c r="CN59">
        <v>0.69899999999999995</v>
      </c>
      <c r="CO59">
        <v>93.162392999999994</v>
      </c>
      <c r="CP59">
        <v>100</v>
      </c>
      <c r="CQ59">
        <v>0.56972800000000001</v>
      </c>
      <c r="CR59">
        <v>0.96078399999999997</v>
      </c>
      <c r="CS59">
        <v>37.981859</v>
      </c>
      <c r="CT59">
        <v>50</v>
      </c>
      <c r="CU59">
        <v>0.47384599999999999</v>
      </c>
      <c r="CV59">
        <v>39.487178999999998</v>
      </c>
      <c r="CW59">
        <v>50</v>
      </c>
      <c r="CX59">
        <v>0.88541700000000001</v>
      </c>
      <c r="CY59">
        <v>0.94</v>
      </c>
      <c r="CZ59">
        <v>5.4583E-2</v>
      </c>
      <c r="DA59">
        <v>15.389535</v>
      </c>
      <c r="DB59">
        <v>17.608319000000002</v>
      </c>
      <c r="DC59">
        <v>16.064022999999999</v>
      </c>
      <c r="DD59">
        <v>11.115401</v>
      </c>
      <c r="DE59" t="s">
        <v>125</v>
      </c>
      <c r="DJ59" t="s">
        <v>125</v>
      </c>
      <c r="DK59" t="s">
        <v>125</v>
      </c>
      <c r="DL59" t="s">
        <v>125</v>
      </c>
      <c r="DM59" t="s">
        <v>125</v>
      </c>
      <c r="DN59" t="s">
        <v>125</v>
      </c>
      <c r="DO59" t="s">
        <v>125</v>
      </c>
      <c r="DQ59" t="s">
        <v>126</v>
      </c>
    </row>
    <row r="60" spans="1:121" x14ac:dyDescent="0.15">
      <c r="A60">
        <v>2018</v>
      </c>
      <c r="B60" t="s">
        <v>182</v>
      </c>
      <c r="C60" t="str">
        <f>"0590011"</f>
        <v>0590011</v>
      </c>
      <c r="D60" t="s">
        <v>123</v>
      </c>
      <c r="E60" t="str">
        <f t="shared" si="0"/>
        <v>0000000</v>
      </c>
      <c r="F60" t="s">
        <v>123</v>
      </c>
      <c r="G60" t="s">
        <v>123</v>
      </c>
      <c r="H60" t="s">
        <v>123</v>
      </c>
      <c r="J60" t="s">
        <v>124</v>
      </c>
      <c r="K60">
        <v>1116.2566650000001</v>
      </c>
      <c r="L60">
        <v>1450</v>
      </c>
      <c r="M60">
        <v>76.983217999999994</v>
      </c>
      <c r="N60" t="s">
        <v>125</v>
      </c>
      <c r="O60">
        <v>0</v>
      </c>
      <c r="P60">
        <v>68.867272</v>
      </c>
      <c r="Q60">
        <v>45.911513999999997</v>
      </c>
      <c r="R60">
        <v>50</v>
      </c>
      <c r="S60">
        <v>61.706124000000003</v>
      </c>
      <c r="T60">
        <v>75</v>
      </c>
      <c r="U60">
        <v>41.137416000000002</v>
      </c>
      <c r="V60">
        <v>50</v>
      </c>
      <c r="W60">
        <v>63.761491999999997</v>
      </c>
      <c r="X60">
        <v>42.507660999999999</v>
      </c>
      <c r="Y60">
        <v>50</v>
      </c>
      <c r="Z60">
        <v>72.197205999999994</v>
      </c>
      <c r="AA60">
        <v>57.059949000000003</v>
      </c>
      <c r="AB60">
        <v>38.039966</v>
      </c>
      <c r="AC60">
        <v>50</v>
      </c>
      <c r="AD60">
        <v>65.436972999999995</v>
      </c>
      <c r="AE60">
        <v>43.624648000000001</v>
      </c>
      <c r="AF60">
        <v>50</v>
      </c>
      <c r="AG60">
        <v>58.847124000000001</v>
      </c>
      <c r="AH60">
        <v>73.229872999999998</v>
      </c>
      <c r="AI60">
        <v>39.231416000000003</v>
      </c>
      <c r="AJ60">
        <v>50</v>
      </c>
      <c r="AK60">
        <v>13.29</v>
      </c>
      <c r="AL60">
        <v>15.13</v>
      </c>
      <c r="AM60">
        <v>14.38</v>
      </c>
      <c r="AN60">
        <v>0.61266299999999996</v>
      </c>
      <c r="AO60">
        <v>61.266292</v>
      </c>
      <c r="AP60">
        <v>100</v>
      </c>
      <c r="AQ60">
        <v>0.69504900000000003</v>
      </c>
      <c r="AR60">
        <v>69.504942</v>
      </c>
      <c r="AS60">
        <v>100</v>
      </c>
      <c r="AT60">
        <v>0.59054899999999999</v>
      </c>
      <c r="AU60">
        <v>0.64027100000000003</v>
      </c>
      <c r="AV60">
        <v>59.054926999999999</v>
      </c>
      <c r="AW60">
        <v>100</v>
      </c>
      <c r="AX60">
        <v>0.68460600000000005</v>
      </c>
      <c r="AY60">
        <v>0.70807600000000004</v>
      </c>
      <c r="AZ60">
        <v>68.460583999999997</v>
      </c>
      <c r="BA60">
        <v>100</v>
      </c>
      <c r="BB60">
        <v>0.70091700000000001</v>
      </c>
      <c r="BC60">
        <v>35.045859</v>
      </c>
      <c r="BD60">
        <v>50</v>
      </c>
      <c r="BE60">
        <v>0.67144700000000002</v>
      </c>
      <c r="BF60">
        <v>33.57235</v>
      </c>
      <c r="BG60">
        <v>50</v>
      </c>
      <c r="BH60">
        <v>0</v>
      </c>
      <c r="BI60">
        <v>0.99035799999999996</v>
      </c>
      <c r="BJ60">
        <v>0.98714900000000005</v>
      </c>
      <c r="BK60">
        <v>0.994641</v>
      </c>
      <c r="BL60">
        <v>0.98895999999999995</v>
      </c>
      <c r="BM60">
        <v>0.98470199999999997</v>
      </c>
      <c r="BN60">
        <v>0.99463500000000005</v>
      </c>
      <c r="BO60">
        <v>0.97429900000000003</v>
      </c>
      <c r="BP60">
        <v>0.96443500000000004</v>
      </c>
      <c r="BQ60">
        <v>0.98677199999999998</v>
      </c>
      <c r="BR60">
        <v>0.122352</v>
      </c>
      <c r="BS60">
        <v>35.529528999999997</v>
      </c>
      <c r="BT60">
        <v>50</v>
      </c>
      <c r="BU60">
        <v>0.16427</v>
      </c>
      <c r="BV60">
        <v>27.145969000000001</v>
      </c>
      <c r="BW60">
        <v>50</v>
      </c>
      <c r="BX60">
        <v>0.74904199999999999</v>
      </c>
      <c r="BY60">
        <v>49.936143000000001</v>
      </c>
      <c r="BZ60">
        <v>50</v>
      </c>
      <c r="CA60">
        <v>0.40612999999999999</v>
      </c>
      <c r="CB60">
        <v>27.075351000000001</v>
      </c>
      <c r="CC60">
        <v>50</v>
      </c>
      <c r="CD60">
        <v>0.94802900000000001</v>
      </c>
      <c r="CE60">
        <v>50</v>
      </c>
      <c r="CF60">
        <v>50</v>
      </c>
      <c r="CG60">
        <v>0.83695699999999995</v>
      </c>
      <c r="CH60">
        <v>89.037927999999994</v>
      </c>
      <c r="CI60">
        <v>100</v>
      </c>
      <c r="CJ60">
        <v>0</v>
      </c>
      <c r="CK60">
        <v>0.83561600000000003</v>
      </c>
      <c r="CL60">
        <v>88.895365999999996</v>
      </c>
      <c r="CM60">
        <v>100</v>
      </c>
      <c r="CN60">
        <v>0.65200000000000002</v>
      </c>
      <c r="CO60">
        <v>86.981402000000003</v>
      </c>
      <c r="CP60">
        <v>100</v>
      </c>
      <c r="CQ60">
        <v>0.51446099999999995</v>
      </c>
      <c r="CR60">
        <v>0.94219699999999995</v>
      </c>
      <c r="CS60">
        <v>34.297400000000003</v>
      </c>
      <c r="CT60">
        <v>50</v>
      </c>
      <c r="CU60">
        <v>0.60076799999999997</v>
      </c>
      <c r="CV60">
        <v>50</v>
      </c>
      <c r="CW60">
        <v>50</v>
      </c>
      <c r="CX60">
        <v>0.83561600000000003</v>
      </c>
      <c r="CY60">
        <v>0.94</v>
      </c>
      <c r="CZ60">
        <v>0.104384</v>
      </c>
      <c r="DA60">
        <v>15.389535</v>
      </c>
      <c r="DB60">
        <v>17.608319000000002</v>
      </c>
      <c r="DC60">
        <v>16.064022999999999</v>
      </c>
      <c r="DD60">
        <v>11.115401</v>
      </c>
      <c r="DE60" t="s">
        <v>125</v>
      </c>
      <c r="DJ60" t="s">
        <v>125</v>
      </c>
      <c r="DK60" t="s">
        <v>125</v>
      </c>
      <c r="DL60" t="s">
        <v>125</v>
      </c>
      <c r="DM60" t="s">
        <v>125</v>
      </c>
      <c r="DN60" t="s">
        <v>125</v>
      </c>
      <c r="DO60" t="s">
        <v>125</v>
      </c>
      <c r="DQ60" t="s">
        <v>126</v>
      </c>
    </row>
    <row r="61" spans="1:121" x14ac:dyDescent="0.15">
      <c r="A61">
        <v>2018</v>
      </c>
      <c r="B61" t="s">
        <v>183</v>
      </c>
      <c r="C61" t="str">
        <f>"0790011"</f>
        <v>0790011</v>
      </c>
      <c r="D61" t="s">
        <v>123</v>
      </c>
      <c r="E61" t="str">
        <f t="shared" si="0"/>
        <v>0000000</v>
      </c>
      <c r="F61" t="s">
        <v>123</v>
      </c>
      <c r="G61" t="s">
        <v>123</v>
      </c>
      <c r="H61" t="s">
        <v>123</v>
      </c>
      <c r="J61" t="s">
        <v>124</v>
      </c>
      <c r="K61">
        <v>623.10528499999998</v>
      </c>
      <c r="L61">
        <v>800</v>
      </c>
      <c r="M61">
        <v>77.888160999999997</v>
      </c>
      <c r="N61" t="s">
        <v>125</v>
      </c>
      <c r="O61">
        <v>0</v>
      </c>
      <c r="P61">
        <v>75.383343999999994</v>
      </c>
      <c r="Q61">
        <v>50</v>
      </c>
      <c r="R61">
        <v>50</v>
      </c>
      <c r="S61">
        <v>66.819124000000002</v>
      </c>
      <c r="T61">
        <v>75</v>
      </c>
      <c r="U61">
        <v>44.546083000000003</v>
      </c>
      <c r="V61">
        <v>50</v>
      </c>
      <c r="W61">
        <v>73.686048999999997</v>
      </c>
      <c r="X61">
        <v>49.124032999999997</v>
      </c>
      <c r="Y61">
        <v>50</v>
      </c>
      <c r="Z61">
        <v>75</v>
      </c>
      <c r="AA61">
        <v>63.096532000000003</v>
      </c>
      <c r="AB61">
        <v>42.064354999999999</v>
      </c>
      <c r="AC61">
        <v>50</v>
      </c>
      <c r="AD61">
        <v>84.285281999999995</v>
      </c>
      <c r="AE61">
        <v>50</v>
      </c>
      <c r="AF61">
        <v>50</v>
      </c>
      <c r="AG61" t="s">
        <v>125</v>
      </c>
      <c r="AH61">
        <v>75</v>
      </c>
      <c r="AI61" t="s">
        <v>125</v>
      </c>
      <c r="AJ61" t="s">
        <v>125</v>
      </c>
      <c r="AK61">
        <v>8.18</v>
      </c>
      <c r="AL61">
        <v>11.9</v>
      </c>
      <c r="AM61" t="s">
        <v>125</v>
      </c>
      <c r="AN61">
        <v>0.64568499999999995</v>
      </c>
      <c r="AO61">
        <v>64.568483000000001</v>
      </c>
      <c r="AP61">
        <v>100</v>
      </c>
      <c r="AQ61">
        <v>0.82001400000000002</v>
      </c>
      <c r="AR61">
        <v>82.001407</v>
      </c>
      <c r="AS61">
        <v>100</v>
      </c>
      <c r="AT61">
        <v>0.55845299999999998</v>
      </c>
      <c r="AU61">
        <v>0.67457299999999998</v>
      </c>
      <c r="AV61">
        <v>55.845291000000003</v>
      </c>
      <c r="AW61">
        <v>100</v>
      </c>
      <c r="AX61">
        <v>0.67462599999999995</v>
      </c>
      <c r="AY61">
        <v>0.86816199999999999</v>
      </c>
      <c r="AZ61">
        <v>67.462585000000004</v>
      </c>
      <c r="BA61">
        <v>100</v>
      </c>
      <c r="BB61" t="s">
        <v>125</v>
      </c>
      <c r="BC61" t="s">
        <v>125</v>
      </c>
      <c r="BD61" t="s">
        <v>125</v>
      </c>
      <c r="BE61" t="s">
        <v>125</v>
      </c>
      <c r="BF61" t="s">
        <v>125</v>
      </c>
      <c r="BG61" t="s">
        <v>125</v>
      </c>
      <c r="BH61">
        <v>0</v>
      </c>
      <c r="BI61">
        <v>0.99641599999999997</v>
      </c>
      <c r="BJ61">
        <v>0.98717900000000003</v>
      </c>
      <c r="BK61">
        <v>1</v>
      </c>
      <c r="BL61">
        <v>0.99642900000000001</v>
      </c>
      <c r="BM61">
        <v>0.98734200000000005</v>
      </c>
      <c r="BN61">
        <v>1</v>
      </c>
      <c r="BO61">
        <v>1</v>
      </c>
      <c r="BP61" t="s">
        <v>125</v>
      </c>
      <c r="BQ61">
        <v>1</v>
      </c>
      <c r="BR61">
        <v>0.103926</v>
      </c>
      <c r="BS61">
        <v>39.214781000000002</v>
      </c>
      <c r="BT61">
        <v>50</v>
      </c>
      <c r="BU61">
        <v>0.154472</v>
      </c>
      <c r="BV61">
        <v>29.105691</v>
      </c>
      <c r="BW61">
        <v>50</v>
      </c>
      <c r="BX61" t="s">
        <v>125</v>
      </c>
      <c r="BY61" t="s">
        <v>125</v>
      </c>
      <c r="BZ61" t="s">
        <v>125</v>
      </c>
      <c r="CA61" t="s">
        <v>125</v>
      </c>
      <c r="CB61" t="s">
        <v>125</v>
      </c>
      <c r="CC61" t="s">
        <v>125</v>
      </c>
      <c r="CD61" t="s">
        <v>125</v>
      </c>
      <c r="CE61" t="s">
        <v>125</v>
      </c>
      <c r="CF61" t="s">
        <v>125</v>
      </c>
      <c r="CG61" t="s">
        <v>125</v>
      </c>
      <c r="CH61" t="s">
        <v>125</v>
      </c>
      <c r="CI61" t="s">
        <v>125</v>
      </c>
      <c r="CJ61" t="s">
        <v>125</v>
      </c>
      <c r="CK61" t="s">
        <v>125</v>
      </c>
      <c r="CL61" t="s">
        <v>125</v>
      </c>
      <c r="CM61" t="s">
        <v>125</v>
      </c>
      <c r="CN61" t="s">
        <v>125</v>
      </c>
      <c r="CO61" t="s">
        <v>125</v>
      </c>
      <c r="CP61" t="s">
        <v>125</v>
      </c>
      <c r="CQ61">
        <v>0.73758900000000005</v>
      </c>
      <c r="CR61">
        <v>0.95270299999999997</v>
      </c>
      <c r="CS61">
        <v>49.172576999999997</v>
      </c>
      <c r="CT61">
        <v>50</v>
      </c>
      <c r="CU61" t="s">
        <v>125</v>
      </c>
      <c r="CV61" t="s">
        <v>125</v>
      </c>
      <c r="CW61" t="s">
        <v>125</v>
      </c>
      <c r="CX61" t="s">
        <v>125</v>
      </c>
      <c r="CY61" t="s">
        <v>125</v>
      </c>
      <c r="CZ61" t="s">
        <v>125</v>
      </c>
      <c r="DA61">
        <v>15.389535</v>
      </c>
      <c r="DB61">
        <v>17.608319000000002</v>
      </c>
      <c r="DC61">
        <v>16.064022999999999</v>
      </c>
      <c r="DD61" t="s">
        <v>125</v>
      </c>
      <c r="DE61" t="s">
        <v>125</v>
      </c>
      <c r="DJ61" t="s">
        <v>125</v>
      </c>
      <c r="DK61" t="s">
        <v>125</v>
      </c>
      <c r="DL61" t="s">
        <v>125</v>
      </c>
      <c r="DM61" t="s">
        <v>125</v>
      </c>
      <c r="DN61" t="s">
        <v>125</v>
      </c>
      <c r="DO61" t="s">
        <v>125</v>
      </c>
      <c r="DQ61" t="s">
        <v>126</v>
      </c>
    </row>
    <row r="62" spans="1:121" x14ac:dyDescent="0.15">
      <c r="A62">
        <v>2018</v>
      </c>
      <c r="B62" t="s">
        <v>184</v>
      </c>
      <c r="C62" t="str">
        <f>"0800011"</f>
        <v>0800011</v>
      </c>
      <c r="D62" t="s">
        <v>123</v>
      </c>
      <c r="E62" t="str">
        <f t="shared" si="0"/>
        <v>0000000</v>
      </c>
      <c r="F62" t="s">
        <v>123</v>
      </c>
      <c r="G62" t="s">
        <v>123</v>
      </c>
      <c r="H62" t="s">
        <v>123</v>
      </c>
      <c r="J62" t="s">
        <v>124</v>
      </c>
      <c r="K62">
        <v>1006.903426</v>
      </c>
      <c r="L62">
        <v>1450</v>
      </c>
      <c r="M62">
        <v>69.441615999999996</v>
      </c>
      <c r="N62" t="s">
        <v>125</v>
      </c>
      <c r="O62">
        <v>0</v>
      </c>
      <c r="P62">
        <v>63.083823000000002</v>
      </c>
      <c r="Q62">
        <v>42.055881999999997</v>
      </c>
      <c r="R62">
        <v>50</v>
      </c>
      <c r="S62">
        <v>60.612499999999997</v>
      </c>
      <c r="T62">
        <v>73.932055000000005</v>
      </c>
      <c r="U62">
        <v>40.408332999999999</v>
      </c>
      <c r="V62">
        <v>50</v>
      </c>
      <c r="W62">
        <v>57.873379</v>
      </c>
      <c r="X62">
        <v>38.582251999999997</v>
      </c>
      <c r="Y62">
        <v>50</v>
      </c>
      <c r="Z62">
        <v>68.584397999999993</v>
      </c>
      <c r="AA62">
        <v>55.406517000000001</v>
      </c>
      <c r="AB62">
        <v>36.937677999999998</v>
      </c>
      <c r="AC62">
        <v>50</v>
      </c>
      <c r="AD62">
        <v>55.986936</v>
      </c>
      <c r="AE62">
        <v>37.324624</v>
      </c>
      <c r="AF62">
        <v>50</v>
      </c>
      <c r="AG62">
        <v>53.503613999999999</v>
      </c>
      <c r="AH62">
        <v>66.197817999999998</v>
      </c>
      <c r="AI62">
        <v>35.669075999999997</v>
      </c>
      <c r="AJ62">
        <v>50</v>
      </c>
      <c r="AK62">
        <v>13.31</v>
      </c>
      <c r="AL62">
        <v>13.17</v>
      </c>
      <c r="AM62">
        <v>12.69</v>
      </c>
      <c r="AN62">
        <v>0.61562099999999997</v>
      </c>
      <c r="AO62">
        <v>61.562123999999997</v>
      </c>
      <c r="AP62">
        <v>100</v>
      </c>
      <c r="AQ62">
        <v>0.60642099999999999</v>
      </c>
      <c r="AR62">
        <v>60.642130000000002</v>
      </c>
      <c r="AS62">
        <v>100</v>
      </c>
      <c r="AT62">
        <v>0.60858500000000004</v>
      </c>
      <c r="AU62">
        <v>0.64597300000000002</v>
      </c>
      <c r="AV62">
        <v>60.858459000000003</v>
      </c>
      <c r="AW62">
        <v>100</v>
      </c>
      <c r="AX62">
        <v>0.59074800000000005</v>
      </c>
      <c r="AY62">
        <v>0.67277200000000004</v>
      </c>
      <c r="AZ62">
        <v>59.074834000000003</v>
      </c>
      <c r="BA62">
        <v>100</v>
      </c>
      <c r="BB62">
        <v>0.55072299999999996</v>
      </c>
      <c r="BC62">
        <v>27.536145999999999</v>
      </c>
      <c r="BD62">
        <v>50</v>
      </c>
      <c r="BE62">
        <v>0.46245599999999998</v>
      </c>
      <c r="BF62">
        <v>23.122783999999999</v>
      </c>
      <c r="BG62">
        <v>50</v>
      </c>
      <c r="BH62">
        <v>0</v>
      </c>
      <c r="BI62">
        <v>0.97988799999999998</v>
      </c>
      <c r="BJ62">
        <v>0.97715600000000002</v>
      </c>
      <c r="BK62">
        <v>0.99224800000000002</v>
      </c>
      <c r="BL62">
        <v>0.97285299999999997</v>
      </c>
      <c r="BM62">
        <v>0.96856200000000003</v>
      </c>
      <c r="BN62">
        <v>0.99224800000000002</v>
      </c>
      <c r="BO62">
        <v>0.96814299999999998</v>
      </c>
      <c r="BP62">
        <v>0.96402399999999999</v>
      </c>
      <c r="BQ62">
        <v>0.98575500000000005</v>
      </c>
      <c r="BR62">
        <v>0.14824599999999999</v>
      </c>
      <c r="BS62">
        <v>30.350743999999999</v>
      </c>
      <c r="BT62">
        <v>50</v>
      </c>
      <c r="BU62">
        <v>0.17113300000000001</v>
      </c>
      <c r="BV62">
        <v>25.773389999999999</v>
      </c>
      <c r="BW62">
        <v>50</v>
      </c>
      <c r="BX62">
        <v>0.74753800000000004</v>
      </c>
      <c r="BY62">
        <v>49.83587</v>
      </c>
      <c r="BZ62">
        <v>50</v>
      </c>
      <c r="CA62">
        <v>0.14324100000000001</v>
      </c>
      <c r="CB62">
        <v>9.5493880000000004</v>
      </c>
      <c r="CC62">
        <v>50</v>
      </c>
      <c r="CD62">
        <v>0.92032199999999997</v>
      </c>
      <c r="CE62">
        <v>48.953313000000001</v>
      </c>
      <c r="CF62">
        <v>50</v>
      </c>
      <c r="CG62">
        <v>0.78594200000000003</v>
      </c>
      <c r="CH62">
        <v>83.610902999999993</v>
      </c>
      <c r="CI62">
        <v>100</v>
      </c>
      <c r="CJ62">
        <v>1</v>
      </c>
      <c r="CK62">
        <v>0.73260899999999995</v>
      </c>
      <c r="CL62">
        <v>77.937094999999999</v>
      </c>
      <c r="CM62">
        <v>100</v>
      </c>
      <c r="CN62">
        <v>0.52300000000000002</v>
      </c>
      <c r="CO62">
        <v>69.781931</v>
      </c>
      <c r="CP62">
        <v>100</v>
      </c>
      <c r="CQ62">
        <v>0.592754</v>
      </c>
      <c r="CR62">
        <v>0.96341500000000002</v>
      </c>
      <c r="CS62">
        <v>39.516950000000001</v>
      </c>
      <c r="CT62">
        <v>50</v>
      </c>
      <c r="CU62">
        <v>0.57383399999999996</v>
      </c>
      <c r="CV62">
        <v>47.819516</v>
      </c>
      <c r="CW62">
        <v>50</v>
      </c>
      <c r="CX62">
        <v>0.73260899999999995</v>
      </c>
      <c r="CY62">
        <v>0.94</v>
      </c>
      <c r="CZ62">
        <v>0.20739099999999999</v>
      </c>
      <c r="DA62">
        <v>15.389535</v>
      </c>
      <c r="DB62">
        <v>17.608319000000002</v>
      </c>
      <c r="DC62">
        <v>16.064022999999999</v>
      </c>
      <c r="DD62">
        <v>11.115401</v>
      </c>
      <c r="DE62" t="s">
        <v>125</v>
      </c>
      <c r="DJ62" t="s">
        <v>125</v>
      </c>
      <c r="DK62" t="s">
        <v>125</v>
      </c>
      <c r="DL62" t="s">
        <v>125</v>
      </c>
      <c r="DM62" t="s">
        <v>125</v>
      </c>
      <c r="DN62" t="s">
        <v>125</v>
      </c>
      <c r="DO62" t="s">
        <v>125</v>
      </c>
      <c r="DQ62" t="s">
        <v>126</v>
      </c>
    </row>
    <row r="63" spans="1:121" x14ac:dyDescent="0.15">
      <c r="A63">
        <v>2018</v>
      </c>
      <c r="B63" t="s">
        <v>185</v>
      </c>
      <c r="C63" t="str">
        <f>"0050011"</f>
        <v>0050011</v>
      </c>
      <c r="D63" t="s">
        <v>123</v>
      </c>
      <c r="E63" t="str">
        <f t="shared" si="0"/>
        <v>0000000</v>
      </c>
      <c r="F63" t="s">
        <v>123</v>
      </c>
      <c r="G63" t="s">
        <v>123</v>
      </c>
      <c r="H63" t="s">
        <v>123</v>
      </c>
      <c r="J63" t="s">
        <v>124</v>
      </c>
      <c r="K63">
        <v>665.85208299999999</v>
      </c>
      <c r="L63">
        <v>800</v>
      </c>
      <c r="M63">
        <v>83.23151</v>
      </c>
      <c r="N63" t="s">
        <v>125</v>
      </c>
      <c r="O63">
        <v>0</v>
      </c>
      <c r="P63">
        <v>74.646620999999996</v>
      </c>
      <c r="Q63">
        <v>49.764414000000002</v>
      </c>
      <c r="R63">
        <v>50</v>
      </c>
      <c r="S63">
        <v>66.446854999999999</v>
      </c>
      <c r="T63">
        <v>75</v>
      </c>
      <c r="U63">
        <v>44.297902999999998</v>
      </c>
      <c r="V63">
        <v>50</v>
      </c>
      <c r="W63">
        <v>70.052075000000002</v>
      </c>
      <c r="X63">
        <v>46.701383</v>
      </c>
      <c r="Y63">
        <v>50</v>
      </c>
      <c r="Z63">
        <v>75</v>
      </c>
      <c r="AA63">
        <v>61.744481</v>
      </c>
      <c r="AB63">
        <v>41.162987000000001</v>
      </c>
      <c r="AC63">
        <v>50</v>
      </c>
      <c r="AD63">
        <v>75.455408000000006</v>
      </c>
      <c r="AE63">
        <v>50</v>
      </c>
      <c r="AF63">
        <v>50</v>
      </c>
      <c r="AG63" t="s">
        <v>125</v>
      </c>
      <c r="AH63" t="s">
        <v>125</v>
      </c>
      <c r="AI63" t="s">
        <v>125</v>
      </c>
      <c r="AJ63" t="s">
        <v>125</v>
      </c>
      <c r="AK63">
        <v>8.5500000000000007</v>
      </c>
      <c r="AL63">
        <v>13.25</v>
      </c>
      <c r="AM63" t="s">
        <v>125</v>
      </c>
      <c r="AN63">
        <v>0.69712099999999999</v>
      </c>
      <c r="AO63">
        <v>69.712137999999996</v>
      </c>
      <c r="AP63">
        <v>100</v>
      </c>
      <c r="AQ63">
        <v>0.84460299999999999</v>
      </c>
      <c r="AR63">
        <v>84.460294000000005</v>
      </c>
      <c r="AS63">
        <v>100</v>
      </c>
      <c r="AT63">
        <v>0.593221</v>
      </c>
      <c r="AU63">
        <v>0.78337800000000002</v>
      </c>
      <c r="AV63">
        <v>59.322122</v>
      </c>
      <c r="AW63">
        <v>100</v>
      </c>
      <c r="AX63">
        <v>0.75986399999999998</v>
      </c>
      <c r="AY63">
        <v>0.91495199999999999</v>
      </c>
      <c r="AZ63">
        <v>75.986397999999994</v>
      </c>
      <c r="BA63">
        <v>100</v>
      </c>
      <c r="BB63" t="s">
        <v>125</v>
      </c>
      <c r="BC63" t="s">
        <v>125</v>
      </c>
      <c r="BD63" t="s">
        <v>125</v>
      </c>
      <c r="BE63" t="s">
        <v>125</v>
      </c>
      <c r="BF63" t="s">
        <v>125</v>
      </c>
      <c r="BG63" t="s">
        <v>125</v>
      </c>
      <c r="BH63">
        <v>0</v>
      </c>
      <c r="BI63">
        <v>0.97142899999999999</v>
      </c>
      <c r="BJ63">
        <v>0.96551699999999996</v>
      </c>
      <c r="BK63">
        <v>0.97560999999999998</v>
      </c>
      <c r="BL63">
        <v>0.97142899999999999</v>
      </c>
      <c r="BM63">
        <v>0.96551699999999996</v>
      </c>
      <c r="BN63">
        <v>0.97560999999999998</v>
      </c>
      <c r="BO63">
        <v>1</v>
      </c>
      <c r="BP63">
        <v>1</v>
      </c>
      <c r="BQ63" t="s">
        <v>125</v>
      </c>
      <c r="BR63">
        <v>2.3584999999999998E-2</v>
      </c>
      <c r="BS63">
        <v>50</v>
      </c>
      <c r="BT63">
        <v>50</v>
      </c>
      <c r="BU63">
        <v>3.3708000000000002E-2</v>
      </c>
      <c r="BV63">
        <v>50</v>
      </c>
      <c r="BW63">
        <v>50</v>
      </c>
      <c r="BX63" t="s">
        <v>125</v>
      </c>
      <c r="BY63" t="s">
        <v>125</v>
      </c>
      <c r="BZ63" t="s">
        <v>125</v>
      </c>
      <c r="CA63" t="s">
        <v>125</v>
      </c>
      <c r="CB63" t="s">
        <v>125</v>
      </c>
      <c r="CC63" t="s">
        <v>125</v>
      </c>
      <c r="CD63" t="s">
        <v>125</v>
      </c>
      <c r="CE63" t="s">
        <v>125</v>
      </c>
      <c r="CF63" t="s">
        <v>125</v>
      </c>
      <c r="CG63" t="s">
        <v>125</v>
      </c>
      <c r="CH63" t="s">
        <v>125</v>
      </c>
      <c r="CI63" t="s">
        <v>125</v>
      </c>
      <c r="CJ63" t="s">
        <v>125</v>
      </c>
      <c r="CK63" t="s">
        <v>125</v>
      </c>
      <c r="CL63" t="s">
        <v>125</v>
      </c>
      <c r="CM63" t="s">
        <v>125</v>
      </c>
      <c r="CN63" t="s">
        <v>125</v>
      </c>
      <c r="CO63" t="s">
        <v>125</v>
      </c>
      <c r="CP63" t="s">
        <v>125</v>
      </c>
      <c r="CQ63">
        <v>0.66666700000000001</v>
      </c>
      <c r="CR63">
        <v>0.98630099999999998</v>
      </c>
      <c r="CS63">
        <v>44.444443999999997</v>
      </c>
      <c r="CT63">
        <v>50</v>
      </c>
      <c r="CU63" t="s">
        <v>125</v>
      </c>
      <c r="CV63" t="s">
        <v>125</v>
      </c>
      <c r="CW63" t="s">
        <v>125</v>
      </c>
      <c r="CX63" t="s">
        <v>125</v>
      </c>
      <c r="CY63" t="s">
        <v>125</v>
      </c>
      <c r="CZ63" t="s">
        <v>125</v>
      </c>
      <c r="DA63">
        <v>15.389535</v>
      </c>
      <c r="DB63">
        <v>17.608319000000002</v>
      </c>
      <c r="DC63">
        <v>16.064022999999999</v>
      </c>
      <c r="DD63" t="s">
        <v>125</v>
      </c>
      <c r="DE63" t="s">
        <v>125</v>
      </c>
      <c r="DJ63" t="s">
        <v>125</v>
      </c>
      <c r="DK63" t="s">
        <v>125</v>
      </c>
      <c r="DL63" t="s">
        <v>125</v>
      </c>
      <c r="DM63" t="s">
        <v>125</v>
      </c>
      <c r="DN63" t="s">
        <v>125</v>
      </c>
      <c r="DO63" t="s">
        <v>125</v>
      </c>
      <c r="DQ63" t="s">
        <v>126</v>
      </c>
    </row>
    <row r="64" spans="1:121" x14ac:dyDescent="0.15">
      <c r="A64">
        <v>2018</v>
      </c>
      <c r="B64" t="s">
        <v>186</v>
      </c>
      <c r="C64" t="str">
        <f>"0070011"</f>
        <v>0070011</v>
      </c>
      <c r="D64" t="s">
        <v>123</v>
      </c>
      <c r="E64" t="str">
        <f t="shared" si="0"/>
        <v>0000000</v>
      </c>
      <c r="F64" t="s">
        <v>123</v>
      </c>
      <c r="G64" t="s">
        <v>123</v>
      </c>
      <c r="H64" t="s">
        <v>123</v>
      </c>
      <c r="J64" t="s">
        <v>124</v>
      </c>
      <c r="K64">
        <v>1160.9611910000001</v>
      </c>
      <c r="L64">
        <v>1450</v>
      </c>
      <c r="M64">
        <v>80.066288999999998</v>
      </c>
      <c r="N64" t="s">
        <v>125</v>
      </c>
      <c r="O64">
        <v>1</v>
      </c>
      <c r="P64">
        <v>71.049863999999999</v>
      </c>
      <c r="Q64">
        <v>47.366576000000002</v>
      </c>
      <c r="R64">
        <v>50</v>
      </c>
      <c r="S64">
        <v>59.814390000000003</v>
      </c>
      <c r="T64">
        <v>75</v>
      </c>
      <c r="U64">
        <v>39.876260000000002</v>
      </c>
      <c r="V64">
        <v>50</v>
      </c>
      <c r="W64">
        <v>69.706993999999995</v>
      </c>
      <c r="X64">
        <v>46.471328999999997</v>
      </c>
      <c r="Y64">
        <v>50</v>
      </c>
      <c r="Z64">
        <v>75</v>
      </c>
      <c r="AA64">
        <v>57.075769000000001</v>
      </c>
      <c r="AB64">
        <v>38.050513000000002</v>
      </c>
      <c r="AC64">
        <v>50</v>
      </c>
      <c r="AD64">
        <v>68.058515</v>
      </c>
      <c r="AE64">
        <v>45.372343000000001</v>
      </c>
      <c r="AF64">
        <v>50</v>
      </c>
      <c r="AG64">
        <v>57.959659000000002</v>
      </c>
      <c r="AH64">
        <v>72.857744999999994</v>
      </c>
      <c r="AI64">
        <v>38.639772999999998</v>
      </c>
      <c r="AJ64">
        <v>50</v>
      </c>
      <c r="AK64">
        <v>15.18</v>
      </c>
      <c r="AL64">
        <v>17.920000000000002</v>
      </c>
      <c r="AM64">
        <v>14.89</v>
      </c>
      <c r="AN64">
        <v>0.55510199999999998</v>
      </c>
      <c r="AO64">
        <v>55.510223000000003</v>
      </c>
      <c r="AP64">
        <v>100</v>
      </c>
      <c r="AQ64">
        <v>0.65188199999999996</v>
      </c>
      <c r="AR64">
        <v>65.188210999999995</v>
      </c>
      <c r="AS64">
        <v>100</v>
      </c>
      <c r="AT64">
        <v>0.53796999999999995</v>
      </c>
      <c r="AU64">
        <v>0.56250199999999995</v>
      </c>
      <c r="AV64">
        <v>53.796950000000002</v>
      </c>
      <c r="AW64">
        <v>100</v>
      </c>
      <c r="AX64">
        <v>0.64263700000000001</v>
      </c>
      <c r="AY64">
        <v>0.65583000000000002</v>
      </c>
      <c r="AZ64">
        <v>64.263705999999999</v>
      </c>
      <c r="BA64">
        <v>100</v>
      </c>
      <c r="BB64">
        <v>0.63168199999999997</v>
      </c>
      <c r="BC64">
        <v>31.584102999999999</v>
      </c>
      <c r="BD64">
        <v>50</v>
      </c>
      <c r="BE64">
        <v>0.67447500000000005</v>
      </c>
      <c r="BF64">
        <v>33.723756000000002</v>
      </c>
      <c r="BG64">
        <v>50</v>
      </c>
      <c r="BH64">
        <v>0</v>
      </c>
      <c r="BI64">
        <v>0.98130799999999996</v>
      </c>
      <c r="BJ64">
        <v>0.97983900000000002</v>
      </c>
      <c r="BK64">
        <v>0.98203600000000002</v>
      </c>
      <c r="BL64">
        <v>0.98128300000000002</v>
      </c>
      <c r="BM64">
        <v>0.97983900000000002</v>
      </c>
      <c r="BN64">
        <v>0.98199999999999998</v>
      </c>
      <c r="BO64">
        <v>0.97790900000000003</v>
      </c>
      <c r="BP64">
        <v>0.973333</v>
      </c>
      <c r="BQ64">
        <v>0.98017600000000005</v>
      </c>
      <c r="BR64">
        <v>3.9287000000000002E-2</v>
      </c>
      <c r="BS64">
        <v>50</v>
      </c>
      <c r="BT64">
        <v>50</v>
      </c>
      <c r="BU64">
        <v>8.4407999999999997E-2</v>
      </c>
      <c r="BV64">
        <v>43.118406</v>
      </c>
      <c r="BW64">
        <v>50</v>
      </c>
      <c r="BX64">
        <v>0.77777799999999997</v>
      </c>
      <c r="BY64">
        <v>50</v>
      </c>
      <c r="BZ64">
        <v>50</v>
      </c>
      <c r="CA64">
        <v>0.56462599999999996</v>
      </c>
      <c r="CB64">
        <v>37.641722999999999</v>
      </c>
      <c r="CC64">
        <v>50</v>
      </c>
      <c r="CD64">
        <v>0.96453900000000004</v>
      </c>
      <c r="CE64">
        <v>50</v>
      </c>
      <c r="CF64">
        <v>50</v>
      </c>
      <c r="CG64">
        <v>0.93981499999999996</v>
      </c>
      <c r="CH64">
        <v>99.980299000000002</v>
      </c>
      <c r="CI64">
        <v>100</v>
      </c>
      <c r="CJ64">
        <v>0</v>
      </c>
      <c r="CK64">
        <v>0.89830500000000002</v>
      </c>
      <c r="CL64">
        <v>95.564370999999994</v>
      </c>
      <c r="CM64">
        <v>100</v>
      </c>
      <c r="CN64">
        <v>0.84799999999999998</v>
      </c>
      <c r="CO64">
        <v>100</v>
      </c>
      <c r="CP64">
        <v>100</v>
      </c>
      <c r="CQ64">
        <v>0.60756500000000002</v>
      </c>
      <c r="CR64">
        <v>0.90967699999999996</v>
      </c>
      <c r="CS64">
        <v>40.504334</v>
      </c>
      <c r="CT64">
        <v>50</v>
      </c>
      <c r="CU64">
        <v>0.41170000000000001</v>
      </c>
      <c r="CV64">
        <v>34.308315</v>
      </c>
      <c r="CW64">
        <v>50</v>
      </c>
      <c r="CX64">
        <v>0.89830500000000002</v>
      </c>
      <c r="CY64">
        <v>0.94</v>
      </c>
      <c r="CZ64">
        <v>4.1695000000000003E-2</v>
      </c>
      <c r="DA64">
        <v>15.389535</v>
      </c>
      <c r="DB64">
        <v>17.608319000000002</v>
      </c>
      <c r="DC64">
        <v>16.064022999999999</v>
      </c>
      <c r="DD64">
        <v>11.115401</v>
      </c>
      <c r="DE64" t="s">
        <v>125</v>
      </c>
      <c r="DJ64" t="s">
        <v>125</v>
      </c>
      <c r="DK64" t="s">
        <v>125</v>
      </c>
      <c r="DL64" t="s">
        <v>125</v>
      </c>
      <c r="DM64" t="s">
        <v>125</v>
      </c>
      <c r="DN64" t="s">
        <v>125</v>
      </c>
      <c r="DO64" t="s">
        <v>125</v>
      </c>
      <c r="DQ64" t="s">
        <v>126</v>
      </c>
    </row>
    <row r="65" spans="1:121" x14ac:dyDescent="0.15">
      <c r="A65">
        <v>2018</v>
      </c>
      <c r="B65" t="s">
        <v>187</v>
      </c>
      <c r="C65" t="str">
        <f>"1430011"</f>
        <v>1430011</v>
      </c>
      <c r="D65" t="s">
        <v>123</v>
      </c>
      <c r="E65" t="str">
        <f t="shared" si="0"/>
        <v>0000000</v>
      </c>
      <c r="F65" t="s">
        <v>123</v>
      </c>
      <c r="G65" t="s">
        <v>123</v>
      </c>
      <c r="H65" t="s">
        <v>123</v>
      </c>
      <c r="J65" t="s">
        <v>124</v>
      </c>
      <c r="K65">
        <v>986.51421100000005</v>
      </c>
      <c r="L65">
        <v>1450</v>
      </c>
      <c r="M65">
        <v>68.035462999999993</v>
      </c>
      <c r="N65" t="s">
        <v>125</v>
      </c>
      <c r="O65">
        <v>0</v>
      </c>
      <c r="P65">
        <v>62.409636999999996</v>
      </c>
      <c r="Q65">
        <v>41.606425000000002</v>
      </c>
      <c r="R65">
        <v>50</v>
      </c>
      <c r="S65">
        <v>58.558517000000002</v>
      </c>
      <c r="T65">
        <v>71.422631999999993</v>
      </c>
      <c r="U65">
        <v>39.039011000000002</v>
      </c>
      <c r="V65">
        <v>50</v>
      </c>
      <c r="W65">
        <v>55.810822999999999</v>
      </c>
      <c r="X65">
        <v>37.207214999999998</v>
      </c>
      <c r="Y65">
        <v>50</v>
      </c>
      <c r="Z65">
        <v>64.545514999999995</v>
      </c>
      <c r="AA65">
        <v>52.072567999999997</v>
      </c>
      <c r="AB65">
        <v>34.715046000000001</v>
      </c>
      <c r="AC65">
        <v>50</v>
      </c>
      <c r="AD65">
        <v>58.545718000000001</v>
      </c>
      <c r="AE65">
        <v>39.030479</v>
      </c>
      <c r="AF65">
        <v>50</v>
      </c>
      <c r="AG65">
        <v>55.162607000000001</v>
      </c>
      <c r="AH65">
        <v>65.749300000000005</v>
      </c>
      <c r="AI65">
        <v>36.775072000000002</v>
      </c>
      <c r="AJ65">
        <v>50</v>
      </c>
      <c r="AK65">
        <v>12.86</v>
      </c>
      <c r="AL65">
        <v>12.47</v>
      </c>
      <c r="AM65">
        <v>10.58</v>
      </c>
      <c r="AN65">
        <v>0.53002400000000005</v>
      </c>
      <c r="AO65">
        <v>53.002408000000003</v>
      </c>
      <c r="AP65">
        <v>100</v>
      </c>
      <c r="AQ65">
        <v>0.56972500000000004</v>
      </c>
      <c r="AR65">
        <v>56.972484999999999</v>
      </c>
      <c r="AS65">
        <v>100</v>
      </c>
      <c r="AT65">
        <v>0.50681100000000001</v>
      </c>
      <c r="AU65">
        <v>0.58176000000000005</v>
      </c>
      <c r="AV65">
        <v>50.681116000000003</v>
      </c>
      <c r="AW65">
        <v>100</v>
      </c>
      <c r="AX65">
        <v>0.54523999999999995</v>
      </c>
      <c r="AY65">
        <v>0.62401700000000004</v>
      </c>
      <c r="AZ65">
        <v>54.524025000000002</v>
      </c>
      <c r="BA65">
        <v>100</v>
      </c>
      <c r="BB65">
        <v>0.54691599999999996</v>
      </c>
      <c r="BC65">
        <v>27.345808999999999</v>
      </c>
      <c r="BD65">
        <v>50</v>
      </c>
      <c r="BE65">
        <v>0.54480499999999998</v>
      </c>
      <c r="BF65">
        <v>27.240228999999999</v>
      </c>
      <c r="BG65">
        <v>50</v>
      </c>
      <c r="BH65">
        <v>0</v>
      </c>
      <c r="BI65">
        <v>0.98236900000000005</v>
      </c>
      <c r="BJ65">
        <v>0.98248999999999997</v>
      </c>
      <c r="BK65">
        <v>0.98209000000000002</v>
      </c>
      <c r="BL65">
        <v>0.98192500000000005</v>
      </c>
      <c r="BM65">
        <v>0.98182999999999998</v>
      </c>
      <c r="BN65">
        <v>0.98214299999999999</v>
      </c>
      <c r="BO65">
        <v>0.980769</v>
      </c>
      <c r="BP65">
        <v>0.98009999999999997</v>
      </c>
      <c r="BQ65">
        <v>0.98220600000000002</v>
      </c>
      <c r="BR65">
        <v>0.114954</v>
      </c>
      <c r="BS65">
        <v>37.009103000000003</v>
      </c>
      <c r="BT65">
        <v>50</v>
      </c>
      <c r="BU65">
        <v>0.14400299999999999</v>
      </c>
      <c r="BV65">
        <v>31.199417</v>
      </c>
      <c r="BW65">
        <v>50</v>
      </c>
      <c r="BX65">
        <v>0.87990199999999996</v>
      </c>
      <c r="BY65">
        <v>50</v>
      </c>
      <c r="BZ65">
        <v>50</v>
      </c>
      <c r="CA65">
        <v>0.24019599999999999</v>
      </c>
      <c r="CB65">
        <v>16.013072000000001</v>
      </c>
      <c r="CC65">
        <v>50</v>
      </c>
      <c r="CD65">
        <v>0.84843500000000005</v>
      </c>
      <c r="CE65">
        <v>45.129517</v>
      </c>
      <c r="CF65">
        <v>50</v>
      </c>
      <c r="CG65">
        <v>0.82845199999999997</v>
      </c>
      <c r="CH65">
        <v>88.133178999999998</v>
      </c>
      <c r="CI65">
        <v>100</v>
      </c>
      <c r="CJ65">
        <v>1</v>
      </c>
      <c r="CK65">
        <v>0.76331400000000005</v>
      </c>
      <c r="CL65">
        <v>81.203575000000001</v>
      </c>
      <c r="CM65">
        <v>100</v>
      </c>
      <c r="CN65">
        <v>0.60299999999999998</v>
      </c>
      <c r="CO65">
        <v>80.392156999999997</v>
      </c>
      <c r="CP65">
        <v>100</v>
      </c>
      <c r="CQ65">
        <v>0.27884599999999998</v>
      </c>
      <c r="CR65">
        <v>0.84897999999999996</v>
      </c>
      <c r="CS65">
        <v>9.2948719999999998</v>
      </c>
      <c r="CT65">
        <v>50</v>
      </c>
      <c r="CU65">
        <v>0.68124300000000004</v>
      </c>
      <c r="CV65">
        <v>50</v>
      </c>
      <c r="CW65">
        <v>50</v>
      </c>
      <c r="CX65">
        <v>0.76331400000000005</v>
      </c>
      <c r="CY65">
        <v>0.94</v>
      </c>
      <c r="CZ65">
        <v>0.17668600000000001</v>
      </c>
      <c r="DA65">
        <v>15.389535</v>
      </c>
      <c r="DB65">
        <v>17.608319000000002</v>
      </c>
      <c r="DC65">
        <v>16.064022999999999</v>
      </c>
      <c r="DD65">
        <v>11.115401</v>
      </c>
      <c r="DE65" t="s">
        <v>125</v>
      </c>
      <c r="DJ65" t="s">
        <v>125</v>
      </c>
      <c r="DK65" t="s">
        <v>125</v>
      </c>
      <c r="DL65" t="s">
        <v>125</v>
      </c>
      <c r="DM65" t="s">
        <v>125</v>
      </c>
      <c r="DN65" t="s">
        <v>125</v>
      </c>
      <c r="DO65" t="s">
        <v>125</v>
      </c>
      <c r="DQ65" t="s">
        <v>126</v>
      </c>
    </row>
    <row r="66" spans="1:121" x14ac:dyDescent="0.15">
      <c r="A66">
        <v>2018</v>
      </c>
      <c r="B66" t="s">
        <v>188</v>
      </c>
      <c r="C66" t="str">
        <f>"0290011"</f>
        <v>0290011</v>
      </c>
      <c r="D66" t="s">
        <v>123</v>
      </c>
      <c r="E66" t="str">
        <f t="shared" si="0"/>
        <v>0000000</v>
      </c>
      <c r="F66" t="s">
        <v>123</v>
      </c>
      <c r="G66" t="s">
        <v>123</v>
      </c>
      <c r="H66" t="s">
        <v>123</v>
      </c>
      <c r="J66" t="s">
        <v>124</v>
      </c>
      <c r="K66">
        <v>483.00836700000002</v>
      </c>
      <c r="L66">
        <v>550</v>
      </c>
      <c r="M66">
        <v>87.819703000000004</v>
      </c>
      <c r="N66" t="s">
        <v>125</v>
      </c>
      <c r="O66">
        <v>0</v>
      </c>
      <c r="P66">
        <v>81.921363999999997</v>
      </c>
      <c r="Q66">
        <v>50</v>
      </c>
      <c r="R66">
        <v>50</v>
      </c>
      <c r="S66">
        <v>70.447902999999997</v>
      </c>
      <c r="T66">
        <v>75</v>
      </c>
      <c r="U66">
        <v>46.965268000000002</v>
      </c>
      <c r="V66">
        <v>50</v>
      </c>
      <c r="W66">
        <v>74.679205999999994</v>
      </c>
      <c r="X66">
        <v>49.786136999999997</v>
      </c>
      <c r="Y66">
        <v>50</v>
      </c>
      <c r="Z66">
        <v>75</v>
      </c>
      <c r="AA66">
        <v>64.281739000000002</v>
      </c>
      <c r="AB66">
        <v>42.854492</v>
      </c>
      <c r="AC66">
        <v>50</v>
      </c>
      <c r="AD66" t="s">
        <v>125</v>
      </c>
      <c r="AE66" t="s">
        <v>125</v>
      </c>
      <c r="AF66" t="s">
        <v>125</v>
      </c>
      <c r="AG66" t="s">
        <v>125</v>
      </c>
      <c r="AH66" t="s">
        <v>125</v>
      </c>
      <c r="AI66" t="s">
        <v>125</v>
      </c>
      <c r="AJ66" t="s">
        <v>125</v>
      </c>
      <c r="AK66">
        <v>4.55</v>
      </c>
      <c r="AL66">
        <v>10.71</v>
      </c>
      <c r="AM66" t="s">
        <v>125</v>
      </c>
      <c r="AN66">
        <v>0.772567</v>
      </c>
      <c r="AO66">
        <v>77.256707000000006</v>
      </c>
      <c r="AP66">
        <v>100</v>
      </c>
      <c r="AQ66">
        <v>0.66145799999999999</v>
      </c>
      <c r="AR66">
        <v>66.145760999999993</v>
      </c>
      <c r="AS66">
        <v>100</v>
      </c>
      <c r="AT66" t="s">
        <v>125</v>
      </c>
      <c r="AU66">
        <v>0.90915199999999996</v>
      </c>
      <c r="AV66" t="s">
        <v>125</v>
      </c>
      <c r="AW66" t="s">
        <v>125</v>
      </c>
      <c r="AX66" t="s">
        <v>125</v>
      </c>
      <c r="AY66">
        <v>0.77750300000000006</v>
      </c>
      <c r="AZ66" t="s">
        <v>125</v>
      </c>
      <c r="BA66" t="s">
        <v>125</v>
      </c>
      <c r="BB66" t="s">
        <v>125</v>
      </c>
      <c r="BC66" t="s">
        <v>125</v>
      </c>
      <c r="BD66" t="s">
        <v>125</v>
      </c>
      <c r="BE66" t="s">
        <v>125</v>
      </c>
      <c r="BF66" t="s">
        <v>125</v>
      </c>
      <c r="BG66" t="s">
        <v>125</v>
      </c>
      <c r="BH66">
        <v>1</v>
      </c>
      <c r="BI66">
        <v>0.94545500000000005</v>
      </c>
      <c r="BJ66">
        <v>0.88888900000000004</v>
      </c>
      <c r="BK66">
        <v>1</v>
      </c>
      <c r="BL66">
        <v>0.94545500000000005</v>
      </c>
      <c r="BM66">
        <v>0.88888900000000004</v>
      </c>
      <c r="BN66">
        <v>1</v>
      </c>
      <c r="BO66" t="s">
        <v>125</v>
      </c>
      <c r="BP66" t="s">
        <v>125</v>
      </c>
      <c r="BQ66" t="s">
        <v>125</v>
      </c>
      <c r="BR66">
        <v>1.1494000000000001E-2</v>
      </c>
      <c r="BS66">
        <v>50</v>
      </c>
      <c r="BT66">
        <v>50</v>
      </c>
      <c r="BU66">
        <v>2.3810000000000001E-2</v>
      </c>
      <c r="BV66">
        <v>50</v>
      </c>
      <c r="BW66">
        <v>50</v>
      </c>
      <c r="BX66" t="s">
        <v>125</v>
      </c>
      <c r="BY66" t="s">
        <v>125</v>
      </c>
      <c r="BZ66" t="s">
        <v>125</v>
      </c>
      <c r="CA66" t="s">
        <v>125</v>
      </c>
      <c r="CB66" t="s">
        <v>125</v>
      </c>
      <c r="CC66" t="s">
        <v>125</v>
      </c>
      <c r="CD66" t="s">
        <v>125</v>
      </c>
      <c r="CE66" t="s">
        <v>125</v>
      </c>
      <c r="CF66" t="s">
        <v>125</v>
      </c>
      <c r="CG66" t="s">
        <v>125</v>
      </c>
      <c r="CH66" t="s">
        <v>125</v>
      </c>
      <c r="CI66" t="s">
        <v>125</v>
      </c>
      <c r="CJ66" t="s">
        <v>125</v>
      </c>
      <c r="CK66" t="s">
        <v>125</v>
      </c>
      <c r="CL66" t="s">
        <v>125</v>
      </c>
      <c r="CM66" t="s">
        <v>125</v>
      </c>
      <c r="CN66" t="s">
        <v>125</v>
      </c>
      <c r="CO66" t="s">
        <v>125</v>
      </c>
      <c r="CP66" t="s">
        <v>125</v>
      </c>
      <c r="CQ66">
        <v>0.76666699999999999</v>
      </c>
      <c r="CR66">
        <v>1</v>
      </c>
      <c r="CS66">
        <v>50</v>
      </c>
      <c r="CT66">
        <v>50</v>
      </c>
      <c r="CU66" t="s">
        <v>125</v>
      </c>
      <c r="CV66" t="s">
        <v>125</v>
      </c>
      <c r="CW66" t="s">
        <v>125</v>
      </c>
      <c r="CX66" t="s">
        <v>125</v>
      </c>
      <c r="CY66" t="s">
        <v>125</v>
      </c>
      <c r="CZ66" t="s">
        <v>125</v>
      </c>
      <c r="DA66">
        <v>15.389535</v>
      </c>
      <c r="DB66">
        <v>17.608319000000002</v>
      </c>
      <c r="DC66">
        <v>16.064022999999999</v>
      </c>
      <c r="DD66" t="s">
        <v>125</v>
      </c>
      <c r="DE66" t="s">
        <v>125</v>
      </c>
      <c r="DJ66" t="s">
        <v>125</v>
      </c>
      <c r="DK66" t="s">
        <v>125</v>
      </c>
      <c r="DL66" t="s">
        <v>125</v>
      </c>
      <c r="DM66" t="s">
        <v>125</v>
      </c>
      <c r="DN66" t="s">
        <v>125</v>
      </c>
      <c r="DO66" t="s">
        <v>125</v>
      </c>
      <c r="DQ66" t="s">
        <v>126</v>
      </c>
    </row>
    <row r="67" spans="1:121" x14ac:dyDescent="0.15">
      <c r="A67">
        <v>2018</v>
      </c>
      <c r="B67" t="s">
        <v>189</v>
      </c>
      <c r="C67" t="str">
        <f>"0300011"</f>
        <v>0300011</v>
      </c>
      <c r="D67" t="s">
        <v>123</v>
      </c>
      <c r="E67" t="str">
        <f t="shared" si="0"/>
        <v>0000000</v>
      </c>
      <c r="F67" t="s">
        <v>123</v>
      </c>
      <c r="G67" t="s">
        <v>123</v>
      </c>
      <c r="H67" t="s">
        <v>123</v>
      </c>
      <c r="J67" t="s">
        <v>124</v>
      </c>
      <c r="K67">
        <v>691.30042100000003</v>
      </c>
      <c r="L67">
        <v>900</v>
      </c>
      <c r="M67">
        <v>76.811158000000006</v>
      </c>
      <c r="N67" t="s">
        <v>125</v>
      </c>
      <c r="O67">
        <v>1</v>
      </c>
      <c r="P67">
        <v>72.971266</v>
      </c>
      <c r="Q67">
        <v>48.647509999999997</v>
      </c>
      <c r="R67">
        <v>50</v>
      </c>
      <c r="S67">
        <v>63.291722</v>
      </c>
      <c r="T67">
        <v>75</v>
      </c>
      <c r="U67">
        <v>42.194481000000003</v>
      </c>
      <c r="V67">
        <v>50</v>
      </c>
      <c r="W67">
        <v>65.315486000000007</v>
      </c>
      <c r="X67">
        <v>43.543657000000003</v>
      </c>
      <c r="Y67">
        <v>50</v>
      </c>
      <c r="Z67">
        <v>69.538141999999993</v>
      </c>
      <c r="AA67">
        <v>55.181111999999999</v>
      </c>
      <c r="AB67">
        <v>36.787407999999999</v>
      </c>
      <c r="AC67">
        <v>50</v>
      </c>
      <c r="AD67">
        <v>71.104836000000006</v>
      </c>
      <c r="AE67">
        <v>47.403224000000002</v>
      </c>
      <c r="AF67">
        <v>50</v>
      </c>
      <c r="AG67">
        <v>58.645332000000003</v>
      </c>
      <c r="AH67">
        <v>75</v>
      </c>
      <c r="AI67">
        <v>39.096888</v>
      </c>
      <c r="AJ67">
        <v>50</v>
      </c>
      <c r="AK67">
        <v>11.7</v>
      </c>
      <c r="AL67">
        <v>14.35</v>
      </c>
      <c r="AM67">
        <v>16.350000000000001</v>
      </c>
      <c r="AN67">
        <v>0.66169999999999995</v>
      </c>
      <c r="AO67">
        <v>66.170043000000007</v>
      </c>
      <c r="AP67">
        <v>100</v>
      </c>
      <c r="AQ67">
        <v>0.53859999999999997</v>
      </c>
      <c r="AR67">
        <v>53.859983</v>
      </c>
      <c r="AS67">
        <v>100</v>
      </c>
      <c r="AT67">
        <v>0.65073099999999995</v>
      </c>
      <c r="AU67">
        <v>0.66694299999999995</v>
      </c>
      <c r="AV67">
        <v>65.073091000000005</v>
      </c>
      <c r="AW67">
        <v>100</v>
      </c>
      <c r="AX67">
        <v>0.50319000000000003</v>
      </c>
      <c r="AY67">
        <v>0.55512399999999995</v>
      </c>
      <c r="AZ67">
        <v>50.319006999999999</v>
      </c>
      <c r="BA67">
        <v>100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  <c r="BH67">
        <v>1</v>
      </c>
      <c r="BI67">
        <v>0.97590399999999999</v>
      </c>
      <c r="BJ67">
        <v>0.93670900000000001</v>
      </c>
      <c r="BK67">
        <v>0.99411799999999995</v>
      </c>
      <c r="BL67">
        <v>0.96385500000000002</v>
      </c>
      <c r="BM67">
        <v>0.91139199999999998</v>
      </c>
      <c r="BN67">
        <v>0.98823499999999997</v>
      </c>
      <c r="BO67">
        <v>0.94898000000000005</v>
      </c>
      <c r="BP67">
        <v>0.89655200000000002</v>
      </c>
      <c r="BQ67">
        <v>0.97101400000000004</v>
      </c>
      <c r="BR67">
        <v>2.7918999999999999E-2</v>
      </c>
      <c r="BS67">
        <v>50</v>
      </c>
      <c r="BT67">
        <v>50</v>
      </c>
      <c r="BU67">
        <v>3.3057999999999997E-2</v>
      </c>
      <c r="BV67">
        <v>50</v>
      </c>
      <c r="BW67">
        <v>50</v>
      </c>
      <c r="BX67" t="s">
        <v>125</v>
      </c>
      <c r="BY67" t="s">
        <v>125</v>
      </c>
      <c r="BZ67" t="s">
        <v>125</v>
      </c>
      <c r="CA67" t="s">
        <v>125</v>
      </c>
      <c r="CB67" t="s">
        <v>125</v>
      </c>
      <c r="CC67" t="s">
        <v>125</v>
      </c>
      <c r="CD67">
        <v>0.95454499999999998</v>
      </c>
      <c r="CE67">
        <v>50</v>
      </c>
      <c r="CF67">
        <v>50</v>
      </c>
      <c r="CG67" t="s">
        <v>125</v>
      </c>
      <c r="CH67" t="s">
        <v>125</v>
      </c>
      <c r="CI67" t="s">
        <v>125</v>
      </c>
      <c r="CJ67" t="s">
        <v>125</v>
      </c>
      <c r="CK67" t="s">
        <v>125</v>
      </c>
      <c r="CL67" t="s">
        <v>125</v>
      </c>
      <c r="CM67" t="s">
        <v>125</v>
      </c>
      <c r="CN67" t="s">
        <v>125</v>
      </c>
      <c r="CO67" t="s">
        <v>125</v>
      </c>
      <c r="CP67" t="s">
        <v>125</v>
      </c>
      <c r="CQ67">
        <v>0.72307699999999997</v>
      </c>
      <c r="CR67">
        <v>1</v>
      </c>
      <c r="CS67">
        <v>48.205128000000002</v>
      </c>
      <c r="CT67">
        <v>50</v>
      </c>
      <c r="CU67" t="s">
        <v>125</v>
      </c>
      <c r="CV67" t="s">
        <v>125</v>
      </c>
      <c r="CW67" t="s">
        <v>125</v>
      </c>
      <c r="CX67" t="s">
        <v>125</v>
      </c>
      <c r="CY67" t="s">
        <v>125</v>
      </c>
      <c r="CZ67" t="s">
        <v>125</v>
      </c>
      <c r="DA67">
        <v>15.389535</v>
      </c>
      <c r="DB67">
        <v>17.608319000000002</v>
      </c>
      <c r="DC67">
        <v>16.064022999999999</v>
      </c>
      <c r="DD67" t="s">
        <v>125</v>
      </c>
      <c r="DE67" t="s">
        <v>125</v>
      </c>
      <c r="DJ67" t="s">
        <v>125</v>
      </c>
      <c r="DK67" t="s">
        <v>125</v>
      </c>
      <c r="DL67" t="s">
        <v>125</v>
      </c>
      <c r="DM67" t="s">
        <v>125</v>
      </c>
      <c r="DN67" t="s">
        <v>125</v>
      </c>
      <c r="DO67" t="s">
        <v>125</v>
      </c>
      <c r="DQ67" t="s">
        <v>126</v>
      </c>
    </row>
    <row r="68" spans="1:121" x14ac:dyDescent="0.15">
      <c r="A68">
        <v>2018</v>
      </c>
      <c r="B68" t="s">
        <v>190</v>
      </c>
      <c r="C68" t="str">
        <f>"1470011"</f>
        <v>1470011</v>
      </c>
      <c r="D68" t="s">
        <v>123</v>
      </c>
      <c r="E68" t="str">
        <f t="shared" si="0"/>
        <v>0000000</v>
      </c>
      <c r="F68" t="s">
        <v>123</v>
      </c>
      <c r="G68" t="s">
        <v>123</v>
      </c>
      <c r="H68" t="s">
        <v>123</v>
      </c>
      <c r="J68" t="s">
        <v>124</v>
      </c>
      <c r="K68">
        <v>676.49125300000003</v>
      </c>
      <c r="L68">
        <v>850</v>
      </c>
      <c r="M68">
        <v>79.587205999999995</v>
      </c>
      <c r="N68" t="s">
        <v>125</v>
      </c>
      <c r="O68">
        <v>0</v>
      </c>
      <c r="P68">
        <v>74.887585000000001</v>
      </c>
      <c r="Q68">
        <v>49.925057000000002</v>
      </c>
      <c r="R68">
        <v>50</v>
      </c>
      <c r="S68">
        <v>61.561396999999999</v>
      </c>
      <c r="T68">
        <v>75</v>
      </c>
      <c r="U68">
        <v>41.040931</v>
      </c>
      <c r="V68">
        <v>50</v>
      </c>
      <c r="W68">
        <v>71.824151000000001</v>
      </c>
      <c r="X68">
        <v>47.882767000000001</v>
      </c>
      <c r="Y68">
        <v>50</v>
      </c>
      <c r="Z68">
        <v>75</v>
      </c>
      <c r="AA68">
        <v>58.459786999999999</v>
      </c>
      <c r="AB68">
        <v>38.973191</v>
      </c>
      <c r="AC68">
        <v>50</v>
      </c>
      <c r="AD68">
        <v>78.222024000000005</v>
      </c>
      <c r="AE68">
        <v>50</v>
      </c>
      <c r="AF68">
        <v>50</v>
      </c>
      <c r="AG68" t="s">
        <v>125</v>
      </c>
      <c r="AH68">
        <v>75</v>
      </c>
      <c r="AI68" t="s">
        <v>125</v>
      </c>
      <c r="AJ68" t="s">
        <v>125</v>
      </c>
      <c r="AK68">
        <v>13.43</v>
      </c>
      <c r="AL68">
        <v>16.54</v>
      </c>
      <c r="AM68" t="s">
        <v>125</v>
      </c>
      <c r="AN68">
        <v>0.69911800000000002</v>
      </c>
      <c r="AO68">
        <v>69.911778999999996</v>
      </c>
      <c r="AP68">
        <v>100</v>
      </c>
      <c r="AQ68">
        <v>0.79778400000000005</v>
      </c>
      <c r="AR68">
        <v>79.778351999999998</v>
      </c>
      <c r="AS68">
        <v>100</v>
      </c>
      <c r="AT68">
        <v>0.62940700000000005</v>
      </c>
      <c r="AU68">
        <v>0.73677800000000004</v>
      </c>
      <c r="AV68">
        <v>62.940674000000001</v>
      </c>
      <c r="AW68">
        <v>100</v>
      </c>
      <c r="AX68">
        <v>0.67733600000000005</v>
      </c>
      <c r="AY68">
        <v>0.86285299999999998</v>
      </c>
      <c r="AZ68">
        <v>67.733587</v>
      </c>
      <c r="BA68">
        <v>100</v>
      </c>
      <c r="BB68" t="s">
        <v>125</v>
      </c>
      <c r="BC68" t="s">
        <v>125</v>
      </c>
      <c r="BD68" t="s">
        <v>125</v>
      </c>
      <c r="BE68" t="s">
        <v>125</v>
      </c>
      <c r="BF68" t="s">
        <v>125</v>
      </c>
      <c r="BG68" t="s">
        <v>125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 t="s">
        <v>125</v>
      </c>
      <c r="BQ68">
        <v>1</v>
      </c>
      <c r="BR68">
        <v>3.9822999999999997E-2</v>
      </c>
      <c r="BS68">
        <v>50</v>
      </c>
      <c r="BT68">
        <v>50</v>
      </c>
      <c r="BU68">
        <v>5.4945000000000001E-2</v>
      </c>
      <c r="BV68">
        <v>49.010989000000002</v>
      </c>
      <c r="BW68">
        <v>50</v>
      </c>
      <c r="BX68" t="s">
        <v>125</v>
      </c>
      <c r="BY68" t="s">
        <v>125</v>
      </c>
      <c r="BZ68" t="s">
        <v>125</v>
      </c>
      <c r="CA68" t="s">
        <v>125</v>
      </c>
      <c r="CB68" t="s">
        <v>125</v>
      </c>
      <c r="CC68" t="s">
        <v>125</v>
      </c>
      <c r="CD68">
        <v>0.90322599999999997</v>
      </c>
      <c r="CE68">
        <v>48.043925999999999</v>
      </c>
      <c r="CF68">
        <v>50</v>
      </c>
      <c r="CG68" t="s">
        <v>125</v>
      </c>
      <c r="CH68" t="s">
        <v>125</v>
      </c>
      <c r="CI68" t="s">
        <v>125</v>
      </c>
      <c r="CJ68" t="s">
        <v>125</v>
      </c>
      <c r="CK68" t="s">
        <v>125</v>
      </c>
      <c r="CL68" t="s">
        <v>125</v>
      </c>
      <c r="CM68" t="s">
        <v>125</v>
      </c>
      <c r="CN68" t="s">
        <v>125</v>
      </c>
      <c r="CO68" t="s">
        <v>125</v>
      </c>
      <c r="CP68" t="s">
        <v>125</v>
      </c>
      <c r="CQ68">
        <v>0.63749999999999996</v>
      </c>
      <c r="CR68">
        <v>0.89887600000000001</v>
      </c>
      <c r="CS68">
        <v>21.25</v>
      </c>
      <c r="CT68">
        <v>50</v>
      </c>
      <c r="CU68" t="s">
        <v>125</v>
      </c>
      <c r="CV68" t="s">
        <v>125</v>
      </c>
      <c r="CW68" t="s">
        <v>125</v>
      </c>
      <c r="CX68" t="s">
        <v>125</v>
      </c>
      <c r="CY68" t="s">
        <v>125</v>
      </c>
      <c r="CZ68" t="s">
        <v>125</v>
      </c>
      <c r="DA68">
        <v>15.389535</v>
      </c>
      <c r="DB68">
        <v>17.608319000000002</v>
      </c>
      <c r="DC68">
        <v>16.064022999999999</v>
      </c>
      <c r="DD68" t="s">
        <v>125</v>
      </c>
      <c r="DE68" t="s">
        <v>125</v>
      </c>
      <c r="DJ68" t="s">
        <v>125</v>
      </c>
      <c r="DK68" t="s">
        <v>125</v>
      </c>
      <c r="DL68" t="s">
        <v>125</v>
      </c>
      <c r="DM68" t="s">
        <v>125</v>
      </c>
      <c r="DN68" t="s">
        <v>125</v>
      </c>
      <c r="DO68" t="s">
        <v>125</v>
      </c>
      <c r="DQ68" t="s">
        <v>126</v>
      </c>
    </row>
    <row r="69" spans="1:121" x14ac:dyDescent="0.15">
      <c r="A69">
        <v>2018</v>
      </c>
      <c r="B69" t="s">
        <v>191</v>
      </c>
      <c r="C69" t="str">
        <f>"1480011"</f>
        <v>1480011</v>
      </c>
      <c r="D69" t="s">
        <v>123</v>
      </c>
      <c r="E69" t="str">
        <f t="shared" si="0"/>
        <v>0000000</v>
      </c>
      <c r="F69" t="s">
        <v>123</v>
      </c>
      <c r="G69" t="s">
        <v>123</v>
      </c>
      <c r="H69" t="s">
        <v>123</v>
      </c>
      <c r="J69" t="s">
        <v>124</v>
      </c>
      <c r="K69">
        <v>1100.5746079999999</v>
      </c>
      <c r="L69">
        <v>1450</v>
      </c>
      <c r="M69">
        <v>75.901696999999999</v>
      </c>
      <c r="N69" t="s">
        <v>125</v>
      </c>
      <c r="O69">
        <v>0</v>
      </c>
      <c r="P69">
        <v>66.661383999999998</v>
      </c>
      <c r="Q69">
        <v>44.440922</v>
      </c>
      <c r="R69">
        <v>50</v>
      </c>
      <c r="S69">
        <v>58.001511000000001</v>
      </c>
      <c r="T69">
        <v>72.890871000000004</v>
      </c>
      <c r="U69">
        <v>38.667673999999998</v>
      </c>
      <c r="V69">
        <v>50</v>
      </c>
      <c r="W69">
        <v>61.453494999999997</v>
      </c>
      <c r="X69">
        <v>40.968997000000002</v>
      </c>
      <c r="Y69">
        <v>50</v>
      </c>
      <c r="Z69">
        <v>67.834479999999999</v>
      </c>
      <c r="AA69">
        <v>52.560732999999999</v>
      </c>
      <c r="AB69">
        <v>35.040489000000001</v>
      </c>
      <c r="AC69">
        <v>50</v>
      </c>
      <c r="AD69">
        <v>65.630537000000004</v>
      </c>
      <c r="AE69">
        <v>43.753691000000003</v>
      </c>
      <c r="AF69">
        <v>50</v>
      </c>
      <c r="AG69">
        <v>57.053668999999999</v>
      </c>
      <c r="AH69">
        <v>71.173856000000001</v>
      </c>
      <c r="AI69">
        <v>38.035778999999998</v>
      </c>
      <c r="AJ69">
        <v>50</v>
      </c>
      <c r="AK69">
        <v>14.88</v>
      </c>
      <c r="AL69">
        <v>15.27</v>
      </c>
      <c r="AM69">
        <v>14.12</v>
      </c>
      <c r="AN69">
        <v>0.58535400000000004</v>
      </c>
      <c r="AO69">
        <v>58.535438999999997</v>
      </c>
      <c r="AP69">
        <v>100</v>
      </c>
      <c r="AQ69">
        <v>0.56390099999999999</v>
      </c>
      <c r="AR69">
        <v>56.390135999999998</v>
      </c>
      <c r="AS69">
        <v>100</v>
      </c>
      <c r="AT69">
        <v>0.539636</v>
      </c>
      <c r="AU69">
        <v>0.61690500000000004</v>
      </c>
      <c r="AV69">
        <v>53.963572999999997</v>
      </c>
      <c r="AW69">
        <v>100</v>
      </c>
      <c r="AX69">
        <v>0.52947500000000003</v>
      </c>
      <c r="AY69">
        <v>0.58747799999999994</v>
      </c>
      <c r="AZ69">
        <v>52.947476999999999</v>
      </c>
      <c r="BA69">
        <v>100</v>
      </c>
      <c r="BB69">
        <v>0.67744599999999999</v>
      </c>
      <c r="BC69">
        <v>33.872320999999999</v>
      </c>
      <c r="BD69">
        <v>50</v>
      </c>
      <c r="BE69">
        <v>0.53608100000000003</v>
      </c>
      <c r="BF69">
        <v>26.804072999999999</v>
      </c>
      <c r="BG69">
        <v>50</v>
      </c>
      <c r="BH69">
        <v>0</v>
      </c>
      <c r="BI69">
        <v>0.98486399999999996</v>
      </c>
      <c r="BJ69">
        <v>0.97810799999999998</v>
      </c>
      <c r="BK69">
        <v>0.98996499999999998</v>
      </c>
      <c r="BL69">
        <v>0.98385500000000004</v>
      </c>
      <c r="BM69">
        <v>0.97576200000000002</v>
      </c>
      <c r="BN69">
        <v>0.98996499999999998</v>
      </c>
      <c r="BO69">
        <v>0.97834200000000004</v>
      </c>
      <c r="BP69">
        <v>0.96309999999999996</v>
      </c>
      <c r="BQ69">
        <v>0.98870800000000003</v>
      </c>
      <c r="BR69">
        <v>6.0176E-2</v>
      </c>
      <c r="BS69">
        <v>47.964793</v>
      </c>
      <c r="BT69">
        <v>50</v>
      </c>
      <c r="BU69">
        <v>0.109083</v>
      </c>
      <c r="BV69">
        <v>38.183399000000001</v>
      </c>
      <c r="BW69">
        <v>50</v>
      </c>
      <c r="BX69">
        <v>0.79343200000000003</v>
      </c>
      <c r="BY69">
        <v>50</v>
      </c>
      <c r="BZ69">
        <v>50</v>
      </c>
      <c r="CA69">
        <v>0.42584699999999998</v>
      </c>
      <c r="CB69">
        <v>28.389831000000001</v>
      </c>
      <c r="CC69">
        <v>50</v>
      </c>
      <c r="CD69">
        <v>0.99133300000000002</v>
      </c>
      <c r="CE69">
        <v>50</v>
      </c>
      <c r="CF69">
        <v>50</v>
      </c>
      <c r="CG69">
        <v>0.93361899999999998</v>
      </c>
      <c r="CH69">
        <v>99.321154000000007</v>
      </c>
      <c r="CI69">
        <v>100</v>
      </c>
      <c r="CJ69">
        <v>0</v>
      </c>
      <c r="CK69">
        <v>0.87026999999999999</v>
      </c>
      <c r="CL69">
        <v>92.581943999999993</v>
      </c>
      <c r="CM69">
        <v>100</v>
      </c>
      <c r="CN69">
        <v>0.73499999999999999</v>
      </c>
      <c r="CO69">
        <v>97.977528000000007</v>
      </c>
      <c r="CP69">
        <v>100</v>
      </c>
      <c r="CQ69">
        <v>0.47964600000000002</v>
      </c>
      <c r="CR69">
        <v>0.93853799999999998</v>
      </c>
      <c r="CS69">
        <v>31.976400999999999</v>
      </c>
      <c r="CT69">
        <v>50</v>
      </c>
      <c r="CU69">
        <v>0.48910799999999999</v>
      </c>
      <c r="CV69">
        <v>40.758989999999997</v>
      </c>
      <c r="CW69">
        <v>50</v>
      </c>
      <c r="CX69">
        <v>0.87026999999999999</v>
      </c>
      <c r="CY69">
        <v>0.94</v>
      </c>
      <c r="CZ69">
        <v>6.973E-2</v>
      </c>
      <c r="DA69">
        <v>15.389535</v>
      </c>
      <c r="DB69">
        <v>17.608319000000002</v>
      </c>
      <c r="DC69">
        <v>16.064022999999999</v>
      </c>
      <c r="DD69">
        <v>11.115401</v>
      </c>
      <c r="DE69" t="s">
        <v>125</v>
      </c>
      <c r="DJ69" t="s">
        <v>125</v>
      </c>
      <c r="DK69" t="s">
        <v>125</v>
      </c>
      <c r="DL69" t="s">
        <v>125</v>
      </c>
      <c r="DM69" t="s">
        <v>125</v>
      </c>
      <c r="DN69" t="s">
        <v>125</v>
      </c>
      <c r="DO69" t="s">
        <v>125</v>
      </c>
      <c r="DQ69" t="s">
        <v>126</v>
      </c>
    </row>
    <row r="70" spans="1:121" x14ac:dyDescent="0.15">
      <c r="A70">
        <v>2018</v>
      </c>
      <c r="B70" t="s">
        <v>192</v>
      </c>
      <c r="C70" t="str">
        <f>"1610011"</f>
        <v>1610011</v>
      </c>
      <c r="D70" t="s">
        <v>123</v>
      </c>
      <c r="E70" t="str">
        <f t="shared" si="0"/>
        <v>0000000</v>
      </c>
      <c r="F70" t="s">
        <v>123</v>
      </c>
      <c r="G70" t="s">
        <v>123</v>
      </c>
      <c r="H70" t="s">
        <v>123</v>
      </c>
      <c r="J70" t="s">
        <v>124</v>
      </c>
      <c r="K70">
        <v>1147.240033</v>
      </c>
      <c r="L70">
        <v>1350</v>
      </c>
      <c r="M70">
        <v>84.980743000000004</v>
      </c>
      <c r="N70" t="s">
        <v>125</v>
      </c>
      <c r="O70">
        <v>1</v>
      </c>
      <c r="P70">
        <v>80.597142000000005</v>
      </c>
      <c r="Q70">
        <v>50</v>
      </c>
      <c r="R70">
        <v>50</v>
      </c>
      <c r="S70">
        <v>65.600412000000006</v>
      </c>
      <c r="T70">
        <v>75</v>
      </c>
      <c r="U70">
        <v>43.733607999999997</v>
      </c>
      <c r="V70">
        <v>50</v>
      </c>
      <c r="W70">
        <v>76.458414000000005</v>
      </c>
      <c r="X70">
        <v>50</v>
      </c>
      <c r="Y70">
        <v>50</v>
      </c>
      <c r="Z70">
        <v>75</v>
      </c>
      <c r="AA70">
        <v>60.207169</v>
      </c>
      <c r="AB70">
        <v>40.138112999999997</v>
      </c>
      <c r="AC70">
        <v>50</v>
      </c>
      <c r="AD70">
        <v>73.561082999999996</v>
      </c>
      <c r="AE70">
        <v>49.040722000000002</v>
      </c>
      <c r="AF70">
        <v>50</v>
      </c>
      <c r="AG70">
        <v>58.606499999999997</v>
      </c>
      <c r="AH70">
        <v>75</v>
      </c>
      <c r="AI70">
        <v>39.070999999999998</v>
      </c>
      <c r="AJ70">
        <v>50</v>
      </c>
      <c r="AK70">
        <v>9.39</v>
      </c>
      <c r="AL70">
        <v>14.79</v>
      </c>
      <c r="AM70">
        <v>16.39</v>
      </c>
      <c r="AN70">
        <v>0.66285700000000003</v>
      </c>
      <c r="AO70">
        <v>66.285701000000003</v>
      </c>
      <c r="AP70">
        <v>100</v>
      </c>
      <c r="AQ70">
        <v>0.73269499999999999</v>
      </c>
      <c r="AR70">
        <v>73.269508999999999</v>
      </c>
      <c r="AS70">
        <v>100</v>
      </c>
      <c r="AT70">
        <v>0.54181199999999996</v>
      </c>
      <c r="AU70">
        <v>0.69155</v>
      </c>
      <c r="AV70">
        <v>54.181229000000002</v>
      </c>
      <c r="AW70">
        <v>100</v>
      </c>
      <c r="AX70">
        <v>0.54876599999999998</v>
      </c>
      <c r="AY70">
        <v>0.77578899999999995</v>
      </c>
      <c r="AZ70">
        <v>54.876600000000003</v>
      </c>
      <c r="BA70">
        <v>100</v>
      </c>
      <c r="BB70" t="s">
        <v>125</v>
      </c>
      <c r="BC70" t="s">
        <v>125</v>
      </c>
      <c r="BD70" t="s">
        <v>125</v>
      </c>
      <c r="BE70" t="s">
        <v>125</v>
      </c>
      <c r="BF70" t="s">
        <v>125</v>
      </c>
      <c r="BG70" t="s">
        <v>125</v>
      </c>
      <c r="BH70">
        <v>1</v>
      </c>
      <c r="BI70">
        <v>0.96381099999999997</v>
      </c>
      <c r="BJ70">
        <v>0.92608699999999999</v>
      </c>
      <c r="BK70">
        <v>0.97388300000000005</v>
      </c>
      <c r="BL70">
        <v>0.96425300000000003</v>
      </c>
      <c r="BM70">
        <v>0.92592600000000003</v>
      </c>
      <c r="BN70">
        <v>0.97446299999999997</v>
      </c>
      <c r="BO70">
        <v>0.93382399999999999</v>
      </c>
      <c r="BP70">
        <v>0.85650199999999999</v>
      </c>
      <c r="BQ70">
        <v>0.95747599999999999</v>
      </c>
      <c r="BR70">
        <v>4.7962999999999999E-2</v>
      </c>
      <c r="BS70">
        <v>50</v>
      </c>
      <c r="BT70">
        <v>50</v>
      </c>
      <c r="BU70">
        <v>0.120779</v>
      </c>
      <c r="BV70">
        <v>35.844155999999998</v>
      </c>
      <c r="BW70">
        <v>50</v>
      </c>
      <c r="BX70">
        <v>0.89763800000000005</v>
      </c>
      <c r="BY70">
        <v>50</v>
      </c>
      <c r="BZ70">
        <v>50</v>
      </c>
      <c r="CA70">
        <v>0.8</v>
      </c>
      <c r="CB70">
        <v>50</v>
      </c>
      <c r="CC70">
        <v>50</v>
      </c>
      <c r="CD70">
        <v>0.93252599999999997</v>
      </c>
      <c r="CE70">
        <v>49.602443999999998</v>
      </c>
      <c r="CF70">
        <v>50</v>
      </c>
      <c r="CG70">
        <v>0.975684</v>
      </c>
      <c r="CH70">
        <v>100</v>
      </c>
      <c r="CI70">
        <v>100</v>
      </c>
      <c r="CJ70">
        <v>0</v>
      </c>
      <c r="CK70">
        <v>0.94736799999999999</v>
      </c>
      <c r="CL70">
        <v>100</v>
      </c>
      <c r="CM70">
        <v>100</v>
      </c>
      <c r="CN70">
        <v>0.91800000000000004</v>
      </c>
      <c r="CO70">
        <v>100</v>
      </c>
      <c r="CP70">
        <v>100</v>
      </c>
      <c r="CQ70">
        <v>0.70193899999999998</v>
      </c>
      <c r="CR70">
        <v>0.93433999999999995</v>
      </c>
      <c r="CS70">
        <v>46.795907</v>
      </c>
      <c r="CT70">
        <v>50</v>
      </c>
      <c r="CU70">
        <v>0.53281299999999998</v>
      </c>
      <c r="CV70">
        <v>44.401041999999997</v>
      </c>
      <c r="CW70">
        <v>50</v>
      </c>
      <c r="CX70">
        <v>0.94736799999999999</v>
      </c>
      <c r="CY70">
        <v>0.94</v>
      </c>
      <c r="CZ70">
        <v>-7.3680000000000004E-3</v>
      </c>
      <c r="DA70">
        <v>15.389535</v>
      </c>
      <c r="DB70">
        <v>17.608319000000002</v>
      </c>
      <c r="DC70">
        <v>16.064022999999999</v>
      </c>
      <c r="DD70">
        <v>11.115401</v>
      </c>
      <c r="DE70" t="s">
        <v>125</v>
      </c>
      <c r="DJ70" t="s">
        <v>125</v>
      </c>
      <c r="DK70" t="s">
        <v>125</v>
      </c>
      <c r="DL70" t="s">
        <v>125</v>
      </c>
      <c r="DM70" t="s">
        <v>125</v>
      </c>
      <c r="DN70" t="s">
        <v>125</v>
      </c>
      <c r="DO70" t="s">
        <v>125</v>
      </c>
      <c r="DQ70" t="s">
        <v>126</v>
      </c>
    </row>
    <row r="71" spans="1:121" x14ac:dyDescent="0.15">
      <c r="A71">
        <v>2018</v>
      </c>
      <c r="B71" t="s">
        <v>193</v>
      </c>
      <c r="C71" t="str">
        <f>"0520011"</f>
        <v>0520011</v>
      </c>
      <c r="D71" t="s">
        <v>123</v>
      </c>
      <c r="E71" t="str">
        <f t="shared" si="0"/>
        <v>0000000</v>
      </c>
      <c r="F71" t="s">
        <v>123</v>
      </c>
      <c r="G71" t="s">
        <v>123</v>
      </c>
      <c r="H71" t="s">
        <v>123</v>
      </c>
      <c r="J71" t="s">
        <v>124</v>
      </c>
      <c r="K71">
        <v>1220.94183</v>
      </c>
      <c r="L71">
        <v>1450</v>
      </c>
      <c r="M71">
        <v>84.202884999999995</v>
      </c>
      <c r="N71" t="s">
        <v>125</v>
      </c>
      <c r="O71">
        <v>0</v>
      </c>
      <c r="P71">
        <v>81.419061999999997</v>
      </c>
      <c r="Q71">
        <v>50</v>
      </c>
      <c r="R71">
        <v>50</v>
      </c>
      <c r="S71">
        <v>69.234142000000006</v>
      </c>
      <c r="T71">
        <v>75</v>
      </c>
      <c r="U71">
        <v>46.156094000000003</v>
      </c>
      <c r="V71">
        <v>50</v>
      </c>
      <c r="W71">
        <v>77.547616000000005</v>
      </c>
      <c r="X71">
        <v>50</v>
      </c>
      <c r="Y71">
        <v>50</v>
      </c>
      <c r="Z71">
        <v>75</v>
      </c>
      <c r="AA71">
        <v>64.450458999999995</v>
      </c>
      <c r="AB71">
        <v>42.966971999999998</v>
      </c>
      <c r="AC71">
        <v>50</v>
      </c>
      <c r="AD71">
        <v>81.100970000000004</v>
      </c>
      <c r="AE71">
        <v>50</v>
      </c>
      <c r="AF71">
        <v>50</v>
      </c>
      <c r="AG71">
        <v>68.679483000000005</v>
      </c>
      <c r="AH71">
        <v>75</v>
      </c>
      <c r="AI71">
        <v>45.786321999999998</v>
      </c>
      <c r="AJ71">
        <v>50</v>
      </c>
      <c r="AK71">
        <v>5.76</v>
      </c>
      <c r="AL71">
        <v>10.54</v>
      </c>
      <c r="AM71">
        <v>6.32</v>
      </c>
      <c r="AN71">
        <v>0.706839</v>
      </c>
      <c r="AO71">
        <v>70.683948000000001</v>
      </c>
      <c r="AP71">
        <v>100</v>
      </c>
      <c r="AQ71">
        <v>0.74625300000000006</v>
      </c>
      <c r="AR71">
        <v>74.625342000000003</v>
      </c>
      <c r="AS71">
        <v>100</v>
      </c>
      <c r="AT71">
        <v>0.57910200000000001</v>
      </c>
      <c r="AU71">
        <v>0.74919599999999997</v>
      </c>
      <c r="AV71">
        <v>57.910212999999999</v>
      </c>
      <c r="AW71">
        <v>100</v>
      </c>
      <c r="AX71">
        <v>0.61180100000000004</v>
      </c>
      <c r="AY71">
        <v>0.79064199999999996</v>
      </c>
      <c r="AZ71">
        <v>61.180073</v>
      </c>
      <c r="BA71">
        <v>100</v>
      </c>
      <c r="BB71">
        <v>0.51328499999999999</v>
      </c>
      <c r="BC71">
        <v>25.664225999999999</v>
      </c>
      <c r="BD71">
        <v>50</v>
      </c>
      <c r="BE71">
        <v>0.58410099999999998</v>
      </c>
      <c r="BF71">
        <v>29.20505</v>
      </c>
      <c r="BG71">
        <v>50</v>
      </c>
      <c r="BH71">
        <v>0</v>
      </c>
      <c r="BI71">
        <v>0.99371600000000004</v>
      </c>
      <c r="BJ71">
        <v>0.989811</v>
      </c>
      <c r="BK71">
        <v>0.99545700000000004</v>
      </c>
      <c r="BL71">
        <v>0.99326400000000004</v>
      </c>
      <c r="BM71">
        <v>0.98833800000000005</v>
      </c>
      <c r="BN71">
        <v>0.99545700000000004</v>
      </c>
      <c r="BO71">
        <v>0.98734200000000005</v>
      </c>
      <c r="BP71">
        <v>0.97482000000000002</v>
      </c>
      <c r="BQ71">
        <v>0.992537</v>
      </c>
      <c r="BR71">
        <v>5.4378000000000003E-2</v>
      </c>
      <c r="BS71">
        <v>49.124470000000002</v>
      </c>
      <c r="BT71">
        <v>50</v>
      </c>
      <c r="BU71">
        <v>0.11806800000000001</v>
      </c>
      <c r="BV71">
        <v>36.386403999999999</v>
      </c>
      <c r="BW71">
        <v>50</v>
      </c>
      <c r="BX71">
        <v>0.78842999999999996</v>
      </c>
      <c r="BY71">
        <v>50</v>
      </c>
      <c r="BZ71">
        <v>50</v>
      </c>
      <c r="CA71">
        <v>0.70082599999999995</v>
      </c>
      <c r="CB71">
        <v>46.721763000000003</v>
      </c>
      <c r="CC71">
        <v>50</v>
      </c>
      <c r="CD71">
        <v>0.98936199999999996</v>
      </c>
      <c r="CE71">
        <v>50</v>
      </c>
      <c r="CF71">
        <v>50</v>
      </c>
      <c r="CG71">
        <v>0.956229</v>
      </c>
      <c r="CH71">
        <v>100</v>
      </c>
      <c r="CI71">
        <v>100</v>
      </c>
      <c r="CJ71">
        <v>0</v>
      </c>
      <c r="CK71">
        <v>0.93670900000000001</v>
      </c>
      <c r="CL71">
        <v>99.649878999999999</v>
      </c>
      <c r="CM71">
        <v>100</v>
      </c>
      <c r="CN71">
        <v>0.81899999999999995</v>
      </c>
      <c r="CO71">
        <v>100</v>
      </c>
      <c r="CP71">
        <v>100</v>
      </c>
      <c r="CQ71">
        <v>0.554392</v>
      </c>
      <c r="CR71">
        <v>0.95756200000000002</v>
      </c>
      <c r="CS71">
        <v>36.959440999999998</v>
      </c>
      <c r="CT71">
        <v>50</v>
      </c>
      <c r="CU71">
        <v>0.57506000000000002</v>
      </c>
      <c r="CV71">
        <v>47.921630999999998</v>
      </c>
      <c r="CW71">
        <v>50</v>
      </c>
      <c r="CX71">
        <v>0.93670900000000001</v>
      </c>
      <c r="CY71">
        <v>0.94</v>
      </c>
      <c r="CZ71">
        <v>3.2910000000000001E-3</v>
      </c>
      <c r="DA71">
        <v>15.389535</v>
      </c>
      <c r="DB71">
        <v>17.608319000000002</v>
      </c>
      <c r="DC71">
        <v>16.064022999999999</v>
      </c>
      <c r="DD71">
        <v>11.115401</v>
      </c>
      <c r="DE71" t="s">
        <v>125</v>
      </c>
      <c r="DJ71" t="s">
        <v>125</v>
      </c>
      <c r="DK71" t="s">
        <v>125</v>
      </c>
      <c r="DL71" t="s">
        <v>125</v>
      </c>
      <c r="DM71" t="s">
        <v>125</v>
      </c>
      <c r="DN71" t="s">
        <v>125</v>
      </c>
      <c r="DO71" t="s">
        <v>125</v>
      </c>
      <c r="DQ71" t="s">
        <v>126</v>
      </c>
    </row>
    <row r="72" spans="1:121" x14ac:dyDescent="0.15">
      <c r="A72">
        <v>2018</v>
      </c>
      <c r="B72" t="s">
        <v>194</v>
      </c>
      <c r="C72" t="str">
        <f>"1650011"</f>
        <v>1650011</v>
      </c>
      <c r="D72" t="s">
        <v>123</v>
      </c>
      <c r="E72" t="str">
        <f t="shared" si="0"/>
        <v>0000000</v>
      </c>
      <c r="F72" t="s">
        <v>123</v>
      </c>
      <c r="G72" t="s">
        <v>123</v>
      </c>
      <c r="H72" t="s">
        <v>123</v>
      </c>
      <c r="J72" t="s">
        <v>124</v>
      </c>
      <c r="K72">
        <v>1039.16257</v>
      </c>
      <c r="L72">
        <v>1450</v>
      </c>
      <c r="M72">
        <v>71.666383999999994</v>
      </c>
      <c r="N72" t="s">
        <v>125</v>
      </c>
      <c r="O72">
        <v>0</v>
      </c>
      <c r="P72">
        <v>63.241636999999997</v>
      </c>
      <c r="Q72">
        <v>42.161090999999999</v>
      </c>
      <c r="R72">
        <v>50</v>
      </c>
      <c r="S72">
        <v>58.046128000000003</v>
      </c>
      <c r="T72">
        <v>70.678020000000004</v>
      </c>
      <c r="U72">
        <v>38.697418999999996</v>
      </c>
      <c r="V72">
        <v>50</v>
      </c>
      <c r="W72">
        <v>59.347234</v>
      </c>
      <c r="X72">
        <v>39.564822999999997</v>
      </c>
      <c r="Y72">
        <v>50</v>
      </c>
      <c r="Z72">
        <v>66.497246000000004</v>
      </c>
      <c r="AA72">
        <v>54.351801000000002</v>
      </c>
      <c r="AB72">
        <v>36.234533999999996</v>
      </c>
      <c r="AC72">
        <v>50</v>
      </c>
      <c r="AD72">
        <v>57.133580000000002</v>
      </c>
      <c r="AE72">
        <v>38.089053999999997</v>
      </c>
      <c r="AF72">
        <v>50</v>
      </c>
      <c r="AG72">
        <v>51.935087000000003</v>
      </c>
      <c r="AH72">
        <v>64.314233000000002</v>
      </c>
      <c r="AI72">
        <v>34.623390999999998</v>
      </c>
      <c r="AJ72">
        <v>50</v>
      </c>
      <c r="AK72">
        <v>12.63</v>
      </c>
      <c r="AL72">
        <v>12.14</v>
      </c>
      <c r="AM72">
        <v>12.37</v>
      </c>
      <c r="AN72">
        <v>0.49911499999999998</v>
      </c>
      <c r="AO72">
        <v>49.911524</v>
      </c>
      <c r="AP72">
        <v>100</v>
      </c>
      <c r="AQ72">
        <v>0.58089900000000005</v>
      </c>
      <c r="AR72">
        <v>58.089852999999998</v>
      </c>
      <c r="AS72">
        <v>100</v>
      </c>
      <c r="AT72">
        <v>0.45501000000000003</v>
      </c>
      <c r="AU72">
        <v>0.56338200000000005</v>
      </c>
      <c r="AV72">
        <v>45.501041999999998</v>
      </c>
      <c r="AW72">
        <v>100</v>
      </c>
      <c r="AX72">
        <v>0.57512799999999997</v>
      </c>
      <c r="AY72">
        <v>0.589252</v>
      </c>
      <c r="AZ72">
        <v>57.512818000000003</v>
      </c>
      <c r="BA72">
        <v>100</v>
      </c>
      <c r="BB72">
        <v>0.70999699999999999</v>
      </c>
      <c r="BC72">
        <v>35.499834999999997</v>
      </c>
      <c r="BD72">
        <v>50</v>
      </c>
      <c r="BE72">
        <v>0.59024399999999999</v>
      </c>
      <c r="BF72">
        <v>29.512186</v>
      </c>
      <c r="BG72">
        <v>50</v>
      </c>
      <c r="BH72">
        <v>0</v>
      </c>
      <c r="BI72">
        <v>0.98750000000000004</v>
      </c>
      <c r="BJ72">
        <v>0.98124999999999996</v>
      </c>
      <c r="BK72">
        <v>0.99687499999999996</v>
      </c>
      <c r="BL72">
        <v>0.98750000000000004</v>
      </c>
      <c r="BM72">
        <v>0.98124999999999996</v>
      </c>
      <c r="BN72">
        <v>0.99687499999999996</v>
      </c>
      <c r="BO72">
        <v>0.99415200000000004</v>
      </c>
      <c r="BP72">
        <v>0.99</v>
      </c>
      <c r="BQ72">
        <v>1</v>
      </c>
      <c r="BR72">
        <v>0.12600500000000001</v>
      </c>
      <c r="BS72">
        <v>34.798927999999997</v>
      </c>
      <c r="BT72">
        <v>50</v>
      </c>
      <c r="BU72">
        <v>0.166852</v>
      </c>
      <c r="BV72">
        <v>26.629587999999998</v>
      </c>
      <c r="BW72">
        <v>50</v>
      </c>
      <c r="BX72">
        <v>0.86639699999999997</v>
      </c>
      <c r="BY72">
        <v>50</v>
      </c>
      <c r="BZ72">
        <v>50</v>
      </c>
      <c r="CA72">
        <v>0.31174099999999999</v>
      </c>
      <c r="CB72">
        <v>20.782726</v>
      </c>
      <c r="CC72">
        <v>50</v>
      </c>
      <c r="CD72">
        <v>0.85520399999999996</v>
      </c>
      <c r="CE72">
        <v>45.489553999999998</v>
      </c>
      <c r="CF72">
        <v>50</v>
      </c>
      <c r="CG72">
        <v>0.89344299999999999</v>
      </c>
      <c r="CH72">
        <v>95.047088000000002</v>
      </c>
      <c r="CI72">
        <v>100</v>
      </c>
      <c r="CJ72">
        <v>0</v>
      </c>
      <c r="CK72">
        <v>0.93589699999999998</v>
      </c>
      <c r="CL72">
        <v>99.563557000000003</v>
      </c>
      <c r="CM72">
        <v>100</v>
      </c>
      <c r="CN72">
        <v>0.624</v>
      </c>
      <c r="CO72">
        <v>83.190882999999999</v>
      </c>
      <c r="CP72">
        <v>100</v>
      </c>
      <c r="CQ72">
        <v>0.42393999999999998</v>
      </c>
      <c r="CR72">
        <v>0.92183899999999996</v>
      </c>
      <c r="CS72">
        <v>28.262677</v>
      </c>
      <c r="CT72">
        <v>50</v>
      </c>
      <c r="CU72">
        <v>0.60599599999999998</v>
      </c>
      <c r="CV72">
        <v>50</v>
      </c>
      <c r="CW72">
        <v>50</v>
      </c>
      <c r="CX72">
        <v>0.93589699999999998</v>
      </c>
      <c r="CY72">
        <v>0.94</v>
      </c>
      <c r="CZ72">
        <v>4.1029999999999999E-3</v>
      </c>
      <c r="DA72">
        <v>15.389535</v>
      </c>
      <c r="DB72">
        <v>17.608319000000002</v>
      </c>
      <c r="DC72">
        <v>16.064022999999999</v>
      </c>
      <c r="DD72">
        <v>11.115401</v>
      </c>
      <c r="DE72" t="s">
        <v>125</v>
      </c>
      <c r="DJ72" t="s">
        <v>125</v>
      </c>
      <c r="DK72" t="s">
        <v>125</v>
      </c>
      <c r="DL72" t="s">
        <v>125</v>
      </c>
      <c r="DM72" t="s">
        <v>125</v>
      </c>
      <c r="DN72" t="s">
        <v>125</v>
      </c>
      <c r="DO72" t="s">
        <v>125</v>
      </c>
      <c r="DQ72" t="s">
        <v>126</v>
      </c>
    </row>
    <row r="73" spans="1:121" x14ac:dyDescent="0.15">
      <c r="A73">
        <v>2018</v>
      </c>
      <c r="B73" t="s">
        <v>195</v>
      </c>
      <c r="C73" t="str">
        <f>"2060012"</f>
        <v>2060012</v>
      </c>
      <c r="D73" t="s">
        <v>123</v>
      </c>
      <c r="E73" t="str">
        <f t="shared" si="0"/>
        <v>0000000</v>
      </c>
      <c r="F73" t="s">
        <v>123</v>
      </c>
      <c r="G73" t="s">
        <v>123</v>
      </c>
      <c r="H73" t="s">
        <v>123</v>
      </c>
      <c r="J73" t="s">
        <v>124</v>
      </c>
      <c r="K73">
        <v>1077.733733</v>
      </c>
      <c r="L73">
        <v>1350</v>
      </c>
      <c r="M73">
        <v>79.832127999999997</v>
      </c>
      <c r="N73" t="s">
        <v>125</v>
      </c>
      <c r="O73">
        <v>0</v>
      </c>
      <c r="P73">
        <v>74.120125999999999</v>
      </c>
      <c r="Q73">
        <v>49.413417000000003</v>
      </c>
      <c r="R73">
        <v>50</v>
      </c>
      <c r="S73">
        <v>63.670963999999998</v>
      </c>
      <c r="T73">
        <v>75</v>
      </c>
      <c r="U73">
        <v>42.447308999999997</v>
      </c>
      <c r="V73">
        <v>50</v>
      </c>
      <c r="W73">
        <v>68.115724999999998</v>
      </c>
      <c r="X73">
        <v>45.410482999999999</v>
      </c>
      <c r="Y73">
        <v>50</v>
      </c>
      <c r="Z73">
        <v>72.897024000000002</v>
      </c>
      <c r="AA73">
        <v>57.396358999999997</v>
      </c>
      <c r="AB73">
        <v>38.264240000000001</v>
      </c>
      <c r="AC73">
        <v>50</v>
      </c>
      <c r="AD73">
        <v>66.789282</v>
      </c>
      <c r="AE73">
        <v>44.526187999999998</v>
      </c>
      <c r="AF73">
        <v>50</v>
      </c>
      <c r="AG73">
        <v>59.451549999999997</v>
      </c>
      <c r="AH73">
        <v>69.685755</v>
      </c>
      <c r="AI73">
        <v>39.634366999999997</v>
      </c>
      <c r="AJ73">
        <v>50</v>
      </c>
      <c r="AK73">
        <v>11.32</v>
      </c>
      <c r="AL73">
        <v>15.5</v>
      </c>
      <c r="AM73">
        <v>10.23</v>
      </c>
      <c r="AN73">
        <v>0.59290200000000004</v>
      </c>
      <c r="AO73">
        <v>59.290202999999998</v>
      </c>
      <c r="AP73">
        <v>100</v>
      </c>
      <c r="AQ73">
        <v>0.69899299999999998</v>
      </c>
      <c r="AR73">
        <v>69.899337000000003</v>
      </c>
      <c r="AS73">
        <v>100</v>
      </c>
      <c r="AT73">
        <v>0.542883</v>
      </c>
      <c r="AU73">
        <v>0.61807299999999998</v>
      </c>
      <c r="AV73">
        <v>54.288285999999999</v>
      </c>
      <c r="AW73">
        <v>100</v>
      </c>
      <c r="AX73">
        <v>0.624475</v>
      </c>
      <c r="AY73">
        <v>0.73673699999999998</v>
      </c>
      <c r="AZ73">
        <v>62.447468999999998</v>
      </c>
      <c r="BA73">
        <v>100</v>
      </c>
      <c r="BB73" t="s">
        <v>125</v>
      </c>
      <c r="BC73" t="s">
        <v>125</v>
      </c>
      <c r="BD73" t="s">
        <v>125</v>
      </c>
      <c r="BE73" t="s">
        <v>125</v>
      </c>
      <c r="BF73" t="s">
        <v>125</v>
      </c>
      <c r="BG73" t="s">
        <v>125</v>
      </c>
      <c r="BH73">
        <v>0</v>
      </c>
      <c r="BI73">
        <v>0.99511000000000005</v>
      </c>
      <c r="BJ73">
        <v>0.99218799999999996</v>
      </c>
      <c r="BK73">
        <v>0.99644100000000002</v>
      </c>
      <c r="BL73">
        <v>0.99511000000000005</v>
      </c>
      <c r="BM73">
        <v>0.99218799999999996</v>
      </c>
      <c r="BN73">
        <v>0.99644100000000002</v>
      </c>
      <c r="BO73">
        <v>0.99532699999999996</v>
      </c>
      <c r="BP73">
        <v>0.98360700000000001</v>
      </c>
      <c r="BQ73">
        <v>1</v>
      </c>
      <c r="BR73">
        <v>6.9494E-2</v>
      </c>
      <c r="BS73">
        <v>46.101295999999998</v>
      </c>
      <c r="BT73">
        <v>50</v>
      </c>
      <c r="BU73">
        <v>0.12595400000000001</v>
      </c>
      <c r="BV73">
        <v>34.809159999999999</v>
      </c>
      <c r="BW73">
        <v>50</v>
      </c>
      <c r="BX73">
        <v>0.975248</v>
      </c>
      <c r="BY73">
        <v>50</v>
      </c>
      <c r="BZ73">
        <v>50</v>
      </c>
      <c r="CA73">
        <v>0.37623800000000002</v>
      </c>
      <c r="CB73">
        <v>25.082508000000001</v>
      </c>
      <c r="CC73">
        <v>50</v>
      </c>
      <c r="CD73">
        <v>0.96078399999999997</v>
      </c>
      <c r="CE73">
        <v>50</v>
      </c>
      <c r="CF73">
        <v>50</v>
      </c>
      <c r="CG73">
        <v>0.97222200000000003</v>
      </c>
      <c r="CH73">
        <v>100</v>
      </c>
      <c r="CI73">
        <v>100</v>
      </c>
      <c r="CJ73">
        <v>0</v>
      </c>
      <c r="CK73">
        <v>0.93548399999999998</v>
      </c>
      <c r="CL73">
        <v>99.519560999999996</v>
      </c>
      <c r="CM73">
        <v>100</v>
      </c>
      <c r="CN73">
        <v>0.67600000000000005</v>
      </c>
      <c r="CO73">
        <v>90.158730000000006</v>
      </c>
      <c r="CP73">
        <v>100</v>
      </c>
      <c r="CQ73">
        <v>0.62809899999999996</v>
      </c>
      <c r="CR73">
        <v>0.90636700000000003</v>
      </c>
      <c r="CS73">
        <v>41.873277999999999</v>
      </c>
      <c r="CT73">
        <v>50</v>
      </c>
      <c r="CU73">
        <v>0.41481499999999999</v>
      </c>
      <c r="CV73">
        <v>34.567900999999999</v>
      </c>
      <c r="CW73">
        <v>50</v>
      </c>
      <c r="CX73">
        <v>0.93548399999999998</v>
      </c>
      <c r="CY73">
        <v>0.94</v>
      </c>
      <c r="CZ73">
        <v>4.516E-3</v>
      </c>
      <c r="DA73">
        <v>15.389535</v>
      </c>
      <c r="DB73">
        <v>17.608319000000002</v>
      </c>
      <c r="DC73">
        <v>16.064022999999999</v>
      </c>
      <c r="DD73">
        <v>11.115401</v>
      </c>
      <c r="DE73" t="s">
        <v>125</v>
      </c>
      <c r="DJ73" t="s">
        <v>125</v>
      </c>
      <c r="DK73" t="s">
        <v>125</v>
      </c>
      <c r="DL73" t="s">
        <v>125</v>
      </c>
      <c r="DM73" t="s">
        <v>125</v>
      </c>
      <c r="DN73" t="s">
        <v>125</v>
      </c>
      <c r="DO73" t="s">
        <v>125</v>
      </c>
      <c r="DQ73" t="s">
        <v>126</v>
      </c>
    </row>
    <row r="74" spans="1:121" x14ac:dyDescent="0.15">
      <c r="A74">
        <v>2018</v>
      </c>
      <c r="B74" t="s">
        <v>196</v>
      </c>
      <c r="C74" t="str">
        <f>"0560011"</f>
        <v>0560011</v>
      </c>
      <c r="D74" t="s">
        <v>123</v>
      </c>
      <c r="E74" t="str">
        <f t="shared" si="0"/>
        <v>0000000</v>
      </c>
      <c r="F74" t="s">
        <v>123</v>
      </c>
      <c r="G74" t="s">
        <v>123</v>
      </c>
      <c r="H74" t="s">
        <v>123</v>
      </c>
      <c r="J74" t="s">
        <v>124</v>
      </c>
      <c r="K74">
        <v>1145.456101</v>
      </c>
      <c r="L74">
        <v>1350</v>
      </c>
      <c r="M74">
        <v>84.848600000000005</v>
      </c>
      <c r="N74" t="s">
        <v>125</v>
      </c>
      <c r="O74">
        <v>0</v>
      </c>
      <c r="P74">
        <v>77.189096000000006</v>
      </c>
      <c r="Q74">
        <v>50</v>
      </c>
      <c r="R74">
        <v>50</v>
      </c>
      <c r="S74">
        <v>66.096292000000005</v>
      </c>
      <c r="T74">
        <v>75</v>
      </c>
      <c r="U74">
        <v>44.064194999999998</v>
      </c>
      <c r="V74">
        <v>50</v>
      </c>
      <c r="W74">
        <v>70.973256000000006</v>
      </c>
      <c r="X74">
        <v>47.315503999999997</v>
      </c>
      <c r="Y74">
        <v>50</v>
      </c>
      <c r="Z74">
        <v>75</v>
      </c>
      <c r="AA74">
        <v>58.411403</v>
      </c>
      <c r="AB74">
        <v>38.940935000000003</v>
      </c>
      <c r="AC74">
        <v>50</v>
      </c>
      <c r="AD74">
        <v>77.852232999999998</v>
      </c>
      <c r="AE74">
        <v>50</v>
      </c>
      <c r="AF74">
        <v>50</v>
      </c>
      <c r="AG74">
        <v>63.146813999999999</v>
      </c>
      <c r="AH74">
        <v>75</v>
      </c>
      <c r="AI74">
        <v>42.097875999999999</v>
      </c>
      <c r="AJ74">
        <v>50</v>
      </c>
      <c r="AK74">
        <v>8.9</v>
      </c>
      <c r="AL74">
        <v>16.579999999999998</v>
      </c>
      <c r="AM74">
        <v>11.85</v>
      </c>
      <c r="AN74">
        <v>0.68610400000000005</v>
      </c>
      <c r="AO74">
        <v>68.610394999999997</v>
      </c>
      <c r="AP74">
        <v>100</v>
      </c>
      <c r="AQ74">
        <v>0.67362200000000005</v>
      </c>
      <c r="AR74">
        <v>67.362217999999999</v>
      </c>
      <c r="AS74">
        <v>100</v>
      </c>
      <c r="AT74">
        <v>0.59083399999999997</v>
      </c>
      <c r="AU74">
        <v>0.71960400000000002</v>
      </c>
      <c r="AV74">
        <v>59.083353000000002</v>
      </c>
      <c r="AW74">
        <v>100</v>
      </c>
      <c r="AX74">
        <v>0.58761099999999999</v>
      </c>
      <c r="AY74">
        <v>0.70340199999999997</v>
      </c>
      <c r="AZ74">
        <v>58.761118000000003</v>
      </c>
      <c r="BA74">
        <v>100</v>
      </c>
      <c r="BB74" t="s">
        <v>125</v>
      </c>
      <c r="BC74" t="s">
        <v>125</v>
      </c>
      <c r="BD74" t="s">
        <v>125</v>
      </c>
      <c r="BE74" t="s">
        <v>125</v>
      </c>
      <c r="BF74" t="s">
        <v>125</v>
      </c>
      <c r="BG74" t="s">
        <v>125</v>
      </c>
      <c r="BH74">
        <v>0</v>
      </c>
      <c r="BI74">
        <v>0.99390199999999995</v>
      </c>
      <c r="BJ74">
        <v>0.98467400000000005</v>
      </c>
      <c r="BK74">
        <v>0.99723399999999995</v>
      </c>
      <c r="BL74">
        <v>0.99086300000000005</v>
      </c>
      <c r="BM74">
        <v>0.97701099999999996</v>
      </c>
      <c r="BN74">
        <v>0.99585599999999996</v>
      </c>
      <c r="BO74">
        <v>0.98341199999999995</v>
      </c>
      <c r="BP74">
        <v>0.96226400000000001</v>
      </c>
      <c r="BQ74">
        <v>0.990506</v>
      </c>
      <c r="BR74">
        <v>5.2283999999999997E-2</v>
      </c>
      <c r="BS74">
        <v>49.543202999999998</v>
      </c>
      <c r="BT74">
        <v>50</v>
      </c>
      <c r="BU74">
        <v>0.11479</v>
      </c>
      <c r="BV74">
        <v>37.041943000000003</v>
      </c>
      <c r="BW74">
        <v>50</v>
      </c>
      <c r="BX74">
        <v>0.97604800000000003</v>
      </c>
      <c r="BY74">
        <v>50</v>
      </c>
      <c r="BZ74">
        <v>50</v>
      </c>
      <c r="CA74">
        <v>0.65269500000000003</v>
      </c>
      <c r="CB74">
        <v>43.512974</v>
      </c>
      <c r="CC74">
        <v>50</v>
      </c>
      <c r="CD74">
        <v>0.98701300000000003</v>
      </c>
      <c r="CE74">
        <v>50</v>
      </c>
      <c r="CF74">
        <v>50</v>
      </c>
      <c r="CG74">
        <v>0.969136</v>
      </c>
      <c r="CH74">
        <v>100</v>
      </c>
      <c r="CI74">
        <v>100</v>
      </c>
      <c r="CJ74">
        <v>0</v>
      </c>
      <c r="CK74">
        <v>0.97222200000000003</v>
      </c>
      <c r="CL74">
        <v>100</v>
      </c>
      <c r="CM74">
        <v>100</v>
      </c>
      <c r="CN74">
        <v>0.79600000000000004</v>
      </c>
      <c r="CO74">
        <v>100</v>
      </c>
      <c r="CP74">
        <v>100</v>
      </c>
      <c r="CQ74">
        <v>0.65272699999999995</v>
      </c>
      <c r="CR74">
        <v>0.95652199999999998</v>
      </c>
      <c r="CS74">
        <v>43.515152</v>
      </c>
      <c r="CT74">
        <v>50</v>
      </c>
      <c r="CU74">
        <v>0.54728699999999997</v>
      </c>
      <c r="CV74">
        <v>45.607235000000003</v>
      </c>
      <c r="CW74">
        <v>50</v>
      </c>
      <c r="CX74">
        <v>0.97222200000000003</v>
      </c>
      <c r="CY74">
        <v>0.94</v>
      </c>
      <c r="CZ74">
        <v>-3.2222000000000001E-2</v>
      </c>
      <c r="DA74">
        <v>15.389535</v>
      </c>
      <c r="DB74">
        <v>17.608319000000002</v>
      </c>
      <c r="DC74">
        <v>16.064022999999999</v>
      </c>
      <c r="DD74">
        <v>11.115401</v>
      </c>
      <c r="DE74" t="s">
        <v>125</v>
      </c>
      <c r="DJ74" t="s">
        <v>125</v>
      </c>
      <c r="DK74" t="s">
        <v>125</v>
      </c>
      <c r="DL74" t="s">
        <v>125</v>
      </c>
      <c r="DM74" t="s">
        <v>125</v>
      </c>
      <c r="DN74" t="s">
        <v>125</v>
      </c>
      <c r="DO74" t="s">
        <v>125</v>
      </c>
      <c r="DQ74" t="s">
        <v>126</v>
      </c>
    </row>
    <row r="75" spans="1:121" x14ac:dyDescent="0.15">
      <c r="A75">
        <v>2018</v>
      </c>
      <c r="B75" t="s">
        <v>197</v>
      </c>
      <c r="C75" t="str">
        <f>"0570011"</f>
        <v>0570011</v>
      </c>
      <c r="D75" t="s">
        <v>123</v>
      </c>
      <c r="E75" t="str">
        <f t="shared" si="0"/>
        <v>0000000</v>
      </c>
      <c r="F75" t="s">
        <v>123</v>
      </c>
      <c r="G75" t="s">
        <v>123</v>
      </c>
      <c r="H75" t="s">
        <v>123</v>
      </c>
      <c r="J75" t="s">
        <v>124</v>
      </c>
      <c r="K75">
        <v>1265.857358</v>
      </c>
      <c r="L75">
        <v>1450</v>
      </c>
      <c r="M75">
        <v>87.300506999999996</v>
      </c>
      <c r="N75" t="s">
        <v>125</v>
      </c>
      <c r="O75">
        <v>0</v>
      </c>
      <c r="P75">
        <v>79.265915000000007</v>
      </c>
      <c r="Q75">
        <v>50</v>
      </c>
      <c r="R75">
        <v>50</v>
      </c>
      <c r="S75">
        <v>66.416827999999995</v>
      </c>
      <c r="T75">
        <v>75</v>
      </c>
      <c r="U75">
        <v>44.277884999999998</v>
      </c>
      <c r="V75">
        <v>50</v>
      </c>
      <c r="W75">
        <v>76.342945</v>
      </c>
      <c r="X75">
        <v>50</v>
      </c>
      <c r="Y75">
        <v>50</v>
      </c>
      <c r="Z75">
        <v>75</v>
      </c>
      <c r="AA75">
        <v>62.327441999999998</v>
      </c>
      <c r="AB75">
        <v>41.551628000000001</v>
      </c>
      <c r="AC75">
        <v>50</v>
      </c>
      <c r="AD75">
        <v>77.398301000000004</v>
      </c>
      <c r="AE75">
        <v>50</v>
      </c>
      <c r="AF75">
        <v>50</v>
      </c>
      <c r="AG75">
        <v>65.848805999999996</v>
      </c>
      <c r="AH75">
        <v>75</v>
      </c>
      <c r="AI75">
        <v>43.899203999999997</v>
      </c>
      <c r="AJ75">
        <v>50</v>
      </c>
      <c r="AK75">
        <v>8.58</v>
      </c>
      <c r="AL75">
        <v>12.67</v>
      </c>
      <c r="AM75">
        <v>9.15</v>
      </c>
      <c r="AN75">
        <v>0.68881000000000003</v>
      </c>
      <c r="AO75">
        <v>68.880962999999994</v>
      </c>
      <c r="AP75">
        <v>100</v>
      </c>
      <c r="AQ75">
        <v>0.73736699999999999</v>
      </c>
      <c r="AR75">
        <v>73.736688000000001</v>
      </c>
      <c r="AS75">
        <v>100</v>
      </c>
      <c r="AT75">
        <v>0.62030200000000002</v>
      </c>
      <c r="AU75">
        <v>0.718445</v>
      </c>
      <c r="AV75">
        <v>62.030175</v>
      </c>
      <c r="AW75">
        <v>100</v>
      </c>
      <c r="AX75">
        <v>0.63281900000000002</v>
      </c>
      <c r="AY75">
        <v>0.782586</v>
      </c>
      <c r="AZ75">
        <v>63.281894999999999</v>
      </c>
      <c r="BA75">
        <v>100</v>
      </c>
      <c r="BB75">
        <v>0.79644599999999999</v>
      </c>
      <c r="BC75">
        <v>39.822307000000002</v>
      </c>
      <c r="BD75">
        <v>50</v>
      </c>
      <c r="BE75">
        <v>0.77425999999999995</v>
      </c>
      <c r="BF75">
        <v>38.71302</v>
      </c>
      <c r="BG75">
        <v>50</v>
      </c>
      <c r="BH75">
        <v>0</v>
      </c>
      <c r="BI75">
        <v>0.994861</v>
      </c>
      <c r="BJ75">
        <v>0.99216899999999997</v>
      </c>
      <c r="BK75">
        <v>0.99625600000000003</v>
      </c>
      <c r="BL75">
        <v>0.99342399999999997</v>
      </c>
      <c r="BM75">
        <v>0.98916300000000001</v>
      </c>
      <c r="BN75">
        <v>0.99563199999999996</v>
      </c>
      <c r="BO75">
        <v>0.99579200000000001</v>
      </c>
      <c r="BP75">
        <v>0.99163199999999996</v>
      </c>
      <c r="BQ75">
        <v>0.99789000000000005</v>
      </c>
      <c r="BR75">
        <v>3.8906000000000003E-2</v>
      </c>
      <c r="BS75">
        <v>50</v>
      </c>
      <c r="BT75">
        <v>50</v>
      </c>
      <c r="BU75">
        <v>7.0330000000000004E-2</v>
      </c>
      <c r="BV75">
        <v>45.934066000000001</v>
      </c>
      <c r="BW75">
        <v>50</v>
      </c>
      <c r="BX75">
        <v>0.95142899999999997</v>
      </c>
      <c r="BY75">
        <v>50</v>
      </c>
      <c r="BZ75">
        <v>50</v>
      </c>
      <c r="CA75">
        <v>0.72428599999999999</v>
      </c>
      <c r="CB75">
        <v>48.285713999999999</v>
      </c>
      <c r="CC75">
        <v>50</v>
      </c>
      <c r="CD75">
        <v>0.96359399999999995</v>
      </c>
      <c r="CE75">
        <v>50</v>
      </c>
      <c r="CF75">
        <v>50</v>
      </c>
      <c r="CG75">
        <v>0.95008099999999995</v>
      </c>
      <c r="CH75">
        <v>100</v>
      </c>
      <c r="CI75">
        <v>100</v>
      </c>
      <c r="CJ75">
        <v>0</v>
      </c>
      <c r="CK75">
        <v>0.93814399999999998</v>
      </c>
      <c r="CL75">
        <v>99.802588</v>
      </c>
      <c r="CM75">
        <v>100</v>
      </c>
      <c r="CN75">
        <v>0.84199999999999997</v>
      </c>
      <c r="CO75">
        <v>100</v>
      </c>
      <c r="CP75">
        <v>100</v>
      </c>
      <c r="CQ75">
        <v>0.68461799999999995</v>
      </c>
      <c r="CR75">
        <v>0.93277900000000002</v>
      </c>
      <c r="CS75">
        <v>45.641224000000001</v>
      </c>
      <c r="CT75">
        <v>50</v>
      </c>
      <c r="CU75">
        <v>0.64119099999999996</v>
      </c>
      <c r="CV75">
        <v>50</v>
      </c>
      <c r="CW75">
        <v>50</v>
      </c>
      <c r="CX75">
        <v>0.93814399999999998</v>
      </c>
      <c r="CY75">
        <v>0.94</v>
      </c>
      <c r="CZ75">
        <v>1.856E-3</v>
      </c>
      <c r="DA75">
        <v>15.389535</v>
      </c>
      <c r="DB75">
        <v>17.608319000000002</v>
      </c>
      <c r="DC75">
        <v>16.064022999999999</v>
      </c>
      <c r="DD75">
        <v>11.115401</v>
      </c>
      <c r="DE75" t="s">
        <v>125</v>
      </c>
      <c r="DJ75" t="s">
        <v>125</v>
      </c>
      <c r="DK75" t="s">
        <v>125</v>
      </c>
      <c r="DL75" t="s">
        <v>125</v>
      </c>
      <c r="DM75" t="s">
        <v>125</v>
      </c>
      <c r="DN75" t="s">
        <v>125</v>
      </c>
      <c r="DO75" t="s">
        <v>125</v>
      </c>
      <c r="DQ75" t="s">
        <v>126</v>
      </c>
    </row>
    <row r="76" spans="1:121" x14ac:dyDescent="0.15">
      <c r="A76">
        <v>2018</v>
      </c>
      <c r="B76" t="s">
        <v>198</v>
      </c>
      <c r="C76" t="str">
        <f>"0080011"</f>
        <v>0080011</v>
      </c>
      <c r="D76" t="s">
        <v>123</v>
      </c>
      <c r="E76" t="str">
        <f t="shared" si="0"/>
        <v>0000000</v>
      </c>
      <c r="F76" t="s">
        <v>123</v>
      </c>
      <c r="G76" t="s">
        <v>123</v>
      </c>
      <c r="H76" t="s">
        <v>123</v>
      </c>
      <c r="J76" t="s">
        <v>124</v>
      </c>
      <c r="K76">
        <v>646.60709599999996</v>
      </c>
      <c r="L76">
        <v>800</v>
      </c>
      <c r="M76">
        <v>80.825886999999994</v>
      </c>
      <c r="N76" t="s">
        <v>125</v>
      </c>
      <c r="O76">
        <v>0</v>
      </c>
      <c r="P76">
        <v>76.372236999999998</v>
      </c>
      <c r="Q76">
        <v>50</v>
      </c>
      <c r="R76">
        <v>50</v>
      </c>
      <c r="S76">
        <v>62.564568999999999</v>
      </c>
      <c r="T76">
        <v>75</v>
      </c>
      <c r="U76">
        <v>41.709713000000001</v>
      </c>
      <c r="V76">
        <v>50</v>
      </c>
      <c r="W76">
        <v>71.778416000000007</v>
      </c>
      <c r="X76">
        <v>47.852277999999998</v>
      </c>
      <c r="Y76">
        <v>50</v>
      </c>
      <c r="Z76">
        <v>75</v>
      </c>
      <c r="AA76">
        <v>60.281193999999999</v>
      </c>
      <c r="AB76">
        <v>40.187463000000001</v>
      </c>
      <c r="AC76">
        <v>50</v>
      </c>
      <c r="AD76">
        <v>73.538200000000003</v>
      </c>
      <c r="AE76">
        <v>49.025466999999999</v>
      </c>
      <c r="AF76">
        <v>50</v>
      </c>
      <c r="AG76" t="s">
        <v>125</v>
      </c>
      <c r="AH76">
        <v>75</v>
      </c>
      <c r="AI76" t="s">
        <v>125</v>
      </c>
      <c r="AJ76" t="s">
        <v>125</v>
      </c>
      <c r="AK76">
        <v>12.43</v>
      </c>
      <c r="AL76">
        <v>14.71</v>
      </c>
      <c r="AM76" t="s">
        <v>125</v>
      </c>
      <c r="AN76">
        <v>0.72747600000000001</v>
      </c>
      <c r="AO76">
        <v>72.747624000000002</v>
      </c>
      <c r="AP76">
        <v>100</v>
      </c>
      <c r="AQ76">
        <v>0.78297600000000001</v>
      </c>
      <c r="AR76">
        <v>78.297590999999997</v>
      </c>
      <c r="AS76">
        <v>100</v>
      </c>
      <c r="AT76">
        <v>0.594109</v>
      </c>
      <c r="AU76">
        <v>0.78409399999999996</v>
      </c>
      <c r="AV76">
        <v>59.410935000000002</v>
      </c>
      <c r="AW76">
        <v>100</v>
      </c>
      <c r="AX76">
        <v>0.72000500000000001</v>
      </c>
      <c r="AY76">
        <v>0.80970900000000001</v>
      </c>
      <c r="AZ76">
        <v>72.000521000000006</v>
      </c>
      <c r="BA76">
        <v>100</v>
      </c>
      <c r="BB76" t="s">
        <v>125</v>
      </c>
      <c r="BC76" t="s">
        <v>125</v>
      </c>
      <c r="BD76" t="s">
        <v>125</v>
      </c>
      <c r="BE76" t="s">
        <v>125</v>
      </c>
      <c r="BF76" t="s">
        <v>125</v>
      </c>
      <c r="BG76" t="s">
        <v>125</v>
      </c>
      <c r="BH76">
        <v>0</v>
      </c>
      <c r="BI76">
        <v>0.98591499999999999</v>
      </c>
      <c r="BJ76">
        <v>1</v>
      </c>
      <c r="BK76">
        <v>0.98</v>
      </c>
      <c r="BL76">
        <v>0.98591499999999999</v>
      </c>
      <c r="BM76">
        <v>1</v>
      </c>
      <c r="BN76">
        <v>0.98</v>
      </c>
      <c r="BO76">
        <v>0.95161300000000004</v>
      </c>
      <c r="BP76" t="s">
        <v>125</v>
      </c>
      <c r="BQ76">
        <v>0.93478300000000003</v>
      </c>
      <c r="BR76">
        <v>5.3671999999999997E-2</v>
      </c>
      <c r="BS76">
        <v>49.265537000000002</v>
      </c>
      <c r="BT76">
        <v>50</v>
      </c>
      <c r="BU76">
        <v>0.10377400000000001</v>
      </c>
      <c r="BV76">
        <v>39.245283000000001</v>
      </c>
      <c r="BW76">
        <v>50</v>
      </c>
      <c r="BX76" t="s">
        <v>125</v>
      </c>
      <c r="BY76" t="s">
        <v>125</v>
      </c>
      <c r="BZ76" t="s">
        <v>125</v>
      </c>
      <c r="CA76" t="s">
        <v>125</v>
      </c>
      <c r="CB76" t="s">
        <v>125</v>
      </c>
      <c r="CC76" t="s">
        <v>125</v>
      </c>
      <c r="CD76" t="s">
        <v>125</v>
      </c>
      <c r="CE76" t="s">
        <v>125</v>
      </c>
      <c r="CF76" t="s">
        <v>125</v>
      </c>
      <c r="CG76" t="s">
        <v>125</v>
      </c>
      <c r="CH76" t="s">
        <v>125</v>
      </c>
      <c r="CI76" t="s">
        <v>125</v>
      </c>
      <c r="CJ76" t="s">
        <v>125</v>
      </c>
      <c r="CK76" t="s">
        <v>125</v>
      </c>
      <c r="CL76" t="s">
        <v>125</v>
      </c>
      <c r="CM76" t="s">
        <v>125</v>
      </c>
      <c r="CN76" t="s">
        <v>125</v>
      </c>
      <c r="CO76" t="s">
        <v>125</v>
      </c>
      <c r="CP76" t="s">
        <v>125</v>
      </c>
      <c r="CQ76">
        <v>0.70296999999999998</v>
      </c>
      <c r="CR76">
        <v>0.99019599999999997</v>
      </c>
      <c r="CS76">
        <v>46.864685999999999</v>
      </c>
      <c r="CT76">
        <v>50</v>
      </c>
      <c r="CU76" t="s">
        <v>125</v>
      </c>
      <c r="CV76" t="s">
        <v>125</v>
      </c>
      <c r="CW76" t="s">
        <v>125</v>
      </c>
      <c r="CX76" t="s">
        <v>125</v>
      </c>
      <c r="CY76" t="s">
        <v>125</v>
      </c>
      <c r="CZ76" t="s">
        <v>125</v>
      </c>
      <c r="DA76">
        <v>15.389535</v>
      </c>
      <c r="DB76">
        <v>17.608319000000002</v>
      </c>
      <c r="DC76">
        <v>16.064022999999999</v>
      </c>
      <c r="DD76" t="s">
        <v>125</v>
      </c>
      <c r="DE76" t="s">
        <v>125</v>
      </c>
      <c r="DJ76" t="s">
        <v>125</v>
      </c>
      <c r="DK76" t="s">
        <v>125</v>
      </c>
      <c r="DL76" t="s">
        <v>125</v>
      </c>
      <c r="DM76" t="s">
        <v>125</v>
      </c>
      <c r="DN76" t="s">
        <v>125</v>
      </c>
      <c r="DO76" t="s">
        <v>125</v>
      </c>
      <c r="DQ76" t="s">
        <v>126</v>
      </c>
    </row>
    <row r="77" spans="1:121" x14ac:dyDescent="0.15">
      <c r="A77">
        <v>2018</v>
      </c>
      <c r="B77" t="s">
        <v>199</v>
      </c>
      <c r="C77" t="str">
        <f>"0580011"</f>
        <v>0580011</v>
      </c>
      <c r="D77" t="s">
        <v>123</v>
      </c>
      <c r="E77" t="str">
        <f t="shared" si="0"/>
        <v>0000000</v>
      </c>
      <c r="F77" t="s">
        <v>123</v>
      </c>
      <c r="G77" t="s">
        <v>123</v>
      </c>
      <c r="H77" t="s">
        <v>123</v>
      </c>
      <c r="J77" t="s">
        <v>124</v>
      </c>
      <c r="K77">
        <v>1024.7309230000001</v>
      </c>
      <c r="L77">
        <v>1350</v>
      </c>
      <c r="M77">
        <v>75.905994000000007</v>
      </c>
      <c r="N77" t="s">
        <v>125</v>
      </c>
      <c r="O77">
        <v>1</v>
      </c>
      <c r="P77">
        <v>66.873328000000001</v>
      </c>
      <c r="Q77">
        <v>44.582217999999997</v>
      </c>
      <c r="R77">
        <v>50</v>
      </c>
      <c r="S77">
        <v>60.300136000000002</v>
      </c>
      <c r="T77">
        <v>73.812544000000003</v>
      </c>
      <c r="U77">
        <v>40.200091</v>
      </c>
      <c r="V77">
        <v>50</v>
      </c>
      <c r="W77">
        <v>64.858348000000007</v>
      </c>
      <c r="X77">
        <v>43.238899000000004</v>
      </c>
      <c r="Y77">
        <v>50</v>
      </c>
      <c r="Z77">
        <v>72.279775999999998</v>
      </c>
      <c r="AA77">
        <v>57.828380000000003</v>
      </c>
      <c r="AB77">
        <v>38.552253999999998</v>
      </c>
      <c r="AC77">
        <v>50</v>
      </c>
      <c r="AD77">
        <v>65.453187999999997</v>
      </c>
      <c r="AE77">
        <v>43.635458999999997</v>
      </c>
      <c r="AF77">
        <v>50</v>
      </c>
      <c r="AG77">
        <v>57.557122999999997</v>
      </c>
      <c r="AH77">
        <v>74.341654000000005</v>
      </c>
      <c r="AI77">
        <v>38.371416000000004</v>
      </c>
      <c r="AJ77">
        <v>50</v>
      </c>
      <c r="AK77">
        <v>13.51</v>
      </c>
      <c r="AL77">
        <v>14.45</v>
      </c>
      <c r="AM77">
        <v>16.78</v>
      </c>
      <c r="AN77">
        <v>0.57198199999999999</v>
      </c>
      <c r="AO77">
        <v>57.198222999999999</v>
      </c>
      <c r="AP77">
        <v>100</v>
      </c>
      <c r="AQ77">
        <v>0.62544699999999998</v>
      </c>
      <c r="AR77">
        <v>62.544733999999998</v>
      </c>
      <c r="AS77">
        <v>100</v>
      </c>
      <c r="AT77">
        <v>0.55663600000000002</v>
      </c>
      <c r="AU77">
        <v>0.58670299999999997</v>
      </c>
      <c r="AV77">
        <v>55.663584999999998</v>
      </c>
      <c r="AW77">
        <v>100</v>
      </c>
      <c r="AX77">
        <v>0.62201300000000004</v>
      </c>
      <c r="AY77">
        <v>0.62874200000000002</v>
      </c>
      <c r="AZ77">
        <v>62.201293999999997</v>
      </c>
      <c r="BA77">
        <v>100</v>
      </c>
      <c r="BB77" t="s">
        <v>125</v>
      </c>
      <c r="BC77" t="s">
        <v>125</v>
      </c>
      <c r="BD77" t="s">
        <v>125</v>
      </c>
      <c r="BE77" t="s">
        <v>125</v>
      </c>
      <c r="BF77" t="s">
        <v>125</v>
      </c>
      <c r="BG77" t="s">
        <v>125</v>
      </c>
      <c r="BH77">
        <v>0</v>
      </c>
      <c r="BI77">
        <v>0.99127600000000005</v>
      </c>
      <c r="BJ77">
        <v>0.985294</v>
      </c>
      <c r="BK77">
        <v>0.99773199999999995</v>
      </c>
      <c r="BL77">
        <v>0.99127600000000005</v>
      </c>
      <c r="BM77">
        <v>0.985294</v>
      </c>
      <c r="BN77">
        <v>0.99773199999999995</v>
      </c>
      <c r="BO77">
        <v>0.98499999999999999</v>
      </c>
      <c r="BP77">
        <v>0.97209299999999998</v>
      </c>
      <c r="BQ77">
        <v>1</v>
      </c>
      <c r="BR77">
        <v>0.106866</v>
      </c>
      <c r="BS77">
        <v>38.626866</v>
      </c>
      <c r="BT77">
        <v>50</v>
      </c>
      <c r="BU77">
        <v>0.15134500000000001</v>
      </c>
      <c r="BV77">
        <v>29.730941999999999</v>
      </c>
      <c r="BW77">
        <v>50</v>
      </c>
      <c r="BX77">
        <v>0.94296599999999997</v>
      </c>
      <c r="BY77">
        <v>50</v>
      </c>
      <c r="BZ77">
        <v>50</v>
      </c>
      <c r="CA77">
        <v>0.28517100000000001</v>
      </c>
      <c r="CB77">
        <v>19.011406999999998</v>
      </c>
      <c r="CC77">
        <v>50</v>
      </c>
      <c r="CD77">
        <v>0.89818200000000004</v>
      </c>
      <c r="CE77">
        <v>47.775629000000002</v>
      </c>
      <c r="CF77">
        <v>50</v>
      </c>
      <c r="CG77">
        <v>0.87012999999999996</v>
      </c>
      <c r="CH77">
        <v>92.567007000000004</v>
      </c>
      <c r="CI77">
        <v>100</v>
      </c>
      <c r="CJ77">
        <v>1</v>
      </c>
      <c r="CK77">
        <v>0.78571400000000002</v>
      </c>
      <c r="CL77">
        <v>83.586625999999995</v>
      </c>
      <c r="CM77">
        <v>100</v>
      </c>
      <c r="CN77">
        <v>0.65200000000000002</v>
      </c>
      <c r="CO77">
        <v>86.868686999999994</v>
      </c>
      <c r="CP77">
        <v>100</v>
      </c>
      <c r="CQ77">
        <v>0.60563400000000001</v>
      </c>
      <c r="CR77">
        <v>0.96692599999999995</v>
      </c>
      <c r="CS77">
        <v>40.375587000000003</v>
      </c>
      <c r="CT77">
        <v>50</v>
      </c>
      <c r="CU77">
        <v>0.60594800000000004</v>
      </c>
      <c r="CV77">
        <v>50</v>
      </c>
      <c r="CW77">
        <v>50</v>
      </c>
      <c r="CX77">
        <v>0.78571400000000002</v>
      </c>
      <c r="CY77">
        <v>0.94</v>
      </c>
      <c r="CZ77">
        <v>0.15428600000000001</v>
      </c>
      <c r="DA77">
        <v>15.389535</v>
      </c>
      <c r="DB77">
        <v>17.608319000000002</v>
      </c>
      <c r="DC77">
        <v>16.064022999999999</v>
      </c>
      <c r="DD77">
        <v>11.115401</v>
      </c>
      <c r="DE77" t="s">
        <v>125</v>
      </c>
      <c r="DJ77" t="s">
        <v>125</v>
      </c>
      <c r="DK77" t="s">
        <v>125</v>
      </c>
      <c r="DL77" t="s">
        <v>125</v>
      </c>
      <c r="DM77" t="s">
        <v>125</v>
      </c>
      <c r="DN77" t="s">
        <v>125</v>
      </c>
      <c r="DO77" t="s">
        <v>125</v>
      </c>
      <c r="DQ77" t="s">
        <v>126</v>
      </c>
    </row>
    <row r="78" spans="1:121" x14ac:dyDescent="0.15">
      <c r="A78">
        <v>2018</v>
      </c>
      <c r="B78" t="s">
        <v>200</v>
      </c>
      <c r="C78" t="str">
        <f>"1440011"</f>
        <v>1440011</v>
      </c>
      <c r="D78" t="s">
        <v>123</v>
      </c>
      <c r="E78" t="str">
        <f t="shared" si="0"/>
        <v>0000000</v>
      </c>
      <c r="F78" t="s">
        <v>123</v>
      </c>
      <c r="G78" t="s">
        <v>123</v>
      </c>
      <c r="H78" t="s">
        <v>123</v>
      </c>
      <c r="J78" t="s">
        <v>124</v>
      </c>
      <c r="K78">
        <v>1216.082838</v>
      </c>
      <c r="L78">
        <v>1450</v>
      </c>
      <c r="M78">
        <v>83.867782000000005</v>
      </c>
      <c r="N78" t="s">
        <v>125</v>
      </c>
      <c r="O78">
        <v>0</v>
      </c>
      <c r="P78">
        <v>79.934168999999997</v>
      </c>
      <c r="Q78">
        <v>50</v>
      </c>
      <c r="R78">
        <v>50</v>
      </c>
      <c r="S78">
        <v>68.220682999999994</v>
      </c>
      <c r="T78">
        <v>75</v>
      </c>
      <c r="U78">
        <v>45.480454999999999</v>
      </c>
      <c r="V78">
        <v>50</v>
      </c>
      <c r="W78">
        <v>77.190458000000007</v>
      </c>
      <c r="X78">
        <v>50</v>
      </c>
      <c r="Y78">
        <v>50</v>
      </c>
      <c r="Z78">
        <v>75</v>
      </c>
      <c r="AA78">
        <v>65.621270999999993</v>
      </c>
      <c r="AB78">
        <v>43.747514000000002</v>
      </c>
      <c r="AC78">
        <v>50</v>
      </c>
      <c r="AD78">
        <v>78.444920999999994</v>
      </c>
      <c r="AE78">
        <v>50</v>
      </c>
      <c r="AF78">
        <v>50</v>
      </c>
      <c r="AG78">
        <v>64.905102999999997</v>
      </c>
      <c r="AH78">
        <v>75</v>
      </c>
      <c r="AI78">
        <v>43.270068999999999</v>
      </c>
      <c r="AJ78">
        <v>50</v>
      </c>
      <c r="AK78">
        <v>6.77</v>
      </c>
      <c r="AL78">
        <v>9.3699999999999992</v>
      </c>
      <c r="AM78">
        <v>10.09</v>
      </c>
      <c r="AN78">
        <v>0.68609200000000004</v>
      </c>
      <c r="AO78">
        <v>68.609181000000007</v>
      </c>
      <c r="AP78">
        <v>100</v>
      </c>
      <c r="AQ78">
        <v>0.72811700000000001</v>
      </c>
      <c r="AR78">
        <v>72.811678999999998</v>
      </c>
      <c r="AS78">
        <v>100</v>
      </c>
      <c r="AT78">
        <v>0.59828700000000001</v>
      </c>
      <c r="AU78">
        <v>0.71666399999999997</v>
      </c>
      <c r="AV78">
        <v>59.828718000000002</v>
      </c>
      <c r="AW78">
        <v>100</v>
      </c>
      <c r="AX78">
        <v>0.63375800000000004</v>
      </c>
      <c r="AY78">
        <v>0.76085000000000003</v>
      </c>
      <c r="AZ78">
        <v>63.375791999999997</v>
      </c>
      <c r="BA78">
        <v>100</v>
      </c>
      <c r="BB78">
        <v>0.76262700000000005</v>
      </c>
      <c r="BC78">
        <v>38.131346999999998</v>
      </c>
      <c r="BD78">
        <v>50</v>
      </c>
      <c r="BE78">
        <v>0.53210800000000003</v>
      </c>
      <c r="BF78">
        <v>26.605384999999998</v>
      </c>
      <c r="BG78">
        <v>50</v>
      </c>
      <c r="BH78">
        <v>0</v>
      </c>
      <c r="BI78">
        <v>0.99154900000000001</v>
      </c>
      <c r="BJ78">
        <v>0.98823499999999997</v>
      </c>
      <c r="BK78">
        <v>0.99288500000000002</v>
      </c>
      <c r="BL78">
        <v>0.98985900000000004</v>
      </c>
      <c r="BM78">
        <v>0.98235300000000003</v>
      </c>
      <c r="BN78">
        <v>0.99288500000000002</v>
      </c>
      <c r="BO78">
        <v>0.99356900000000004</v>
      </c>
      <c r="BP78">
        <v>0.98855800000000005</v>
      </c>
      <c r="BQ78">
        <v>0.99552799999999997</v>
      </c>
      <c r="BR78">
        <v>4.6450999999999999E-2</v>
      </c>
      <c r="BS78">
        <v>50</v>
      </c>
      <c r="BT78">
        <v>50</v>
      </c>
      <c r="BU78">
        <v>9.9603999999999998E-2</v>
      </c>
      <c r="BV78">
        <v>40.079230000000003</v>
      </c>
      <c r="BW78">
        <v>50</v>
      </c>
      <c r="BX78">
        <v>0.93690200000000001</v>
      </c>
      <c r="BY78">
        <v>50</v>
      </c>
      <c r="BZ78">
        <v>50</v>
      </c>
      <c r="CA78">
        <v>0.68068799999999996</v>
      </c>
      <c r="CB78">
        <v>45.379221999999999</v>
      </c>
      <c r="CC78">
        <v>50</v>
      </c>
      <c r="CD78">
        <v>0.98540099999999997</v>
      </c>
      <c r="CE78">
        <v>50</v>
      </c>
      <c r="CF78">
        <v>50</v>
      </c>
      <c r="CG78">
        <v>0.96842099999999998</v>
      </c>
      <c r="CH78">
        <v>100</v>
      </c>
      <c r="CI78">
        <v>100</v>
      </c>
      <c r="CJ78">
        <v>0</v>
      </c>
      <c r="CK78">
        <v>0.92079200000000005</v>
      </c>
      <c r="CL78">
        <v>97.956603999999999</v>
      </c>
      <c r="CM78">
        <v>100</v>
      </c>
      <c r="CN78">
        <v>0.83599999999999997</v>
      </c>
      <c r="CO78">
        <v>100</v>
      </c>
      <c r="CP78">
        <v>100</v>
      </c>
      <c r="CQ78">
        <v>0.63870000000000005</v>
      </c>
      <c r="CR78">
        <v>0.93940900000000005</v>
      </c>
      <c r="CS78">
        <v>42.579968999999998</v>
      </c>
      <c r="CT78">
        <v>50</v>
      </c>
      <c r="CU78">
        <v>0.33873199999999998</v>
      </c>
      <c r="CV78">
        <v>28.227671999999998</v>
      </c>
      <c r="CW78">
        <v>50</v>
      </c>
      <c r="CX78">
        <v>0.92079200000000005</v>
      </c>
      <c r="CY78">
        <v>0.94</v>
      </c>
      <c r="CZ78">
        <v>1.9207999999999999E-2</v>
      </c>
      <c r="DA78">
        <v>15.389535</v>
      </c>
      <c r="DB78">
        <v>17.608319000000002</v>
      </c>
      <c r="DC78">
        <v>16.064022999999999</v>
      </c>
      <c r="DD78">
        <v>11.115401</v>
      </c>
      <c r="DE78" t="s">
        <v>125</v>
      </c>
      <c r="DJ78" t="s">
        <v>125</v>
      </c>
      <c r="DK78" t="s">
        <v>125</v>
      </c>
      <c r="DL78" t="s">
        <v>125</v>
      </c>
      <c r="DM78" t="s">
        <v>125</v>
      </c>
      <c r="DN78" t="s">
        <v>125</v>
      </c>
      <c r="DO78" t="s">
        <v>125</v>
      </c>
      <c r="DQ78" t="s">
        <v>126</v>
      </c>
    </row>
    <row r="79" spans="1:121" x14ac:dyDescent="0.15">
      <c r="A79">
        <v>2018</v>
      </c>
      <c r="B79" t="s">
        <v>201</v>
      </c>
      <c r="C79" t="str">
        <f>"0310011"</f>
        <v>0310011</v>
      </c>
      <c r="D79" t="s">
        <v>123</v>
      </c>
      <c r="E79" t="str">
        <f t="shared" si="0"/>
        <v>0000000</v>
      </c>
      <c r="F79" t="s">
        <v>123</v>
      </c>
      <c r="G79" t="s">
        <v>123</v>
      </c>
      <c r="H79" t="s">
        <v>123</v>
      </c>
      <c r="J79" t="s">
        <v>124</v>
      </c>
      <c r="K79">
        <v>456.07795800000002</v>
      </c>
      <c r="L79">
        <v>500</v>
      </c>
      <c r="M79">
        <v>91.215592000000001</v>
      </c>
      <c r="N79" t="s">
        <v>125</v>
      </c>
      <c r="O79">
        <v>0</v>
      </c>
      <c r="P79">
        <v>76.665791999999996</v>
      </c>
      <c r="Q79">
        <v>50</v>
      </c>
      <c r="R79">
        <v>50</v>
      </c>
      <c r="S79" t="s">
        <v>125</v>
      </c>
      <c r="T79">
        <v>75</v>
      </c>
      <c r="U79" t="s">
        <v>125</v>
      </c>
      <c r="V79" t="s">
        <v>125</v>
      </c>
      <c r="W79">
        <v>70.289567000000005</v>
      </c>
      <c r="X79">
        <v>46.859712000000002</v>
      </c>
      <c r="Y79">
        <v>50</v>
      </c>
      <c r="Z79">
        <v>75</v>
      </c>
      <c r="AA79" t="s">
        <v>125</v>
      </c>
      <c r="AB79" t="s">
        <v>125</v>
      </c>
      <c r="AC79" t="s">
        <v>125</v>
      </c>
      <c r="AD79">
        <v>75.881101999999998</v>
      </c>
      <c r="AE79">
        <v>50</v>
      </c>
      <c r="AF79">
        <v>50</v>
      </c>
      <c r="AG79" t="s">
        <v>125</v>
      </c>
      <c r="AH79">
        <v>75</v>
      </c>
      <c r="AI79" t="s">
        <v>125</v>
      </c>
      <c r="AJ79" t="s">
        <v>125</v>
      </c>
      <c r="AK79" t="s">
        <v>125</v>
      </c>
      <c r="AL79" t="s">
        <v>125</v>
      </c>
      <c r="AM79" t="s">
        <v>125</v>
      </c>
      <c r="AN79">
        <v>0.73205200000000004</v>
      </c>
      <c r="AO79">
        <v>73.205241999999998</v>
      </c>
      <c r="AP79">
        <v>100</v>
      </c>
      <c r="AQ79">
        <v>0.86012999999999995</v>
      </c>
      <c r="AR79">
        <v>86.013005000000007</v>
      </c>
      <c r="AS79">
        <v>100</v>
      </c>
      <c r="AT79" t="s">
        <v>125</v>
      </c>
      <c r="AU79">
        <v>0.73979300000000003</v>
      </c>
      <c r="AV79" t="s">
        <v>125</v>
      </c>
      <c r="AW79" t="s">
        <v>125</v>
      </c>
      <c r="AX79" t="s">
        <v>125</v>
      </c>
      <c r="AY79">
        <v>0.89185199999999998</v>
      </c>
      <c r="AZ79" t="s">
        <v>125</v>
      </c>
      <c r="BA79" t="s">
        <v>125</v>
      </c>
      <c r="BB79" t="s">
        <v>125</v>
      </c>
      <c r="BC79" t="s">
        <v>125</v>
      </c>
      <c r="BD79" t="s">
        <v>125</v>
      </c>
      <c r="BE79" t="s">
        <v>125</v>
      </c>
      <c r="BF79" t="s">
        <v>125</v>
      </c>
      <c r="BG79" t="s">
        <v>125</v>
      </c>
      <c r="BH79">
        <v>0</v>
      </c>
      <c r="BI79">
        <v>0.95522399999999996</v>
      </c>
      <c r="BJ79" t="s">
        <v>125</v>
      </c>
      <c r="BK79">
        <v>0.9375</v>
      </c>
      <c r="BL79">
        <v>0.95522399999999996</v>
      </c>
      <c r="BM79" t="s">
        <v>125</v>
      </c>
      <c r="BN79">
        <v>0.9375</v>
      </c>
      <c r="BO79">
        <v>0.96551699999999996</v>
      </c>
      <c r="BP79" t="s">
        <v>125</v>
      </c>
      <c r="BQ79">
        <v>0.95454499999999998</v>
      </c>
      <c r="BR79">
        <v>3.2608999999999999E-2</v>
      </c>
      <c r="BS79">
        <v>50</v>
      </c>
      <c r="BT79">
        <v>50</v>
      </c>
      <c r="BU79">
        <v>0</v>
      </c>
      <c r="BV79">
        <v>50</v>
      </c>
      <c r="BW79">
        <v>50</v>
      </c>
      <c r="BX79" t="s">
        <v>125</v>
      </c>
      <c r="BY79" t="s">
        <v>125</v>
      </c>
      <c r="BZ79" t="s">
        <v>125</v>
      </c>
      <c r="CA79" t="s">
        <v>125</v>
      </c>
      <c r="CB79" t="s">
        <v>125</v>
      </c>
      <c r="CC79" t="s">
        <v>125</v>
      </c>
      <c r="CD79" t="s">
        <v>125</v>
      </c>
      <c r="CE79" t="s">
        <v>125</v>
      </c>
      <c r="CF79" t="s">
        <v>125</v>
      </c>
      <c r="CG79" t="s">
        <v>125</v>
      </c>
      <c r="CH79" t="s">
        <v>125</v>
      </c>
      <c r="CI79" t="s">
        <v>125</v>
      </c>
      <c r="CJ79" t="s">
        <v>125</v>
      </c>
      <c r="CK79" t="s">
        <v>125</v>
      </c>
      <c r="CL79" t="s">
        <v>125</v>
      </c>
      <c r="CM79" t="s">
        <v>125</v>
      </c>
      <c r="CN79" t="s">
        <v>125</v>
      </c>
      <c r="CO79" t="s">
        <v>125</v>
      </c>
      <c r="CP79" t="s">
        <v>125</v>
      </c>
      <c r="CQ79">
        <v>0.86666699999999997</v>
      </c>
      <c r="CR79">
        <v>1</v>
      </c>
      <c r="CS79">
        <v>50</v>
      </c>
      <c r="CT79">
        <v>50</v>
      </c>
      <c r="CU79" t="s">
        <v>125</v>
      </c>
      <c r="CV79" t="s">
        <v>125</v>
      </c>
      <c r="CW79" t="s">
        <v>125</v>
      </c>
      <c r="CX79" t="s">
        <v>125</v>
      </c>
      <c r="CY79" t="s">
        <v>125</v>
      </c>
      <c r="CZ79" t="s">
        <v>125</v>
      </c>
      <c r="DA79">
        <v>15.389535</v>
      </c>
      <c r="DB79">
        <v>17.608319000000002</v>
      </c>
      <c r="DC79">
        <v>16.064022999999999</v>
      </c>
      <c r="DD79" t="s">
        <v>125</v>
      </c>
      <c r="DE79" t="s">
        <v>125</v>
      </c>
      <c r="DJ79" t="s">
        <v>125</v>
      </c>
      <c r="DK79" t="s">
        <v>125</v>
      </c>
      <c r="DL79" t="s">
        <v>125</v>
      </c>
      <c r="DM79" t="s">
        <v>125</v>
      </c>
      <c r="DN79" t="s">
        <v>125</v>
      </c>
      <c r="DO79" t="s">
        <v>125</v>
      </c>
      <c r="DQ79" t="s">
        <v>126</v>
      </c>
    </row>
    <row r="80" spans="1:121" x14ac:dyDescent="0.15">
      <c r="A80">
        <v>2018</v>
      </c>
      <c r="B80" t="s">
        <v>202</v>
      </c>
      <c r="C80" t="str">
        <f>"1390011"</f>
        <v>1390011</v>
      </c>
      <c r="D80" t="s">
        <v>123</v>
      </c>
      <c r="E80" t="str">
        <f t="shared" si="0"/>
        <v>0000000</v>
      </c>
      <c r="F80" t="s">
        <v>123</v>
      </c>
      <c r="G80" t="s">
        <v>123</v>
      </c>
      <c r="H80" t="s">
        <v>123</v>
      </c>
      <c r="J80" t="s">
        <v>124</v>
      </c>
      <c r="K80">
        <v>1112.9462390000001</v>
      </c>
      <c r="L80">
        <v>1400</v>
      </c>
      <c r="M80">
        <v>79.496160000000003</v>
      </c>
      <c r="N80" t="s">
        <v>125</v>
      </c>
      <c r="O80">
        <v>0</v>
      </c>
      <c r="P80">
        <v>73.563599999999994</v>
      </c>
      <c r="Q80">
        <v>49.042400000000001</v>
      </c>
      <c r="R80">
        <v>50</v>
      </c>
      <c r="S80">
        <v>62.259270999999998</v>
      </c>
      <c r="T80">
        <v>75</v>
      </c>
      <c r="U80">
        <v>41.506180999999998</v>
      </c>
      <c r="V80">
        <v>50</v>
      </c>
      <c r="W80">
        <v>68.514983000000001</v>
      </c>
      <c r="X80">
        <v>45.676654999999997</v>
      </c>
      <c r="Y80">
        <v>50</v>
      </c>
      <c r="Z80">
        <v>73.091162999999995</v>
      </c>
      <c r="AA80">
        <v>55.714942999999998</v>
      </c>
      <c r="AB80">
        <v>37.143295000000002</v>
      </c>
      <c r="AC80">
        <v>50</v>
      </c>
      <c r="AD80">
        <v>73.562117999999998</v>
      </c>
      <c r="AE80">
        <v>49.041412000000001</v>
      </c>
      <c r="AF80">
        <v>50</v>
      </c>
      <c r="AG80">
        <v>60.357805999999997</v>
      </c>
      <c r="AH80">
        <v>75</v>
      </c>
      <c r="AI80">
        <v>40.238537999999998</v>
      </c>
      <c r="AJ80">
        <v>50</v>
      </c>
      <c r="AK80">
        <v>12.74</v>
      </c>
      <c r="AL80">
        <v>17.37</v>
      </c>
      <c r="AM80">
        <v>14.64</v>
      </c>
      <c r="AN80">
        <v>0.65761199999999997</v>
      </c>
      <c r="AO80">
        <v>65.761184</v>
      </c>
      <c r="AP80">
        <v>100</v>
      </c>
      <c r="AQ80">
        <v>0.73921300000000001</v>
      </c>
      <c r="AR80">
        <v>73.921327000000005</v>
      </c>
      <c r="AS80">
        <v>100</v>
      </c>
      <c r="AT80">
        <v>0.58035199999999998</v>
      </c>
      <c r="AU80">
        <v>0.68222000000000005</v>
      </c>
      <c r="AV80">
        <v>58.035226999999999</v>
      </c>
      <c r="AW80">
        <v>100</v>
      </c>
      <c r="AX80">
        <v>0.68243100000000001</v>
      </c>
      <c r="AY80">
        <v>0.75729999999999997</v>
      </c>
      <c r="AZ80">
        <v>68.243088</v>
      </c>
      <c r="BA80">
        <v>100</v>
      </c>
      <c r="BB80" t="s">
        <v>125</v>
      </c>
      <c r="BC80" t="s">
        <v>125</v>
      </c>
      <c r="BD80" t="s">
        <v>125</v>
      </c>
      <c r="BE80">
        <v>0.596024</v>
      </c>
      <c r="BF80">
        <v>29.801207999999999</v>
      </c>
      <c r="BG80">
        <v>50</v>
      </c>
      <c r="BH80">
        <v>1</v>
      </c>
      <c r="BI80">
        <v>0.980769</v>
      </c>
      <c r="BJ80">
        <v>0.954098</v>
      </c>
      <c r="BK80">
        <v>0.99110500000000001</v>
      </c>
      <c r="BL80">
        <v>0.98078699999999996</v>
      </c>
      <c r="BM80">
        <v>0.95098000000000005</v>
      </c>
      <c r="BN80">
        <v>0.99237600000000004</v>
      </c>
      <c r="BO80">
        <v>0.97727299999999995</v>
      </c>
      <c r="BP80">
        <v>0.94871799999999995</v>
      </c>
      <c r="BQ80">
        <v>0.98637600000000003</v>
      </c>
      <c r="BR80">
        <v>6.5248E-2</v>
      </c>
      <c r="BS80">
        <v>46.950355000000002</v>
      </c>
      <c r="BT80">
        <v>50</v>
      </c>
      <c r="BU80">
        <v>0.15614</v>
      </c>
      <c r="BV80">
        <v>28.771930000000001</v>
      </c>
      <c r="BW80">
        <v>50</v>
      </c>
      <c r="BX80">
        <v>0.97738700000000001</v>
      </c>
      <c r="BY80">
        <v>50</v>
      </c>
      <c r="BZ80">
        <v>50</v>
      </c>
      <c r="CA80">
        <v>0.58040199999999997</v>
      </c>
      <c r="CB80">
        <v>38.693466999999998</v>
      </c>
      <c r="CC80">
        <v>50</v>
      </c>
      <c r="CD80">
        <v>0.95707100000000001</v>
      </c>
      <c r="CE80">
        <v>50</v>
      </c>
      <c r="CF80">
        <v>50</v>
      </c>
      <c r="CG80">
        <v>0.95811500000000005</v>
      </c>
      <c r="CH80">
        <v>100</v>
      </c>
      <c r="CI80">
        <v>100</v>
      </c>
      <c r="CJ80">
        <v>0</v>
      </c>
      <c r="CK80">
        <v>0.86666699999999997</v>
      </c>
      <c r="CL80">
        <v>92.198582000000002</v>
      </c>
      <c r="CM80">
        <v>100</v>
      </c>
      <c r="CN80">
        <v>0.76</v>
      </c>
      <c r="CO80">
        <v>100</v>
      </c>
      <c r="CP80">
        <v>100</v>
      </c>
      <c r="CQ80">
        <v>0.44557799999999997</v>
      </c>
      <c r="CR80">
        <v>0.89226099999999997</v>
      </c>
      <c r="CS80">
        <v>14.852608</v>
      </c>
      <c r="CT80">
        <v>50</v>
      </c>
      <c r="CU80">
        <v>0.39682499999999998</v>
      </c>
      <c r="CV80">
        <v>33.068783000000003</v>
      </c>
      <c r="CW80">
        <v>50</v>
      </c>
      <c r="CX80">
        <v>0.86666699999999997</v>
      </c>
      <c r="CY80">
        <v>0.94</v>
      </c>
      <c r="CZ80">
        <v>7.3332999999999995E-2</v>
      </c>
      <c r="DA80">
        <v>15.389535</v>
      </c>
      <c r="DB80">
        <v>17.608319000000002</v>
      </c>
      <c r="DC80">
        <v>16.064022999999999</v>
      </c>
      <c r="DD80">
        <v>11.115401</v>
      </c>
      <c r="DE80" t="s">
        <v>125</v>
      </c>
      <c r="DJ80" t="s">
        <v>125</v>
      </c>
      <c r="DK80" t="s">
        <v>125</v>
      </c>
      <c r="DL80" t="s">
        <v>125</v>
      </c>
      <c r="DM80" t="s">
        <v>125</v>
      </c>
      <c r="DN80" t="s">
        <v>125</v>
      </c>
      <c r="DO80" t="s">
        <v>125</v>
      </c>
      <c r="DQ80" t="s">
        <v>126</v>
      </c>
    </row>
    <row r="81" spans="1:121" x14ac:dyDescent="0.15">
      <c r="A81">
        <v>2018</v>
      </c>
      <c r="B81" t="s">
        <v>203</v>
      </c>
      <c r="C81" t="str">
        <f>"0250011"</f>
        <v>0250011</v>
      </c>
      <c r="D81" t="s">
        <v>123</v>
      </c>
      <c r="E81" t="str">
        <f t="shared" si="0"/>
        <v>0000000</v>
      </c>
      <c r="F81" t="s">
        <v>123</v>
      </c>
      <c r="G81" t="s">
        <v>123</v>
      </c>
      <c r="H81" t="s">
        <v>123</v>
      </c>
      <c r="J81" t="s">
        <v>124</v>
      </c>
      <c r="K81">
        <v>1224.9498160000001</v>
      </c>
      <c r="L81">
        <v>1450</v>
      </c>
      <c r="M81">
        <v>84.479298</v>
      </c>
      <c r="N81" t="s">
        <v>125</v>
      </c>
      <c r="O81">
        <v>0</v>
      </c>
      <c r="P81">
        <v>80.416989000000001</v>
      </c>
      <c r="Q81">
        <v>50</v>
      </c>
      <c r="R81">
        <v>50</v>
      </c>
      <c r="S81">
        <v>66.134773999999993</v>
      </c>
      <c r="T81">
        <v>75</v>
      </c>
      <c r="U81">
        <v>44.089849999999998</v>
      </c>
      <c r="V81">
        <v>50</v>
      </c>
      <c r="W81">
        <v>76.535967999999997</v>
      </c>
      <c r="X81">
        <v>50</v>
      </c>
      <c r="Y81">
        <v>50</v>
      </c>
      <c r="Z81">
        <v>75</v>
      </c>
      <c r="AA81">
        <v>60.400731</v>
      </c>
      <c r="AB81">
        <v>40.267153999999998</v>
      </c>
      <c r="AC81">
        <v>50</v>
      </c>
      <c r="AD81">
        <v>75.330657000000002</v>
      </c>
      <c r="AE81">
        <v>50</v>
      </c>
      <c r="AF81">
        <v>50</v>
      </c>
      <c r="AG81">
        <v>63.250610999999999</v>
      </c>
      <c r="AH81">
        <v>75</v>
      </c>
      <c r="AI81">
        <v>42.167074</v>
      </c>
      <c r="AJ81">
        <v>50</v>
      </c>
      <c r="AK81">
        <v>8.86</v>
      </c>
      <c r="AL81">
        <v>14.59</v>
      </c>
      <c r="AM81">
        <v>11.74</v>
      </c>
      <c r="AN81">
        <v>0.70459499999999997</v>
      </c>
      <c r="AO81">
        <v>70.459548999999996</v>
      </c>
      <c r="AP81">
        <v>100</v>
      </c>
      <c r="AQ81">
        <v>0.773312</v>
      </c>
      <c r="AR81">
        <v>77.331196000000006</v>
      </c>
      <c r="AS81">
        <v>100</v>
      </c>
      <c r="AT81">
        <v>0.60312500000000002</v>
      </c>
      <c r="AU81">
        <v>0.73156900000000002</v>
      </c>
      <c r="AV81">
        <v>60.312508999999999</v>
      </c>
      <c r="AW81">
        <v>100</v>
      </c>
      <c r="AX81">
        <v>0.65332900000000005</v>
      </c>
      <c r="AY81">
        <v>0.80513199999999996</v>
      </c>
      <c r="AZ81">
        <v>65.332864999999998</v>
      </c>
      <c r="BA81">
        <v>100</v>
      </c>
      <c r="BB81">
        <v>0.72410300000000005</v>
      </c>
      <c r="BC81">
        <v>36.205145999999999</v>
      </c>
      <c r="BD81">
        <v>50</v>
      </c>
      <c r="BE81">
        <v>0.64386399999999999</v>
      </c>
      <c r="BF81">
        <v>32.193219999999997</v>
      </c>
      <c r="BG81">
        <v>50</v>
      </c>
      <c r="BH81">
        <v>0</v>
      </c>
      <c r="BI81">
        <v>0.98116599999999998</v>
      </c>
      <c r="BJ81">
        <v>0.95938100000000004</v>
      </c>
      <c r="BK81">
        <v>0.98774099999999998</v>
      </c>
      <c r="BL81">
        <v>0.97937200000000002</v>
      </c>
      <c r="BM81">
        <v>0.95357800000000004</v>
      </c>
      <c r="BN81">
        <v>0.98715699999999995</v>
      </c>
      <c r="BO81">
        <v>0.98128099999999996</v>
      </c>
      <c r="BP81">
        <v>0.96491199999999999</v>
      </c>
      <c r="BQ81">
        <v>0.98602299999999998</v>
      </c>
      <c r="BR81">
        <v>5.9846999999999997E-2</v>
      </c>
      <c r="BS81">
        <v>48.030520000000003</v>
      </c>
      <c r="BT81">
        <v>50</v>
      </c>
      <c r="BU81">
        <v>0.14891499999999999</v>
      </c>
      <c r="BV81">
        <v>30.216963</v>
      </c>
      <c r="BW81">
        <v>50</v>
      </c>
      <c r="BX81">
        <v>0.98125799999999996</v>
      </c>
      <c r="BY81">
        <v>50</v>
      </c>
      <c r="BZ81">
        <v>50</v>
      </c>
      <c r="CA81">
        <v>0.63186100000000001</v>
      </c>
      <c r="CB81">
        <v>42.124051999999999</v>
      </c>
      <c r="CC81">
        <v>50</v>
      </c>
      <c r="CD81">
        <v>0.97797900000000004</v>
      </c>
      <c r="CE81">
        <v>50</v>
      </c>
      <c r="CF81">
        <v>50</v>
      </c>
      <c r="CG81">
        <v>0.94871799999999995</v>
      </c>
      <c r="CH81">
        <v>100</v>
      </c>
      <c r="CI81">
        <v>100</v>
      </c>
      <c r="CJ81">
        <v>0</v>
      </c>
      <c r="CK81">
        <v>0.97979799999999995</v>
      </c>
      <c r="CL81">
        <v>100</v>
      </c>
      <c r="CM81">
        <v>100</v>
      </c>
      <c r="CN81">
        <v>0.85899999999999999</v>
      </c>
      <c r="CO81">
        <v>100</v>
      </c>
      <c r="CP81">
        <v>100</v>
      </c>
      <c r="CQ81">
        <v>0.62912900000000005</v>
      </c>
      <c r="CR81">
        <v>0.98593600000000003</v>
      </c>
      <c r="CS81">
        <v>41.941941999999997</v>
      </c>
      <c r="CT81">
        <v>50</v>
      </c>
      <c r="CU81">
        <v>0.53133300000000006</v>
      </c>
      <c r="CV81">
        <v>44.277777999999998</v>
      </c>
      <c r="CW81">
        <v>50</v>
      </c>
      <c r="CX81">
        <v>0.97979799999999995</v>
      </c>
      <c r="CY81">
        <v>0.94</v>
      </c>
      <c r="CZ81">
        <v>-3.9798E-2</v>
      </c>
      <c r="DA81">
        <v>15.389535</v>
      </c>
      <c r="DB81">
        <v>17.608319000000002</v>
      </c>
      <c r="DC81">
        <v>16.064022999999999</v>
      </c>
      <c r="DD81">
        <v>11.115401</v>
      </c>
      <c r="DE81" t="s">
        <v>125</v>
      </c>
      <c r="DJ81" t="s">
        <v>125</v>
      </c>
      <c r="DK81" t="s">
        <v>125</v>
      </c>
      <c r="DL81" t="s">
        <v>125</v>
      </c>
      <c r="DM81" t="s">
        <v>125</v>
      </c>
      <c r="DN81" t="s">
        <v>125</v>
      </c>
      <c r="DO81" t="s">
        <v>125</v>
      </c>
      <c r="DQ81" t="s">
        <v>126</v>
      </c>
    </row>
    <row r="82" spans="1:121" x14ac:dyDescent="0.15">
      <c r="A82">
        <v>2018</v>
      </c>
      <c r="B82" t="s">
        <v>204</v>
      </c>
      <c r="C82" t="str">
        <f>"0900011"</f>
        <v>0900011</v>
      </c>
      <c r="D82" t="s">
        <v>123</v>
      </c>
      <c r="E82" t="str">
        <f t="shared" si="0"/>
        <v>0000000</v>
      </c>
      <c r="F82" t="s">
        <v>123</v>
      </c>
      <c r="G82" t="s">
        <v>123</v>
      </c>
      <c r="H82" t="s">
        <v>123</v>
      </c>
      <c r="J82" t="s">
        <v>124</v>
      </c>
      <c r="K82">
        <v>1282.1716739999999</v>
      </c>
      <c r="L82">
        <v>1450</v>
      </c>
      <c r="M82">
        <v>88.425633000000005</v>
      </c>
      <c r="N82" t="s">
        <v>125</v>
      </c>
      <c r="O82">
        <v>0</v>
      </c>
      <c r="P82">
        <v>86.641976</v>
      </c>
      <c r="Q82">
        <v>50</v>
      </c>
      <c r="R82">
        <v>50</v>
      </c>
      <c r="S82">
        <v>66.487924000000007</v>
      </c>
      <c r="T82">
        <v>75</v>
      </c>
      <c r="U82">
        <v>44.325282000000001</v>
      </c>
      <c r="V82">
        <v>50</v>
      </c>
      <c r="W82">
        <v>85.975491000000005</v>
      </c>
      <c r="X82">
        <v>50</v>
      </c>
      <c r="Y82">
        <v>50</v>
      </c>
      <c r="Z82">
        <v>75</v>
      </c>
      <c r="AA82">
        <v>65.602697000000006</v>
      </c>
      <c r="AB82">
        <v>43.735131000000003</v>
      </c>
      <c r="AC82">
        <v>50</v>
      </c>
      <c r="AD82">
        <v>81.524592999999996</v>
      </c>
      <c r="AE82">
        <v>50</v>
      </c>
      <c r="AF82">
        <v>50</v>
      </c>
      <c r="AG82">
        <v>64.620962000000006</v>
      </c>
      <c r="AH82">
        <v>75</v>
      </c>
      <c r="AI82">
        <v>43.080641</v>
      </c>
      <c r="AJ82">
        <v>50</v>
      </c>
      <c r="AK82">
        <v>8.51</v>
      </c>
      <c r="AL82">
        <v>9.39</v>
      </c>
      <c r="AM82">
        <v>10.37</v>
      </c>
      <c r="AN82">
        <v>0.72816199999999998</v>
      </c>
      <c r="AO82">
        <v>72.816209999999998</v>
      </c>
      <c r="AP82">
        <v>100</v>
      </c>
      <c r="AQ82">
        <v>0.84688399999999997</v>
      </c>
      <c r="AR82">
        <v>84.688438000000005</v>
      </c>
      <c r="AS82">
        <v>100</v>
      </c>
      <c r="AT82">
        <v>0.52695499999999995</v>
      </c>
      <c r="AU82">
        <v>0.75406300000000004</v>
      </c>
      <c r="AV82">
        <v>52.695461000000002</v>
      </c>
      <c r="AW82">
        <v>100</v>
      </c>
      <c r="AX82">
        <v>0.61075100000000004</v>
      </c>
      <c r="AY82">
        <v>0.87713099999999999</v>
      </c>
      <c r="AZ82">
        <v>61.075145999999997</v>
      </c>
      <c r="BA82">
        <v>100</v>
      </c>
      <c r="BB82">
        <v>0.99371799999999999</v>
      </c>
      <c r="BC82">
        <v>49.685884999999999</v>
      </c>
      <c r="BD82">
        <v>50</v>
      </c>
      <c r="BE82">
        <v>0.79213299999999998</v>
      </c>
      <c r="BF82">
        <v>39.606642999999998</v>
      </c>
      <c r="BG82">
        <v>50</v>
      </c>
      <c r="BH82">
        <v>0</v>
      </c>
      <c r="BI82">
        <v>0.98959200000000003</v>
      </c>
      <c r="BJ82">
        <v>0.95882400000000001</v>
      </c>
      <c r="BK82">
        <v>0.99491399999999997</v>
      </c>
      <c r="BL82">
        <v>0.98915900000000001</v>
      </c>
      <c r="BM82">
        <v>0.95882400000000001</v>
      </c>
      <c r="BN82">
        <v>0.99440499999999998</v>
      </c>
      <c r="BO82">
        <v>0.99376299999999995</v>
      </c>
      <c r="BP82">
        <v>0.96376799999999996</v>
      </c>
      <c r="BQ82">
        <v>0.99878599999999995</v>
      </c>
      <c r="BR82">
        <v>3.6617999999999998E-2</v>
      </c>
      <c r="BS82">
        <v>50</v>
      </c>
      <c r="BT82">
        <v>50</v>
      </c>
      <c r="BU82">
        <v>6.0498000000000003E-2</v>
      </c>
      <c r="BV82">
        <v>47.900356000000002</v>
      </c>
      <c r="BW82">
        <v>50</v>
      </c>
      <c r="BX82">
        <v>0.97468399999999999</v>
      </c>
      <c r="BY82">
        <v>50</v>
      </c>
      <c r="BZ82">
        <v>50</v>
      </c>
      <c r="CA82">
        <v>0.83860800000000002</v>
      </c>
      <c r="CB82">
        <v>50</v>
      </c>
      <c r="CC82">
        <v>50</v>
      </c>
      <c r="CD82">
        <v>0.98938099999999995</v>
      </c>
      <c r="CE82">
        <v>50</v>
      </c>
      <c r="CF82">
        <v>50</v>
      </c>
      <c r="CG82">
        <v>0.98089199999999999</v>
      </c>
      <c r="CH82">
        <v>100</v>
      </c>
      <c r="CI82">
        <v>100</v>
      </c>
      <c r="CJ82">
        <v>0</v>
      </c>
      <c r="CK82">
        <v>0.93333299999999997</v>
      </c>
      <c r="CL82">
        <v>99.290779999999998</v>
      </c>
      <c r="CM82">
        <v>100</v>
      </c>
      <c r="CN82">
        <v>0.85699999999999998</v>
      </c>
      <c r="CO82">
        <v>100</v>
      </c>
      <c r="CP82">
        <v>100</v>
      </c>
      <c r="CQ82">
        <v>0.75371500000000002</v>
      </c>
      <c r="CR82">
        <v>0.99157899999999999</v>
      </c>
      <c r="CS82">
        <v>50</v>
      </c>
      <c r="CT82">
        <v>50</v>
      </c>
      <c r="CU82">
        <v>0.51926000000000005</v>
      </c>
      <c r="CV82">
        <v>43.271700000000003</v>
      </c>
      <c r="CW82">
        <v>50</v>
      </c>
      <c r="CX82">
        <v>0.93333299999999997</v>
      </c>
      <c r="CY82">
        <v>0.94</v>
      </c>
      <c r="CZ82">
        <v>6.6670000000000002E-3</v>
      </c>
      <c r="DA82">
        <v>15.389535</v>
      </c>
      <c r="DB82">
        <v>17.608319000000002</v>
      </c>
      <c r="DC82">
        <v>16.064022999999999</v>
      </c>
      <c r="DD82">
        <v>11.115401</v>
      </c>
      <c r="DE82" t="s">
        <v>125</v>
      </c>
      <c r="DJ82" t="s">
        <v>125</v>
      </c>
      <c r="DK82" t="s">
        <v>125</v>
      </c>
      <c r="DL82" t="s">
        <v>125</v>
      </c>
      <c r="DM82" t="s">
        <v>125</v>
      </c>
      <c r="DN82" t="s">
        <v>125</v>
      </c>
      <c r="DO82" t="s">
        <v>125</v>
      </c>
      <c r="DQ82" t="s">
        <v>126</v>
      </c>
    </row>
    <row r="83" spans="1:121" x14ac:dyDescent="0.15">
      <c r="A83">
        <v>2018</v>
      </c>
      <c r="B83" t="s">
        <v>205</v>
      </c>
      <c r="C83" t="str">
        <f>"0330011"</f>
        <v>0330011</v>
      </c>
      <c r="D83" t="s">
        <v>123</v>
      </c>
      <c r="E83" t="str">
        <f t="shared" si="0"/>
        <v>0000000</v>
      </c>
      <c r="F83" t="s">
        <v>123</v>
      </c>
      <c r="G83" t="s">
        <v>123</v>
      </c>
      <c r="H83" t="s">
        <v>123</v>
      </c>
      <c r="J83" t="s">
        <v>124</v>
      </c>
      <c r="K83">
        <v>1216.0771749999999</v>
      </c>
      <c r="L83">
        <v>1450</v>
      </c>
      <c r="M83">
        <v>83.867390999999998</v>
      </c>
      <c r="N83" t="s">
        <v>125</v>
      </c>
      <c r="O83">
        <v>0</v>
      </c>
      <c r="P83">
        <v>72.484224999999995</v>
      </c>
      <c r="Q83">
        <v>48.322817000000001</v>
      </c>
      <c r="R83">
        <v>50</v>
      </c>
      <c r="S83">
        <v>62.289254</v>
      </c>
      <c r="T83">
        <v>75</v>
      </c>
      <c r="U83">
        <v>41.526169000000003</v>
      </c>
      <c r="V83">
        <v>50</v>
      </c>
      <c r="W83">
        <v>69.024969999999996</v>
      </c>
      <c r="X83">
        <v>46.016646999999999</v>
      </c>
      <c r="Y83">
        <v>50</v>
      </c>
      <c r="Z83">
        <v>74.067920999999998</v>
      </c>
      <c r="AA83">
        <v>58.598928000000001</v>
      </c>
      <c r="AB83">
        <v>39.065952000000003</v>
      </c>
      <c r="AC83">
        <v>50</v>
      </c>
      <c r="AD83">
        <v>65.932472000000004</v>
      </c>
      <c r="AE83">
        <v>43.954980999999997</v>
      </c>
      <c r="AF83">
        <v>50</v>
      </c>
      <c r="AG83">
        <v>55.634202999999999</v>
      </c>
      <c r="AH83">
        <v>70.454468000000006</v>
      </c>
      <c r="AI83">
        <v>37.089469000000001</v>
      </c>
      <c r="AJ83">
        <v>50</v>
      </c>
      <c r="AK83">
        <v>12.71</v>
      </c>
      <c r="AL83">
        <v>15.46</v>
      </c>
      <c r="AM83">
        <v>14.82</v>
      </c>
      <c r="AN83">
        <v>0.67651700000000003</v>
      </c>
      <c r="AO83">
        <v>67.651734000000005</v>
      </c>
      <c r="AP83">
        <v>100</v>
      </c>
      <c r="AQ83">
        <v>0.76676800000000001</v>
      </c>
      <c r="AR83">
        <v>76.676803000000007</v>
      </c>
      <c r="AS83">
        <v>100</v>
      </c>
      <c r="AT83">
        <v>0.63030699999999995</v>
      </c>
      <c r="AU83">
        <v>0.69739499999999999</v>
      </c>
      <c r="AV83">
        <v>63.030740999999999</v>
      </c>
      <c r="AW83">
        <v>100</v>
      </c>
      <c r="AX83">
        <v>0.71550800000000003</v>
      </c>
      <c r="AY83">
        <v>0.78983000000000003</v>
      </c>
      <c r="AZ83">
        <v>71.550819000000004</v>
      </c>
      <c r="BA83">
        <v>100</v>
      </c>
      <c r="BB83">
        <v>0.69811800000000002</v>
      </c>
      <c r="BC83">
        <v>34.905901</v>
      </c>
      <c r="BD83">
        <v>50</v>
      </c>
      <c r="BE83">
        <v>0.585314</v>
      </c>
      <c r="BF83">
        <v>29.265681000000001</v>
      </c>
      <c r="BG83">
        <v>50</v>
      </c>
      <c r="BH83">
        <v>0</v>
      </c>
      <c r="BI83">
        <v>0.99534900000000004</v>
      </c>
      <c r="BJ83">
        <v>0.98885800000000001</v>
      </c>
      <c r="BK83">
        <v>0.99860300000000002</v>
      </c>
      <c r="BL83">
        <v>0.99441900000000005</v>
      </c>
      <c r="BM83">
        <v>0.98607199999999995</v>
      </c>
      <c r="BN83">
        <v>0.99860300000000002</v>
      </c>
      <c r="BO83">
        <v>0.995614</v>
      </c>
      <c r="BP83">
        <v>0.98591499999999999</v>
      </c>
      <c r="BQ83">
        <v>1</v>
      </c>
      <c r="BR83">
        <v>3.9112000000000001E-2</v>
      </c>
      <c r="BS83">
        <v>50</v>
      </c>
      <c r="BT83">
        <v>50</v>
      </c>
      <c r="BU83">
        <v>6.7544999999999994E-2</v>
      </c>
      <c r="BV83">
        <v>46.490938999999997</v>
      </c>
      <c r="BW83">
        <v>50</v>
      </c>
      <c r="BX83">
        <v>0.72413799999999995</v>
      </c>
      <c r="BY83">
        <v>48.275861999999996</v>
      </c>
      <c r="BZ83">
        <v>50</v>
      </c>
      <c r="CA83">
        <v>0.45977000000000001</v>
      </c>
      <c r="CB83">
        <v>30.651340999999999</v>
      </c>
      <c r="CC83">
        <v>50</v>
      </c>
      <c r="CD83">
        <v>0.95019200000000004</v>
      </c>
      <c r="CE83">
        <v>50</v>
      </c>
      <c r="CF83">
        <v>50</v>
      </c>
      <c r="CG83">
        <v>0.98039200000000004</v>
      </c>
      <c r="CH83">
        <v>100</v>
      </c>
      <c r="CI83">
        <v>100</v>
      </c>
      <c r="CJ83">
        <v>0</v>
      </c>
      <c r="CK83">
        <v>0.90476199999999996</v>
      </c>
      <c r="CL83">
        <v>96.251266000000001</v>
      </c>
      <c r="CM83">
        <v>100</v>
      </c>
      <c r="CN83">
        <v>0.82799999999999996</v>
      </c>
      <c r="CO83">
        <v>100</v>
      </c>
      <c r="CP83">
        <v>100</v>
      </c>
      <c r="CQ83">
        <v>0.68025100000000005</v>
      </c>
      <c r="CR83">
        <v>0.99222399999999999</v>
      </c>
      <c r="CS83">
        <v>45.350051999999998</v>
      </c>
      <c r="CT83">
        <v>50</v>
      </c>
      <c r="CU83">
        <v>0.60754699999999995</v>
      </c>
      <c r="CV83">
        <v>50</v>
      </c>
      <c r="CW83">
        <v>50</v>
      </c>
      <c r="CX83">
        <v>0.90476199999999996</v>
      </c>
      <c r="CY83">
        <v>0.94</v>
      </c>
      <c r="CZ83">
        <v>3.5237999999999998E-2</v>
      </c>
      <c r="DA83">
        <v>15.389535</v>
      </c>
      <c r="DB83">
        <v>17.608319000000002</v>
      </c>
      <c r="DC83">
        <v>16.064022999999999</v>
      </c>
      <c r="DD83">
        <v>11.115401</v>
      </c>
      <c r="DE83" t="s">
        <v>125</v>
      </c>
      <c r="DJ83" t="s">
        <v>125</v>
      </c>
      <c r="DK83" t="s">
        <v>125</v>
      </c>
      <c r="DL83" t="s">
        <v>125</v>
      </c>
      <c r="DM83" t="s">
        <v>125</v>
      </c>
      <c r="DN83" t="s">
        <v>125</v>
      </c>
      <c r="DO83" t="s">
        <v>125</v>
      </c>
      <c r="DQ83" t="s">
        <v>126</v>
      </c>
    </row>
    <row r="84" spans="1:121" x14ac:dyDescent="0.15">
      <c r="A84">
        <v>2018</v>
      </c>
      <c r="B84" t="s">
        <v>206</v>
      </c>
      <c r="C84" t="str">
        <f>"0930011"</f>
        <v>0930011</v>
      </c>
      <c r="D84" t="s">
        <v>123</v>
      </c>
      <c r="E84" t="str">
        <f t="shared" si="0"/>
        <v>0000000</v>
      </c>
      <c r="F84" t="s">
        <v>123</v>
      </c>
      <c r="G84" t="s">
        <v>123</v>
      </c>
      <c r="H84" t="s">
        <v>123</v>
      </c>
      <c r="J84" t="s">
        <v>124</v>
      </c>
      <c r="K84">
        <v>937.71937200000002</v>
      </c>
      <c r="L84">
        <v>1450</v>
      </c>
      <c r="M84">
        <v>64.670302000000007</v>
      </c>
      <c r="N84" t="s">
        <v>125</v>
      </c>
      <c r="O84">
        <v>1</v>
      </c>
      <c r="P84">
        <v>57.823636</v>
      </c>
      <c r="Q84">
        <v>38.549090999999997</v>
      </c>
      <c r="R84">
        <v>50</v>
      </c>
      <c r="S84">
        <v>54.892274</v>
      </c>
      <c r="T84">
        <v>70.979868999999994</v>
      </c>
      <c r="U84">
        <v>36.594849000000004</v>
      </c>
      <c r="V84">
        <v>50</v>
      </c>
      <c r="W84">
        <v>50.632579</v>
      </c>
      <c r="X84">
        <v>33.755052999999997</v>
      </c>
      <c r="Y84">
        <v>50</v>
      </c>
      <c r="Z84">
        <v>63.171894000000002</v>
      </c>
      <c r="AA84">
        <v>47.83916</v>
      </c>
      <c r="AB84">
        <v>31.892772999999998</v>
      </c>
      <c r="AC84">
        <v>50</v>
      </c>
      <c r="AD84">
        <v>51.979877000000002</v>
      </c>
      <c r="AE84">
        <v>34.653250999999997</v>
      </c>
      <c r="AF84">
        <v>50</v>
      </c>
      <c r="AG84">
        <v>49.519981999999999</v>
      </c>
      <c r="AH84">
        <v>62.638364000000003</v>
      </c>
      <c r="AI84">
        <v>33.013320999999998</v>
      </c>
      <c r="AJ84">
        <v>50</v>
      </c>
      <c r="AK84">
        <v>16.079999999999998</v>
      </c>
      <c r="AL84">
        <v>15.33</v>
      </c>
      <c r="AM84">
        <v>13.11</v>
      </c>
      <c r="AN84">
        <v>0.55197300000000005</v>
      </c>
      <c r="AO84">
        <v>55.197263999999997</v>
      </c>
      <c r="AP84">
        <v>100</v>
      </c>
      <c r="AQ84">
        <v>0.53611399999999998</v>
      </c>
      <c r="AR84">
        <v>53.611384000000001</v>
      </c>
      <c r="AS84">
        <v>100</v>
      </c>
      <c r="AT84">
        <v>0.53619600000000001</v>
      </c>
      <c r="AU84">
        <v>0.62455099999999997</v>
      </c>
      <c r="AV84">
        <v>53.619633</v>
      </c>
      <c r="AW84">
        <v>100</v>
      </c>
      <c r="AX84">
        <v>0.52411399999999997</v>
      </c>
      <c r="AY84">
        <v>0.59140999999999999</v>
      </c>
      <c r="AZ84">
        <v>52.411377999999999</v>
      </c>
      <c r="BA84">
        <v>100</v>
      </c>
      <c r="BB84">
        <v>0.59070100000000003</v>
      </c>
      <c r="BC84">
        <v>29.535052</v>
      </c>
      <c r="BD84">
        <v>50</v>
      </c>
      <c r="BE84">
        <v>0.48257100000000003</v>
      </c>
      <c r="BF84">
        <v>24.128544999999999</v>
      </c>
      <c r="BG84">
        <v>50</v>
      </c>
      <c r="BH84">
        <v>0</v>
      </c>
      <c r="BI84">
        <v>0.98753199999999997</v>
      </c>
      <c r="BJ84">
        <v>0.98727100000000001</v>
      </c>
      <c r="BK84">
        <v>0.98870100000000005</v>
      </c>
      <c r="BL84">
        <v>0.98546</v>
      </c>
      <c r="BM84">
        <v>0.98508300000000004</v>
      </c>
      <c r="BN84">
        <v>0.987147</v>
      </c>
      <c r="BO84">
        <v>0.98263699999999998</v>
      </c>
      <c r="BP84">
        <v>0.98280699999999999</v>
      </c>
      <c r="BQ84">
        <v>0.98190599999999995</v>
      </c>
      <c r="BR84">
        <v>0.19342000000000001</v>
      </c>
      <c r="BS84">
        <v>21.315939</v>
      </c>
      <c r="BT84">
        <v>50</v>
      </c>
      <c r="BU84">
        <v>0.212871</v>
      </c>
      <c r="BV84">
        <v>17.425743000000001</v>
      </c>
      <c r="BW84">
        <v>50</v>
      </c>
      <c r="BX84">
        <v>0.65706500000000001</v>
      </c>
      <c r="BY84">
        <v>43.804333999999997</v>
      </c>
      <c r="BZ84">
        <v>50</v>
      </c>
      <c r="CA84">
        <v>0.180615</v>
      </c>
      <c r="CB84">
        <v>12.041002000000001</v>
      </c>
      <c r="CC84">
        <v>50</v>
      </c>
      <c r="CD84">
        <v>0.85281499999999999</v>
      </c>
      <c r="CE84">
        <v>45.362515000000002</v>
      </c>
      <c r="CF84">
        <v>50</v>
      </c>
      <c r="CG84">
        <v>0.78861300000000001</v>
      </c>
      <c r="CH84">
        <v>83.894953999999998</v>
      </c>
      <c r="CI84">
        <v>100</v>
      </c>
      <c r="CJ84">
        <v>0</v>
      </c>
      <c r="CK84">
        <v>0.82697200000000004</v>
      </c>
      <c r="CL84">
        <v>87.975746000000001</v>
      </c>
      <c r="CM84">
        <v>100</v>
      </c>
      <c r="CN84">
        <v>0.58899999999999997</v>
      </c>
      <c r="CO84">
        <v>78.541667000000004</v>
      </c>
      <c r="CP84">
        <v>100</v>
      </c>
      <c r="CQ84">
        <v>0.48471199999999998</v>
      </c>
      <c r="CR84">
        <v>0.93992500000000001</v>
      </c>
      <c r="CS84">
        <v>32.314158999999997</v>
      </c>
      <c r="CT84">
        <v>50</v>
      </c>
      <c r="CU84">
        <v>0.45698100000000003</v>
      </c>
      <c r="CV84">
        <v>38.081721999999999</v>
      </c>
      <c r="CW84">
        <v>50</v>
      </c>
      <c r="CX84">
        <v>0.82697200000000004</v>
      </c>
      <c r="CY84">
        <v>0.88345899999999999</v>
      </c>
      <c r="CZ84">
        <v>5.6487000000000002E-2</v>
      </c>
      <c r="DA84">
        <v>15.389535</v>
      </c>
      <c r="DB84">
        <v>17.608319000000002</v>
      </c>
      <c r="DC84">
        <v>16.064022999999999</v>
      </c>
      <c r="DD84">
        <v>11.115401</v>
      </c>
      <c r="DE84" t="s">
        <v>125</v>
      </c>
      <c r="DJ84" t="s">
        <v>125</v>
      </c>
      <c r="DK84" t="s">
        <v>125</v>
      </c>
      <c r="DL84" t="s">
        <v>125</v>
      </c>
      <c r="DM84" t="s">
        <v>125</v>
      </c>
      <c r="DN84" t="s">
        <v>125</v>
      </c>
      <c r="DO84" t="s">
        <v>125</v>
      </c>
      <c r="DQ84" t="s">
        <v>126</v>
      </c>
    </row>
    <row r="85" spans="1:121" x14ac:dyDescent="0.15">
      <c r="A85">
        <v>2018</v>
      </c>
      <c r="B85" t="s">
        <v>207</v>
      </c>
      <c r="C85" t="str">
        <f>"1530011"</f>
        <v>1530011</v>
      </c>
      <c r="D85" t="s">
        <v>123</v>
      </c>
      <c r="E85" t="str">
        <f t="shared" si="0"/>
        <v>0000000</v>
      </c>
      <c r="F85" t="s">
        <v>123</v>
      </c>
      <c r="G85" t="s">
        <v>123</v>
      </c>
      <c r="H85" t="s">
        <v>123</v>
      </c>
      <c r="J85" t="s">
        <v>124</v>
      </c>
      <c r="K85">
        <v>1107.227918</v>
      </c>
      <c r="L85">
        <v>1450</v>
      </c>
      <c r="M85">
        <v>76.360545999999999</v>
      </c>
      <c r="N85" t="s">
        <v>125</v>
      </c>
      <c r="O85">
        <v>0</v>
      </c>
      <c r="P85">
        <v>70.046154999999999</v>
      </c>
      <c r="Q85">
        <v>46.697436000000003</v>
      </c>
      <c r="R85">
        <v>50</v>
      </c>
      <c r="S85">
        <v>63.791480999999997</v>
      </c>
      <c r="T85">
        <v>74.636948000000004</v>
      </c>
      <c r="U85">
        <v>42.527653999999998</v>
      </c>
      <c r="V85">
        <v>50</v>
      </c>
      <c r="W85">
        <v>64.825207000000006</v>
      </c>
      <c r="X85">
        <v>43.216805000000001</v>
      </c>
      <c r="Y85">
        <v>50</v>
      </c>
      <c r="Z85">
        <v>69.971187</v>
      </c>
      <c r="AA85">
        <v>57.819541000000001</v>
      </c>
      <c r="AB85">
        <v>38.546360999999997</v>
      </c>
      <c r="AC85">
        <v>50</v>
      </c>
      <c r="AD85">
        <v>64.548783999999998</v>
      </c>
      <c r="AE85">
        <v>43.032522999999998</v>
      </c>
      <c r="AF85">
        <v>50</v>
      </c>
      <c r="AG85">
        <v>59.73827</v>
      </c>
      <c r="AH85">
        <v>68.195238000000003</v>
      </c>
      <c r="AI85">
        <v>39.825513000000001</v>
      </c>
      <c r="AJ85">
        <v>50</v>
      </c>
      <c r="AK85">
        <v>10.84</v>
      </c>
      <c r="AL85">
        <v>12.15</v>
      </c>
      <c r="AM85">
        <v>8.4499999999999993</v>
      </c>
      <c r="AN85">
        <v>0.57626299999999997</v>
      </c>
      <c r="AO85">
        <v>57.626280999999999</v>
      </c>
      <c r="AP85">
        <v>100</v>
      </c>
      <c r="AQ85">
        <v>0.56050900000000003</v>
      </c>
      <c r="AR85">
        <v>56.050933000000001</v>
      </c>
      <c r="AS85">
        <v>100</v>
      </c>
      <c r="AT85">
        <v>0.572658</v>
      </c>
      <c r="AU85">
        <v>0.57894000000000001</v>
      </c>
      <c r="AV85">
        <v>57.265802999999998</v>
      </c>
      <c r="AW85">
        <v>100</v>
      </c>
      <c r="AX85">
        <v>0.53217400000000004</v>
      </c>
      <c r="AY85">
        <v>0.58149499999999998</v>
      </c>
      <c r="AZ85">
        <v>53.217410999999998</v>
      </c>
      <c r="BA85">
        <v>100</v>
      </c>
      <c r="BB85">
        <v>0.75231999999999999</v>
      </c>
      <c r="BC85">
        <v>37.616011</v>
      </c>
      <c r="BD85">
        <v>50</v>
      </c>
      <c r="BE85">
        <v>0.51871900000000004</v>
      </c>
      <c r="BF85">
        <v>25.935955</v>
      </c>
      <c r="BG85">
        <v>50</v>
      </c>
      <c r="BH85">
        <v>0</v>
      </c>
      <c r="BI85">
        <v>0.98522500000000002</v>
      </c>
      <c r="BJ85">
        <v>0.97699400000000003</v>
      </c>
      <c r="BK85">
        <v>0.99163699999999999</v>
      </c>
      <c r="BL85">
        <v>0.98387100000000005</v>
      </c>
      <c r="BM85">
        <v>0.97545999999999999</v>
      </c>
      <c r="BN85">
        <v>0.99043099999999995</v>
      </c>
      <c r="BO85">
        <v>0.98713799999999996</v>
      </c>
      <c r="BP85">
        <v>0.978182</v>
      </c>
      <c r="BQ85">
        <v>0.99423600000000001</v>
      </c>
      <c r="BR85">
        <v>0.104517</v>
      </c>
      <c r="BS85">
        <v>39.096677999999997</v>
      </c>
      <c r="BT85">
        <v>50</v>
      </c>
      <c r="BU85">
        <v>0.151591</v>
      </c>
      <c r="BV85">
        <v>29.681742</v>
      </c>
      <c r="BW85">
        <v>50</v>
      </c>
      <c r="BX85">
        <v>0.63364100000000001</v>
      </c>
      <c r="BY85">
        <v>42.242704000000003</v>
      </c>
      <c r="BZ85">
        <v>50</v>
      </c>
      <c r="CA85">
        <v>0.384793</v>
      </c>
      <c r="CB85">
        <v>25.652842</v>
      </c>
      <c r="CC85">
        <v>50</v>
      </c>
      <c r="CD85">
        <v>0.91525400000000001</v>
      </c>
      <c r="CE85">
        <v>48.683736000000003</v>
      </c>
      <c r="CF85">
        <v>50</v>
      </c>
      <c r="CG85">
        <v>0.917431</v>
      </c>
      <c r="CH85">
        <v>97.599063000000001</v>
      </c>
      <c r="CI85">
        <v>100</v>
      </c>
      <c r="CJ85">
        <v>0</v>
      </c>
      <c r="CK85">
        <v>0.95294100000000004</v>
      </c>
      <c r="CL85">
        <v>100</v>
      </c>
      <c r="CM85">
        <v>100</v>
      </c>
      <c r="CN85">
        <v>0.748</v>
      </c>
      <c r="CO85">
        <v>99.676374999999993</v>
      </c>
      <c r="CP85">
        <v>100</v>
      </c>
      <c r="CQ85">
        <v>0.49554100000000001</v>
      </c>
      <c r="CR85">
        <v>0.93119799999999997</v>
      </c>
      <c r="CS85">
        <v>33.036093000000001</v>
      </c>
      <c r="CT85">
        <v>50</v>
      </c>
      <c r="CU85">
        <v>0.60516599999999998</v>
      </c>
      <c r="CV85">
        <v>50</v>
      </c>
      <c r="CW85">
        <v>50</v>
      </c>
      <c r="CX85">
        <v>0.95294100000000004</v>
      </c>
      <c r="CY85">
        <v>0.94</v>
      </c>
      <c r="CZ85">
        <v>-1.2940999999999999E-2</v>
      </c>
      <c r="DA85">
        <v>15.389535</v>
      </c>
      <c r="DB85">
        <v>17.608319000000002</v>
      </c>
      <c r="DC85">
        <v>16.064022999999999</v>
      </c>
      <c r="DD85">
        <v>11.115401</v>
      </c>
      <c r="DE85" t="s">
        <v>125</v>
      </c>
      <c r="DJ85" t="s">
        <v>125</v>
      </c>
      <c r="DK85" t="s">
        <v>125</v>
      </c>
      <c r="DL85" t="s">
        <v>125</v>
      </c>
      <c r="DM85" t="s">
        <v>125</v>
      </c>
      <c r="DN85" t="s">
        <v>125</v>
      </c>
      <c r="DO85" t="s">
        <v>125</v>
      </c>
      <c r="DQ85" t="s">
        <v>126</v>
      </c>
    </row>
    <row r="86" spans="1:121" x14ac:dyDescent="0.15">
      <c r="A86">
        <v>2018</v>
      </c>
      <c r="B86" t="s">
        <v>208</v>
      </c>
      <c r="C86" t="str">
        <f>"0960011"</f>
        <v>0960011</v>
      </c>
      <c r="D86" t="s">
        <v>123</v>
      </c>
      <c r="E86" t="str">
        <f t="shared" si="0"/>
        <v>0000000</v>
      </c>
      <c r="F86" t="s">
        <v>123</v>
      </c>
      <c r="G86" t="s">
        <v>123</v>
      </c>
      <c r="H86" t="s">
        <v>123</v>
      </c>
      <c r="J86" t="s">
        <v>124</v>
      </c>
      <c r="K86">
        <v>1125.9461269999999</v>
      </c>
      <c r="L86">
        <v>1450</v>
      </c>
      <c r="M86">
        <v>77.651456999999994</v>
      </c>
      <c r="N86" t="s">
        <v>125</v>
      </c>
      <c r="O86">
        <v>0</v>
      </c>
      <c r="P86">
        <v>67.782004999999998</v>
      </c>
      <c r="Q86">
        <v>45.188003000000002</v>
      </c>
      <c r="R86">
        <v>50</v>
      </c>
      <c r="S86">
        <v>60.658987000000003</v>
      </c>
      <c r="T86">
        <v>73.121201999999997</v>
      </c>
      <c r="U86">
        <v>40.439324999999997</v>
      </c>
      <c r="V86">
        <v>50</v>
      </c>
      <c r="W86">
        <v>64.973947999999993</v>
      </c>
      <c r="X86">
        <v>43.315966000000003</v>
      </c>
      <c r="Y86">
        <v>50</v>
      </c>
      <c r="Z86">
        <v>70.796690999999996</v>
      </c>
      <c r="AA86">
        <v>57.187879000000002</v>
      </c>
      <c r="AB86">
        <v>38.125252000000003</v>
      </c>
      <c r="AC86">
        <v>50</v>
      </c>
      <c r="AD86">
        <v>67.194134000000005</v>
      </c>
      <c r="AE86">
        <v>44.79609</v>
      </c>
      <c r="AF86">
        <v>50</v>
      </c>
      <c r="AG86">
        <v>59.334372999999999</v>
      </c>
      <c r="AH86">
        <v>72.476231999999996</v>
      </c>
      <c r="AI86">
        <v>39.556247999999997</v>
      </c>
      <c r="AJ86">
        <v>50</v>
      </c>
      <c r="AK86">
        <v>12.46</v>
      </c>
      <c r="AL86">
        <v>13.6</v>
      </c>
      <c r="AM86">
        <v>13.14</v>
      </c>
      <c r="AN86">
        <v>0.55010999999999999</v>
      </c>
      <c r="AO86">
        <v>55.011001</v>
      </c>
      <c r="AP86">
        <v>100</v>
      </c>
      <c r="AQ86">
        <v>0.63390999999999997</v>
      </c>
      <c r="AR86">
        <v>63.390996999999999</v>
      </c>
      <c r="AS86">
        <v>100</v>
      </c>
      <c r="AT86">
        <v>0.54007700000000003</v>
      </c>
      <c r="AU86">
        <v>0.55771400000000004</v>
      </c>
      <c r="AV86">
        <v>54.007733999999999</v>
      </c>
      <c r="AW86">
        <v>100</v>
      </c>
      <c r="AX86">
        <v>0.60930700000000004</v>
      </c>
      <c r="AY86">
        <v>0.65252100000000002</v>
      </c>
      <c r="AZ86">
        <v>60.930666000000002</v>
      </c>
      <c r="BA86">
        <v>100</v>
      </c>
      <c r="BB86">
        <v>0.63830500000000001</v>
      </c>
      <c r="BC86">
        <v>31.915248999999999</v>
      </c>
      <c r="BD86">
        <v>50</v>
      </c>
      <c r="BE86">
        <v>0.68810199999999999</v>
      </c>
      <c r="BF86">
        <v>34.405099</v>
      </c>
      <c r="BG86">
        <v>50</v>
      </c>
      <c r="BH86">
        <v>0</v>
      </c>
      <c r="BI86">
        <v>0.97792400000000002</v>
      </c>
      <c r="BJ86">
        <v>0.97542700000000004</v>
      </c>
      <c r="BK86">
        <v>0.97988299999999995</v>
      </c>
      <c r="BL86">
        <v>0.97415399999999996</v>
      </c>
      <c r="BM86">
        <v>0.97008499999999998</v>
      </c>
      <c r="BN86">
        <v>0.97734900000000002</v>
      </c>
      <c r="BO86">
        <v>0.98140499999999997</v>
      </c>
      <c r="BP86">
        <v>0.97744399999999998</v>
      </c>
      <c r="BQ86">
        <v>0.98418300000000003</v>
      </c>
      <c r="BR86">
        <v>6.7322999999999994E-2</v>
      </c>
      <c r="BS86">
        <v>46.535474000000001</v>
      </c>
      <c r="BT86">
        <v>50</v>
      </c>
      <c r="BU86">
        <v>0.112167</v>
      </c>
      <c r="BV86">
        <v>37.566540000000003</v>
      </c>
      <c r="BW86">
        <v>50</v>
      </c>
      <c r="BX86">
        <v>0.95319799999999999</v>
      </c>
      <c r="BY86">
        <v>50</v>
      </c>
      <c r="BZ86">
        <v>50</v>
      </c>
      <c r="CA86">
        <v>0.53822199999999998</v>
      </c>
      <c r="CB86">
        <v>35.881435000000003</v>
      </c>
      <c r="CC86">
        <v>50</v>
      </c>
      <c r="CD86">
        <v>0.94545500000000005</v>
      </c>
      <c r="CE86">
        <v>50</v>
      </c>
      <c r="CF86">
        <v>50</v>
      </c>
      <c r="CG86">
        <v>0.91830999999999996</v>
      </c>
      <c r="CH86">
        <v>97.692537999999999</v>
      </c>
      <c r="CI86">
        <v>100</v>
      </c>
      <c r="CJ86">
        <v>1</v>
      </c>
      <c r="CK86">
        <v>0.81720400000000004</v>
      </c>
      <c r="CL86">
        <v>86.936627999999999</v>
      </c>
      <c r="CM86">
        <v>100</v>
      </c>
      <c r="CN86">
        <v>0.80700000000000005</v>
      </c>
      <c r="CO86">
        <v>100</v>
      </c>
      <c r="CP86">
        <v>100</v>
      </c>
      <c r="CQ86">
        <v>0.45238099999999998</v>
      </c>
      <c r="CR86">
        <v>0.95529399999999998</v>
      </c>
      <c r="CS86">
        <v>30.158729999999998</v>
      </c>
      <c r="CT86">
        <v>50</v>
      </c>
      <c r="CU86">
        <v>0.48111799999999999</v>
      </c>
      <c r="CV86">
        <v>40.093152000000003</v>
      </c>
      <c r="CW86">
        <v>50</v>
      </c>
      <c r="CX86">
        <v>0.81720400000000004</v>
      </c>
      <c r="CY86">
        <v>0.94</v>
      </c>
      <c r="CZ86">
        <v>0.122796</v>
      </c>
      <c r="DA86">
        <v>15.389535</v>
      </c>
      <c r="DB86">
        <v>17.608319000000002</v>
      </c>
      <c r="DC86">
        <v>16.064022999999999</v>
      </c>
      <c r="DD86">
        <v>11.115401</v>
      </c>
      <c r="DE86" t="s">
        <v>125</v>
      </c>
      <c r="DJ86" t="s">
        <v>125</v>
      </c>
      <c r="DK86" t="s">
        <v>125</v>
      </c>
      <c r="DL86" t="s">
        <v>125</v>
      </c>
      <c r="DM86" t="s">
        <v>125</v>
      </c>
      <c r="DN86" t="s">
        <v>125</v>
      </c>
      <c r="DO86" t="s">
        <v>125</v>
      </c>
      <c r="DQ86" t="s">
        <v>126</v>
      </c>
    </row>
    <row r="87" spans="1:121" x14ac:dyDescent="0.15">
      <c r="A87">
        <v>2018</v>
      </c>
      <c r="B87" t="s">
        <v>209</v>
      </c>
      <c r="C87" t="str">
        <f>"1590011"</f>
        <v>1590011</v>
      </c>
      <c r="D87" t="s">
        <v>123</v>
      </c>
      <c r="E87" t="str">
        <f t="shared" si="0"/>
        <v>0000000</v>
      </c>
      <c r="F87" t="s">
        <v>123</v>
      </c>
      <c r="G87" t="s">
        <v>123</v>
      </c>
      <c r="H87" t="s">
        <v>123</v>
      </c>
      <c r="J87" t="s">
        <v>124</v>
      </c>
      <c r="K87">
        <v>1149.3298609999999</v>
      </c>
      <c r="L87">
        <v>1450</v>
      </c>
      <c r="M87">
        <v>79.264127999999999</v>
      </c>
      <c r="N87" t="s">
        <v>125</v>
      </c>
      <c r="O87">
        <v>0</v>
      </c>
      <c r="P87">
        <v>72.342214999999996</v>
      </c>
      <c r="Q87">
        <v>48.228143000000003</v>
      </c>
      <c r="R87">
        <v>50</v>
      </c>
      <c r="S87">
        <v>61.687666999999998</v>
      </c>
      <c r="T87">
        <v>75</v>
      </c>
      <c r="U87">
        <v>41.125110999999997</v>
      </c>
      <c r="V87">
        <v>50</v>
      </c>
      <c r="W87">
        <v>68.344842</v>
      </c>
      <c r="X87">
        <v>45.563228000000002</v>
      </c>
      <c r="Y87">
        <v>50</v>
      </c>
      <c r="Z87">
        <v>75</v>
      </c>
      <c r="AA87">
        <v>57.484498000000002</v>
      </c>
      <c r="AB87">
        <v>38.322999000000003</v>
      </c>
      <c r="AC87">
        <v>50</v>
      </c>
      <c r="AD87">
        <v>66.729414000000006</v>
      </c>
      <c r="AE87">
        <v>44.486275999999997</v>
      </c>
      <c r="AF87">
        <v>50</v>
      </c>
      <c r="AG87">
        <v>58.245373999999998</v>
      </c>
      <c r="AH87">
        <v>71.799757</v>
      </c>
      <c r="AI87">
        <v>38.830249000000002</v>
      </c>
      <c r="AJ87">
        <v>50</v>
      </c>
      <c r="AK87">
        <v>13.31</v>
      </c>
      <c r="AL87">
        <v>17.510000000000002</v>
      </c>
      <c r="AM87">
        <v>13.55</v>
      </c>
      <c r="AN87">
        <v>0.61753499999999995</v>
      </c>
      <c r="AO87">
        <v>61.753473999999997</v>
      </c>
      <c r="AP87">
        <v>100</v>
      </c>
      <c r="AQ87">
        <v>0.67238600000000004</v>
      </c>
      <c r="AR87">
        <v>67.238575999999995</v>
      </c>
      <c r="AS87">
        <v>100</v>
      </c>
      <c r="AT87">
        <v>0.52546199999999998</v>
      </c>
      <c r="AU87">
        <v>0.66889600000000005</v>
      </c>
      <c r="AV87">
        <v>52.546213000000002</v>
      </c>
      <c r="AW87">
        <v>100</v>
      </c>
      <c r="AX87">
        <v>0.59819900000000004</v>
      </c>
      <c r="AY87">
        <v>0.71382999999999996</v>
      </c>
      <c r="AZ87">
        <v>59.819898000000002</v>
      </c>
      <c r="BA87">
        <v>100</v>
      </c>
      <c r="BB87">
        <v>0.65175099999999997</v>
      </c>
      <c r="BC87">
        <v>32.587541000000002</v>
      </c>
      <c r="BD87">
        <v>50</v>
      </c>
      <c r="BE87">
        <v>0.51491299999999995</v>
      </c>
      <c r="BF87">
        <v>25.745640000000002</v>
      </c>
      <c r="BG87">
        <v>50</v>
      </c>
      <c r="BH87">
        <v>0</v>
      </c>
      <c r="BI87">
        <v>0.99165800000000004</v>
      </c>
      <c r="BJ87">
        <v>0.98817299999999997</v>
      </c>
      <c r="BK87">
        <v>0.99395</v>
      </c>
      <c r="BL87">
        <v>0.99009899999999995</v>
      </c>
      <c r="BM87">
        <v>0.986877</v>
      </c>
      <c r="BN87">
        <v>0.99222100000000002</v>
      </c>
      <c r="BO87">
        <v>0.99401200000000001</v>
      </c>
      <c r="BP87">
        <v>0.99376900000000001</v>
      </c>
      <c r="BQ87">
        <v>0.99416300000000002</v>
      </c>
      <c r="BR87">
        <v>4.7254999999999998E-2</v>
      </c>
      <c r="BS87">
        <v>50</v>
      </c>
      <c r="BT87">
        <v>50</v>
      </c>
      <c r="BU87">
        <v>9.5344999999999999E-2</v>
      </c>
      <c r="BV87">
        <v>40.930931000000001</v>
      </c>
      <c r="BW87">
        <v>50</v>
      </c>
      <c r="BX87">
        <v>0.818662</v>
      </c>
      <c r="BY87">
        <v>50</v>
      </c>
      <c r="BZ87">
        <v>50</v>
      </c>
      <c r="CA87">
        <v>0.46831</v>
      </c>
      <c r="CB87">
        <v>31.220656999999999</v>
      </c>
      <c r="CC87">
        <v>50</v>
      </c>
      <c r="CD87">
        <v>0.93717300000000003</v>
      </c>
      <c r="CE87">
        <v>49.849615999999997</v>
      </c>
      <c r="CF87">
        <v>50</v>
      </c>
      <c r="CG87">
        <v>0.93949000000000005</v>
      </c>
      <c r="CH87">
        <v>99.945791999999997</v>
      </c>
      <c r="CI87">
        <v>100</v>
      </c>
      <c r="CJ87">
        <v>0</v>
      </c>
      <c r="CK87">
        <v>0.88297899999999996</v>
      </c>
      <c r="CL87">
        <v>93.933907000000005</v>
      </c>
      <c r="CM87">
        <v>100</v>
      </c>
      <c r="CN87">
        <v>0.78900000000000003</v>
      </c>
      <c r="CO87">
        <v>100</v>
      </c>
      <c r="CP87">
        <v>100</v>
      </c>
      <c r="CQ87">
        <v>0.46382200000000001</v>
      </c>
      <c r="CR87">
        <v>0.96335999999999999</v>
      </c>
      <c r="CS87">
        <v>30.921458999999999</v>
      </c>
      <c r="CT87">
        <v>50</v>
      </c>
      <c r="CU87">
        <v>0.55536200000000002</v>
      </c>
      <c r="CV87">
        <v>46.280150999999996</v>
      </c>
      <c r="CW87">
        <v>50</v>
      </c>
      <c r="CX87">
        <v>0.88297899999999996</v>
      </c>
      <c r="CY87">
        <v>0.94</v>
      </c>
      <c r="CZ87">
        <v>5.7021000000000002E-2</v>
      </c>
      <c r="DA87">
        <v>15.389535</v>
      </c>
      <c r="DB87">
        <v>17.608319000000002</v>
      </c>
      <c r="DC87">
        <v>16.064022999999999</v>
      </c>
      <c r="DD87">
        <v>11.115401</v>
      </c>
      <c r="DE87" t="s">
        <v>125</v>
      </c>
      <c r="DJ87" t="s">
        <v>125</v>
      </c>
      <c r="DK87" t="s">
        <v>125</v>
      </c>
      <c r="DL87" t="s">
        <v>125</v>
      </c>
      <c r="DM87" t="s">
        <v>125</v>
      </c>
      <c r="DN87" t="s">
        <v>125</v>
      </c>
      <c r="DO87" t="s">
        <v>125</v>
      </c>
      <c r="DQ87" t="s">
        <v>126</v>
      </c>
    </row>
    <row r="88" spans="1:121" x14ac:dyDescent="0.15">
      <c r="A88">
        <v>2018</v>
      </c>
      <c r="B88" t="s">
        <v>210</v>
      </c>
      <c r="C88" t="str">
        <f>"0510011"</f>
        <v>0510011</v>
      </c>
      <c r="D88" t="s">
        <v>123</v>
      </c>
      <c r="E88" t="str">
        <f t="shared" si="0"/>
        <v>0000000</v>
      </c>
      <c r="F88" t="s">
        <v>123</v>
      </c>
      <c r="G88" t="s">
        <v>123</v>
      </c>
      <c r="H88" t="s">
        <v>123</v>
      </c>
      <c r="J88" t="s">
        <v>124</v>
      </c>
      <c r="K88">
        <v>1210.9865219999999</v>
      </c>
      <c r="L88">
        <v>1450</v>
      </c>
      <c r="M88">
        <v>83.516311999999999</v>
      </c>
      <c r="N88" t="s">
        <v>125</v>
      </c>
      <c r="O88">
        <v>0</v>
      </c>
      <c r="P88">
        <v>78.178647999999995</v>
      </c>
      <c r="Q88">
        <v>50</v>
      </c>
      <c r="R88">
        <v>50</v>
      </c>
      <c r="S88">
        <v>65.689314999999993</v>
      </c>
      <c r="T88">
        <v>75</v>
      </c>
      <c r="U88">
        <v>43.792876999999997</v>
      </c>
      <c r="V88">
        <v>50</v>
      </c>
      <c r="W88">
        <v>75.128005999999999</v>
      </c>
      <c r="X88">
        <v>50</v>
      </c>
      <c r="Y88">
        <v>50</v>
      </c>
      <c r="Z88">
        <v>75</v>
      </c>
      <c r="AA88">
        <v>61.862900000000003</v>
      </c>
      <c r="AB88">
        <v>41.241933000000003</v>
      </c>
      <c r="AC88">
        <v>50</v>
      </c>
      <c r="AD88">
        <v>75.191936999999996</v>
      </c>
      <c r="AE88">
        <v>50</v>
      </c>
      <c r="AF88">
        <v>50</v>
      </c>
      <c r="AG88">
        <v>62.825549000000002</v>
      </c>
      <c r="AH88">
        <v>75</v>
      </c>
      <c r="AI88">
        <v>41.883699</v>
      </c>
      <c r="AJ88">
        <v>50</v>
      </c>
      <c r="AK88">
        <v>9.31</v>
      </c>
      <c r="AL88">
        <v>13.13</v>
      </c>
      <c r="AM88">
        <v>12.17</v>
      </c>
      <c r="AN88">
        <v>0.65382300000000004</v>
      </c>
      <c r="AO88">
        <v>65.382335999999995</v>
      </c>
      <c r="AP88">
        <v>100</v>
      </c>
      <c r="AQ88">
        <v>0.72068100000000002</v>
      </c>
      <c r="AR88">
        <v>72.068140999999997</v>
      </c>
      <c r="AS88">
        <v>100</v>
      </c>
      <c r="AT88">
        <v>0.60369300000000004</v>
      </c>
      <c r="AU88">
        <v>0.67058700000000004</v>
      </c>
      <c r="AV88">
        <v>60.369264999999999</v>
      </c>
      <c r="AW88">
        <v>100</v>
      </c>
      <c r="AX88">
        <v>0.63744400000000001</v>
      </c>
      <c r="AY88">
        <v>0.74839800000000001</v>
      </c>
      <c r="AZ88">
        <v>63.744373000000003</v>
      </c>
      <c r="BA88">
        <v>100</v>
      </c>
      <c r="BB88">
        <v>0.65651199999999998</v>
      </c>
      <c r="BC88">
        <v>32.825592999999998</v>
      </c>
      <c r="BD88">
        <v>50</v>
      </c>
      <c r="BE88">
        <v>0.58829200000000004</v>
      </c>
      <c r="BF88">
        <v>29.414621</v>
      </c>
      <c r="BG88">
        <v>50</v>
      </c>
      <c r="BH88">
        <v>0</v>
      </c>
      <c r="BI88">
        <v>0.99199400000000004</v>
      </c>
      <c r="BJ88">
        <v>0.980352</v>
      </c>
      <c r="BK88">
        <v>0.99640600000000001</v>
      </c>
      <c r="BL88">
        <v>0.99031800000000003</v>
      </c>
      <c r="BM88">
        <v>0.97628700000000002</v>
      </c>
      <c r="BN88">
        <v>0.99563500000000005</v>
      </c>
      <c r="BO88">
        <v>0.98448899999999995</v>
      </c>
      <c r="BP88">
        <v>0.961538</v>
      </c>
      <c r="BQ88">
        <v>0.99341699999999999</v>
      </c>
      <c r="BR88">
        <v>5.6293000000000003E-2</v>
      </c>
      <c r="BS88">
        <v>48.741447000000001</v>
      </c>
      <c r="BT88">
        <v>50</v>
      </c>
      <c r="BU88">
        <v>0.103475</v>
      </c>
      <c r="BV88">
        <v>39.305078000000002</v>
      </c>
      <c r="BW88">
        <v>50</v>
      </c>
      <c r="BX88">
        <v>0.967804</v>
      </c>
      <c r="BY88">
        <v>50</v>
      </c>
      <c r="BZ88">
        <v>50</v>
      </c>
      <c r="CA88">
        <v>0.68126200000000003</v>
      </c>
      <c r="CB88">
        <v>45.417471999999997</v>
      </c>
      <c r="CC88">
        <v>50</v>
      </c>
      <c r="CD88">
        <v>0.94647700000000001</v>
      </c>
      <c r="CE88">
        <v>50</v>
      </c>
      <c r="CF88">
        <v>50</v>
      </c>
      <c r="CG88">
        <v>0.964422</v>
      </c>
      <c r="CH88">
        <v>100</v>
      </c>
      <c r="CI88">
        <v>100</v>
      </c>
      <c r="CJ88">
        <v>0</v>
      </c>
      <c r="CK88">
        <v>0.89603999999999995</v>
      </c>
      <c r="CL88">
        <v>95.323362000000003</v>
      </c>
      <c r="CM88">
        <v>100</v>
      </c>
      <c r="CN88">
        <v>0.84599999999999997</v>
      </c>
      <c r="CO88">
        <v>100</v>
      </c>
      <c r="CP88">
        <v>100</v>
      </c>
      <c r="CQ88">
        <v>0.62339900000000004</v>
      </c>
      <c r="CR88">
        <v>0.98669300000000004</v>
      </c>
      <c r="CS88">
        <v>41.559901000000004</v>
      </c>
      <c r="CT88">
        <v>50</v>
      </c>
      <c r="CU88">
        <v>0.47899700000000001</v>
      </c>
      <c r="CV88">
        <v>39.916421999999997</v>
      </c>
      <c r="CW88">
        <v>50</v>
      </c>
      <c r="CX88">
        <v>0.89603999999999995</v>
      </c>
      <c r="CY88">
        <v>0.94</v>
      </c>
      <c r="CZ88">
        <v>4.3959999999999999E-2</v>
      </c>
      <c r="DA88">
        <v>15.389535</v>
      </c>
      <c r="DB88">
        <v>17.608319000000002</v>
      </c>
      <c r="DC88">
        <v>16.064022999999999</v>
      </c>
      <c r="DD88">
        <v>11.115401</v>
      </c>
      <c r="DE88" t="s">
        <v>125</v>
      </c>
      <c r="DJ88" t="s">
        <v>125</v>
      </c>
      <c r="DK88" t="s">
        <v>125</v>
      </c>
      <c r="DL88" t="s">
        <v>125</v>
      </c>
      <c r="DM88" t="s">
        <v>125</v>
      </c>
      <c r="DN88" t="s">
        <v>125</v>
      </c>
      <c r="DO88" t="s">
        <v>125</v>
      </c>
      <c r="DQ88" t="s">
        <v>126</v>
      </c>
    </row>
    <row r="89" spans="1:121" x14ac:dyDescent="0.15">
      <c r="A89">
        <v>2018</v>
      </c>
      <c r="B89" t="s">
        <v>211</v>
      </c>
      <c r="C89" t="str">
        <f>"1540011"</f>
        <v>1540011</v>
      </c>
      <c r="D89" t="s">
        <v>123</v>
      </c>
      <c r="E89" t="str">
        <f t="shared" si="0"/>
        <v>0000000</v>
      </c>
      <c r="F89" t="s">
        <v>123</v>
      </c>
      <c r="G89" t="s">
        <v>123</v>
      </c>
      <c r="H89" t="s">
        <v>123</v>
      </c>
      <c r="J89" t="s">
        <v>124</v>
      </c>
      <c r="K89">
        <v>1215.8035030000001</v>
      </c>
      <c r="L89">
        <v>1450</v>
      </c>
      <c r="M89">
        <v>83.848517000000001</v>
      </c>
      <c r="N89" t="s">
        <v>125</v>
      </c>
      <c r="O89">
        <v>1</v>
      </c>
      <c r="P89">
        <v>77.540486999999999</v>
      </c>
      <c r="Q89">
        <v>50</v>
      </c>
      <c r="R89">
        <v>50</v>
      </c>
      <c r="S89">
        <v>68.312894</v>
      </c>
      <c r="T89">
        <v>75</v>
      </c>
      <c r="U89">
        <v>45.541929000000003</v>
      </c>
      <c r="V89">
        <v>50</v>
      </c>
      <c r="W89">
        <v>74.082449999999994</v>
      </c>
      <c r="X89">
        <v>49.388300000000001</v>
      </c>
      <c r="Y89">
        <v>50</v>
      </c>
      <c r="Z89">
        <v>75</v>
      </c>
      <c r="AA89">
        <v>65.198871999999994</v>
      </c>
      <c r="AB89">
        <v>43.465915000000003</v>
      </c>
      <c r="AC89">
        <v>50</v>
      </c>
      <c r="AD89">
        <v>69.189199000000002</v>
      </c>
      <c r="AE89">
        <v>46.126133000000003</v>
      </c>
      <c r="AF89">
        <v>50</v>
      </c>
      <c r="AG89">
        <v>58.831752000000002</v>
      </c>
      <c r="AH89">
        <v>75</v>
      </c>
      <c r="AI89">
        <v>39.221167999999999</v>
      </c>
      <c r="AJ89">
        <v>50</v>
      </c>
      <c r="AK89">
        <v>6.68</v>
      </c>
      <c r="AL89">
        <v>9.8000000000000007</v>
      </c>
      <c r="AM89">
        <v>16.16</v>
      </c>
      <c r="AN89">
        <v>0.71239300000000005</v>
      </c>
      <c r="AO89">
        <v>71.239349000000004</v>
      </c>
      <c r="AP89">
        <v>100</v>
      </c>
      <c r="AQ89">
        <v>0.78312400000000004</v>
      </c>
      <c r="AR89">
        <v>78.312402000000006</v>
      </c>
      <c r="AS89">
        <v>100</v>
      </c>
      <c r="AT89">
        <v>0.66903000000000001</v>
      </c>
      <c r="AU89">
        <v>0.74181900000000001</v>
      </c>
      <c r="AV89">
        <v>66.902978000000004</v>
      </c>
      <c r="AW89">
        <v>100</v>
      </c>
      <c r="AX89">
        <v>0.70448999999999995</v>
      </c>
      <c r="AY89">
        <v>0.83648199999999995</v>
      </c>
      <c r="AZ89">
        <v>70.449048000000005</v>
      </c>
      <c r="BA89">
        <v>100</v>
      </c>
      <c r="BB89">
        <v>0.64254100000000003</v>
      </c>
      <c r="BC89">
        <v>32.127060999999998</v>
      </c>
      <c r="BD89">
        <v>50</v>
      </c>
      <c r="BE89">
        <v>0.65323299999999995</v>
      </c>
      <c r="BF89">
        <v>32.661647000000002</v>
      </c>
      <c r="BG89">
        <v>50</v>
      </c>
      <c r="BH89">
        <v>0</v>
      </c>
      <c r="BI89">
        <v>0.98830399999999996</v>
      </c>
      <c r="BJ89">
        <v>0.97402599999999995</v>
      </c>
      <c r="BK89">
        <v>1</v>
      </c>
      <c r="BL89">
        <v>0.98830399999999996</v>
      </c>
      <c r="BM89">
        <v>0.97402599999999995</v>
      </c>
      <c r="BN89">
        <v>1</v>
      </c>
      <c r="BO89">
        <v>0.981595</v>
      </c>
      <c r="BP89">
        <v>0.95890399999999998</v>
      </c>
      <c r="BQ89">
        <v>1</v>
      </c>
      <c r="BR89">
        <v>4.1221000000000001E-2</v>
      </c>
      <c r="BS89">
        <v>50</v>
      </c>
      <c r="BT89">
        <v>50</v>
      </c>
      <c r="BU89">
        <v>7.2847999999999996E-2</v>
      </c>
      <c r="BV89">
        <v>45.430464000000001</v>
      </c>
      <c r="BW89">
        <v>50</v>
      </c>
      <c r="BX89">
        <v>0.61344500000000002</v>
      </c>
      <c r="BY89">
        <v>40.896358999999997</v>
      </c>
      <c r="BZ89">
        <v>50</v>
      </c>
      <c r="CA89">
        <v>0.51260499999999998</v>
      </c>
      <c r="CB89">
        <v>34.173668999999997</v>
      </c>
      <c r="CC89">
        <v>50</v>
      </c>
      <c r="CD89">
        <v>0.73333300000000001</v>
      </c>
      <c r="CE89">
        <v>39.007092</v>
      </c>
      <c r="CF89">
        <v>50</v>
      </c>
      <c r="CG89">
        <v>0.92222199999999999</v>
      </c>
      <c r="CH89">
        <v>98.108746999999994</v>
      </c>
      <c r="CI89">
        <v>100</v>
      </c>
      <c r="CJ89">
        <v>0</v>
      </c>
      <c r="CK89">
        <v>0.95238100000000003</v>
      </c>
      <c r="CL89">
        <v>100</v>
      </c>
      <c r="CM89">
        <v>100</v>
      </c>
      <c r="CN89">
        <v>0.79100000000000004</v>
      </c>
      <c r="CO89">
        <v>100</v>
      </c>
      <c r="CP89">
        <v>100</v>
      </c>
      <c r="CQ89">
        <v>0.63243199999999999</v>
      </c>
      <c r="CR89">
        <v>0.90243899999999999</v>
      </c>
      <c r="CS89">
        <v>42.162162000000002</v>
      </c>
      <c r="CT89">
        <v>50</v>
      </c>
      <c r="CU89">
        <v>0.48706899999999997</v>
      </c>
      <c r="CV89">
        <v>40.589080000000003</v>
      </c>
      <c r="CW89">
        <v>50</v>
      </c>
      <c r="CX89">
        <v>0.95238100000000003</v>
      </c>
      <c r="CY89">
        <v>0.94</v>
      </c>
      <c r="CZ89">
        <v>-1.2381E-2</v>
      </c>
      <c r="DA89">
        <v>15.389535</v>
      </c>
      <c r="DB89">
        <v>17.608319000000002</v>
      </c>
      <c r="DC89">
        <v>16.064022999999999</v>
      </c>
      <c r="DD89">
        <v>11.115401</v>
      </c>
      <c r="DE89" t="s">
        <v>125</v>
      </c>
      <c r="DJ89" t="s">
        <v>125</v>
      </c>
      <c r="DK89" t="s">
        <v>125</v>
      </c>
      <c r="DL89" t="s">
        <v>125</v>
      </c>
      <c r="DM89" t="s">
        <v>125</v>
      </c>
      <c r="DN89" t="s">
        <v>125</v>
      </c>
      <c r="DO89" t="s">
        <v>125</v>
      </c>
      <c r="DQ89" t="s">
        <v>126</v>
      </c>
    </row>
    <row r="90" spans="1:121" x14ac:dyDescent="0.15">
      <c r="A90">
        <v>2018</v>
      </c>
      <c r="B90" t="s">
        <v>212</v>
      </c>
      <c r="C90" t="str">
        <f>"1550011"</f>
        <v>1550011</v>
      </c>
      <c r="D90" t="s">
        <v>123</v>
      </c>
      <c r="E90" t="str">
        <f t="shared" si="0"/>
        <v>0000000</v>
      </c>
      <c r="F90" t="s">
        <v>123</v>
      </c>
      <c r="G90" t="s">
        <v>123</v>
      </c>
      <c r="H90" t="s">
        <v>123</v>
      </c>
      <c r="J90" t="s">
        <v>124</v>
      </c>
      <c r="K90">
        <v>1182.4692640000001</v>
      </c>
      <c r="L90">
        <v>1450</v>
      </c>
      <c r="M90">
        <v>81.549604000000002</v>
      </c>
      <c r="N90" t="s">
        <v>125</v>
      </c>
      <c r="O90">
        <v>0</v>
      </c>
      <c r="P90">
        <v>75.440306000000007</v>
      </c>
      <c r="Q90">
        <v>50</v>
      </c>
      <c r="R90">
        <v>50</v>
      </c>
      <c r="S90">
        <v>62.652417999999997</v>
      </c>
      <c r="T90">
        <v>75</v>
      </c>
      <c r="U90">
        <v>41.768278000000002</v>
      </c>
      <c r="V90">
        <v>50</v>
      </c>
      <c r="W90">
        <v>70.581087999999994</v>
      </c>
      <c r="X90">
        <v>47.054057999999998</v>
      </c>
      <c r="Y90">
        <v>50</v>
      </c>
      <c r="Z90">
        <v>75</v>
      </c>
      <c r="AA90">
        <v>57.510247</v>
      </c>
      <c r="AB90">
        <v>38.340164999999999</v>
      </c>
      <c r="AC90">
        <v>50</v>
      </c>
      <c r="AD90">
        <v>73.440802000000005</v>
      </c>
      <c r="AE90">
        <v>48.960535</v>
      </c>
      <c r="AF90">
        <v>50</v>
      </c>
      <c r="AG90">
        <v>61.325662000000001</v>
      </c>
      <c r="AH90">
        <v>75</v>
      </c>
      <c r="AI90">
        <v>40.883774000000003</v>
      </c>
      <c r="AJ90">
        <v>50</v>
      </c>
      <c r="AK90">
        <v>12.34</v>
      </c>
      <c r="AL90">
        <v>17.48</v>
      </c>
      <c r="AM90">
        <v>13.67</v>
      </c>
      <c r="AN90">
        <v>0.65798599999999996</v>
      </c>
      <c r="AO90">
        <v>65.798635000000004</v>
      </c>
      <c r="AP90">
        <v>100</v>
      </c>
      <c r="AQ90">
        <v>0.67424700000000004</v>
      </c>
      <c r="AR90">
        <v>67.424723999999998</v>
      </c>
      <c r="AS90">
        <v>100</v>
      </c>
      <c r="AT90">
        <v>0.59941999999999995</v>
      </c>
      <c r="AU90">
        <v>0.68702600000000003</v>
      </c>
      <c r="AV90">
        <v>59.941989</v>
      </c>
      <c r="AW90">
        <v>100</v>
      </c>
      <c r="AX90">
        <v>0.60103099999999998</v>
      </c>
      <c r="AY90">
        <v>0.71040499999999995</v>
      </c>
      <c r="AZ90">
        <v>60.103132000000002</v>
      </c>
      <c r="BA90">
        <v>100</v>
      </c>
      <c r="BB90">
        <v>0.70682199999999995</v>
      </c>
      <c r="BC90">
        <v>35.341115000000002</v>
      </c>
      <c r="BD90">
        <v>50</v>
      </c>
      <c r="BE90">
        <v>0.63094300000000003</v>
      </c>
      <c r="BF90">
        <v>31.547129999999999</v>
      </c>
      <c r="BG90">
        <v>50</v>
      </c>
      <c r="BH90">
        <v>0</v>
      </c>
      <c r="BI90">
        <v>0.98994300000000002</v>
      </c>
      <c r="BJ90">
        <v>0.98329900000000003</v>
      </c>
      <c r="BK90">
        <v>0.99397800000000003</v>
      </c>
      <c r="BL90">
        <v>0.98796399999999995</v>
      </c>
      <c r="BM90">
        <v>0.97962400000000005</v>
      </c>
      <c r="BN90">
        <v>0.99302500000000005</v>
      </c>
      <c r="BO90">
        <v>0.98293699999999995</v>
      </c>
      <c r="BP90">
        <v>0.96666700000000005</v>
      </c>
      <c r="BQ90">
        <v>0.99223700000000004</v>
      </c>
      <c r="BR90">
        <v>6.7412E-2</v>
      </c>
      <c r="BS90">
        <v>46.517572000000001</v>
      </c>
      <c r="BT90">
        <v>50</v>
      </c>
      <c r="BU90">
        <v>0.13550699999999999</v>
      </c>
      <c r="BV90">
        <v>32.898594000000003</v>
      </c>
      <c r="BW90">
        <v>50</v>
      </c>
      <c r="BX90">
        <v>0.87597899999999995</v>
      </c>
      <c r="BY90">
        <v>50</v>
      </c>
      <c r="BZ90">
        <v>50</v>
      </c>
      <c r="CA90">
        <v>0.65535200000000005</v>
      </c>
      <c r="CB90">
        <v>43.690165</v>
      </c>
      <c r="CC90">
        <v>50</v>
      </c>
      <c r="CD90">
        <v>0.94408300000000001</v>
      </c>
      <c r="CE90">
        <v>50</v>
      </c>
      <c r="CF90">
        <v>50</v>
      </c>
      <c r="CG90">
        <v>0.932091</v>
      </c>
      <c r="CH90">
        <v>99.158569</v>
      </c>
      <c r="CI90">
        <v>100</v>
      </c>
      <c r="CJ90">
        <v>0</v>
      </c>
      <c r="CK90">
        <v>0.956044</v>
      </c>
      <c r="CL90">
        <v>100</v>
      </c>
      <c r="CM90">
        <v>100</v>
      </c>
      <c r="CN90">
        <v>0.83399999999999996</v>
      </c>
      <c r="CO90">
        <v>100</v>
      </c>
      <c r="CP90">
        <v>100</v>
      </c>
      <c r="CQ90">
        <v>0.54421299999999995</v>
      </c>
      <c r="CR90">
        <v>0.94851700000000005</v>
      </c>
      <c r="CS90">
        <v>36.280853</v>
      </c>
      <c r="CT90">
        <v>50</v>
      </c>
      <c r="CU90">
        <v>0.44112000000000001</v>
      </c>
      <c r="CV90">
        <v>36.759974</v>
      </c>
      <c r="CW90">
        <v>50</v>
      </c>
      <c r="CX90">
        <v>0.956044</v>
      </c>
      <c r="CY90">
        <v>0.94</v>
      </c>
      <c r="CZ90">
        <v>-1.6043999999999999E-2</v>
      </c>
      <c r="DA90">
        <v>15.389535</v>
      </c>
      <c r="DB90">
        <v>17.608319000000002</v>
      </c>
      <c r="DC90">
        <v>16.064022999999999</v>
      </c>
      <c r="DD90">
        <v>11.115401</v>
      </c>
      <c r="DE90" t="s">
        <v>125</v>
      </c>
      <c r="DJ90" t="s">
        <v>125</v>
      </c>
      <c r="DK90" t="s">
        <v>125</v>
      </c>
      <c r="DL90" t="s">
        <v>125</v>
      </c>
      <c r="DM90" t="s">
        <v>125</v>
      </c>
      <c r="DN90" t="s">
        <v>125</v>
      </c>
      <c r="DO90" t="s">
        <v>125</v>
      </c>
      <c r="DQ90" t="s">
        <v>126</v>
      </c>
    </row>
    <row r="91" spans="1:121" x14ac:dyDescent="0.15">
      <c r="A91">
        <v>2018</v>
      </c>
      <c r="B91" t="s">
        <v>213</v>
      </c>
      <c r="C91" t="str">
        <f>"1670011"</f>
        <v>1670011</v>
      </c>
      <c r="D91" t="s">
        <v>123</v>
      </c>
      <c r="E91" t="str">
        <f t="shared" si="0"/>
        <v>0000000</v>
      </c>
      <c r="F91" t="s">
        <v>123</v>
      </c>
      <c r="G91" t="s">
        <v>123</v>
      </c>
      <c r="H91" t="s">
        <v>123</v>
      </c>
      <c r="J91" t="s">
        <v>124</v>
      </c>
      <c r="K91">
        <v>719.68137999999999</v>
      </c>
      <c r="L91">
        <v>850</v>
      </c>
      <c r="M91">
        <v>84.668397999999996</v>
      </c>
      <c r="N91" t="s">
        <v>125</v>
      </c>
      <c r="O91">
        <v>0</v>
      </c>
      <c r="P91">
        <v>83.373338000000004</v>
      </c>
      <c r="Q91">
        <v>50</v>
      </c>
      <c r="R91">
        <v>50</v>
      </c>
      <c r="S91">
        <v>66.468361000000002</v>
      </c>
      <c r="T91">
        <v>75</v>
      </c>
      <c r="U91">
        <v>44.312240000000003</v>
      </c>
      <c r="V91">
        <v>50</v>
      </c>
      <c r="W91">
        <v>78.705364000000003</v>
      </c>
      <c r="X91">
        <v>50</v>
      </c>
      <c r="Y91">
        <v>50</v>
      </c>
      <c r="Z91">
        <v>75</v>
      </c>
      <c r="AA91">
        <v>60.970992000000003</v>
      </c>
      <c r="AB91">
        <v>40.647328000000002</v>
      </c>
      <c r="AC91">
        <v>50</v>
      </c>
      <c r="AD91">
        <v>84.648139</v>
      </c>
      <c r="AE91">
        <v>50</v>
      </c>
      <c r="AF91">
        <v>50</v>
      </c>
      <c r="AG91">
        <v>63.650722999999999</v>
      </c>
      <c r="AH91">
        <v>75</v>
      </c>
      <c r="AI91">
        <v>42.433815000000003</v>
      </c>
      <c r="AJ91">
        <v>50</v>
      </c>
      <c r="AK91">
        <v>8.5299999999999994</v>
      </c>
      <c r="AL91">
        <v>14.02</v>
      </c>
      <c r="AM91">
        <v>11.34</v>
      </c>
      <c r="AN91">
        <v>0.78565600000000002</v>
      </c>
      <c r="AO91">
        <v>78.565645000000004</v>
      </c>
      <c r="AP91">
        <v>100</v>
      </c>
      <c r="AQ91">
        <v>0.85742700000000005</v>
      </c>
      <c r="AR91">
        <v>85.742689999999996</v>
      </c>
      <c r="AS91">
        <v>100</v>
      </c>
      <c r="AT91">
        <v>0.64675899999999997</v>
      </c>
      <c r="AU91">
        <v>0.82315400000000005</v>
      </c>
      <c r="AV91">
        <v>64.675873999999993</v>
      </c>
      <c r="AW91">
        <v>100</v>
      </c>
      <c r="AX91">
        <v>0.72712299999999996</v>
      </c>
      <c r="AY91">
        <v>0.89314700000000002</v>
      </c>
      <c r="AZ91">
        <v>72.712266999999997</v>
      </c>
      <c r="BA91">
        <v>100</v>
      </c>
      <c r="BB91" t="s">
        <v>125</v>
      </c>
      <c r="BC91" t="s">
        <v>125</v>
      </c>
      <c r="BD91" t="s">
        <v>125</v>
      </c>
      <c r="BE91" t="s">
        <v>125</v>
      </c>
      <c r="BF91" t="s">
        <v>125</v>
      </c>
      <c r="BG91" t="s">
        <v>125</v>
      </c>
      <c r="BH91">
        <v>1</v>
      </c>
      <c r="BI91">
        <v>0.95344099999999998</v>
      </c>
      <c r="BJ91">
        <v>0.90517199999999998</v>
      </c>
      <c r="BK91">
        <v>0.96825399999999995</v>
      </c>
      <c r="BL91">
        <v>0.94534399999999996</v>
      </c>
      <c r="BM91">
        <v>0.90517199999999998</v>
      </c>
      <c r="BN91">
        <v>0.95767199999999997</v>
      </c>
      <c r="BO91">
        <v>0.97080299999999997</v>
      </c>
      <c r="BP91">
        <v>0.90909099999999998</v>
      </c>
      <c r="BQ91">
        <v>0.99038499999999996</v>
      </c>
      <c r="BR91">
        <v>5.9610999999999997E-2</v>
      </c>
      <c r="BS91">
        <v>48.077858999999997</v>
      </c>
      <c r="BT91">
        <v>50</v>
      </c>
      <c r="BU91">
        <v>8.7431999999999996E-2</v>
      </c>
      <c r="BV91">
        <v>42.513660999999999</v>
      </c>
      <c r="BW91">
        <v>50</v>
      </c>
      <c r="BX91" t="s">
        <v>125</v>
      </c>
      <c r="BY91" t="s">
        <v>125</v>
      </c>
      <c r="BZ91" t="s">
        <v>125</v>
      </c>
      <c r="CA91" t="s">
        <v>125</v>
      </c>
      <c r="CB91" t="s">
        <v>125</v>
      </c>
      <c r="CC91" t="s">
        <v>125</v>
      </c>
      <c r="CD91" t="s">
        <v>125</v>
      </c>
      <c r="CE91" t="s">
        <v>125</v>
      </c>
      <c r="CF91" t="s">
        <v>125</v>
      </c>
      <c r="CG91" t="s">
        <v>125</v>
      </c>
      <c r="CH91" t="s">
        <v>125</v>
      </c>
      <c r="CI91" t="s">
        <v>125</v>
      </c>
      <c r="CJ91" t="s">
        <v>125</v>
      </c>
      <c r="CK91" t="s">
        <v>125</v>
      </c>
      <c r="CL91" t="s">
        <v>125</v>
      </c>
      <c r="CM91" t="s">
        <v>125</v>
      </c>
      <c r="CN91" t="s">
        <v>125</v>
      </c>
      <c r="CO91" t="s">
        <v>125</v>
      </c>
      <c r="CP91" t="s">
        <v>125</v>
      </c>
      <c r="CQ91">
        <v>0.84482800000000002</v>
      </c>
      <c r="CR91">
        <v>1</v>
      </c>
      <c r="CS91">
        <v>50</v>
      </c>
      <c r="CT91">
        <v>50</v>
      </c>
      <c r="CU91" t="s">
        <v>125</v>
      </c>
      <c r="CV91" t="s">
        <v>125</v>
      </c>
      <c r="CW91" t="s">
        <v>125</v>
      </c>
      <c r="CX91" t="s">
        <v>125</v>
      </c>
      <c r="CY91" t="s">
        <v>125</v>
      </c>
      <c r="CZ91" t="s">
        <v>125</v>
      </c>
      <c r="DA91">
        <v>15.389535</v>
      </c>
      <c r="DB91">
        <v>17.608319000000002</v>
      </c>
      <c r="DC91">
        <v>16.064022999999999</v>
      </c>
      <c r="DD91" t="s">
        <v>125</v>
      </c>
      <c r="DE91" t="s">
        <v>125</v>
      </c>
      <c r="DJ91" t="s">
        <v>125</v>
      </c>
      <c r="DK91" t="s">
        <v>125</v>
      </c>
      <c r="DL91" t="s">
        <v>125</v>
      </c>
      <c r="DM91" t="s">
        <v>125</v>
      </c>
      <c r="DN91" t="s">
        <v>125</v>
      </c>
      <c r="DO91" t="s">
        <v>125</v>
      </c>
      <c r="DQ91" t="s">
        <v>126</v>
      </c>
    </row>
    <row r="92" spans="1:121" x14ac:dyDescent="0.15">
      <c r="A92">
        <v>2018</v>
      </c>
      <c r="B92" t="s">
        <v>214</v>
      </c>
      <c r="C92" t="str">
        <f>"1690011"</f>
        <v>1690011</v>
      </c>
      <c r="D92" t="s">
        <v>123</v>
      </c>
      <c r="E92" t="str">
        <f t="shared" si="0"/>
        <v>0000000</v>
      </c>
      <c r="F92" t="s">
        <v>123</v>
      </c>
      <c r="G92" t="s">
        <v>123</v>
      </c>
      <c r="H92" t="s">
        <v>123</v>
      </c>
      <c r="J92" t="s">
        <v>124</v>
      </c>
      <c r="K92">
        <v>637.96707200000003</v>
      </c>
      <c r="L92">
        <v>900</v>
      </c>
      <c r="M92">
        <v>70.885230000000007</v>
      </c>
      <c r="N92" t="s">
        <v>125</v>
      </c>
      <c r="O92">
        <v>0</v>
      </c>
      <c r="P92">
        <v>72.137052999999995</v>
      </c>
      <c r="Q92">
        <v>48.091369</v>
      </c>
      <c r="R92">
        <v>50</v>
      </c>
      <c r="S92">
        <v>61.411197000000001</v>
      </c>
      <c r="T92">
        <v>75</v>
      </c>
      <c r="U92">
        <v>40.940798000000001</v>
      </c>
      <c r="V92">
        <v>50</v>
      </c>
      <c r="W92">
        <v>64.621222000000003</v>
      </c>
      <c r="X92">
        <v>43.080815000000001</v>
      </c>
      <c r="Y92">
        <v>50</v>
      </c>
      <c r="Z92">
        <v>68.838080000000005</v>
      </c>
      <c r="AA92">
        <v>53.299249000000003</v>
      </c>
      <c r="AB92">
        <v>35.532832999999997</v>
      </c>
      <c r="AC92">
        <v>50</v>
      </c>
      <c r="AD92">
        <v>69.192367000000004</v>
      </c>
      <c r="AE92">
        <v>46.128245</v>
      </c>
      <c r="AF92">
        <v>50</v>
      </c>
      <c r="AG92">
        <v>60.139716999999997</v>
      </c>
      <c r="AH92">
        <v>72.287789000000004</v>
      </c>
      <c r="AI92">
        <v>40.093145</v>
      </c>
      <c r="AJ92">
        <v>50</v>
      </c>
      <c r="AK92">
        <v>13.58</v>
      </c>
      <c r="AL92">
        <v>15.53</v>
      </c>
      <c r="AM92">
        <v>12.14</v>
      </c>
      <c r="AN92">
        <v>0.55166700000000002</v>
      </c>
      <c r="AO92">
        <v>55.166704000000003</v>
      </c>
      <c r="AP92">
        <v>100</v>
      </c>
      <c r="AQ92">
        <v>0.58230400000000004</v>
      </c>
      <c r="AR92">
        <v>58.230431000000003</v>
      </c>
      <c r="AS92">
        <v>100</v>
      </c>
      <c r="AT92">
        <v>0.47968100000000002</v>
      </c>
      <c r="AU92">
        <v>0.57796499999999995</v>
      </c>
      <c r="AV92">
        <v>47.968091999999999</v>
      </c>
      <c r="AW92">
        <v>100</v>
      </c>
      <c r="AX92">
        <v>0.46798499999999998</v>
      </c>
      <c r="AY92">
        <v>0.62419800000000003</v>
      </c>
      <c r="AZ92">
        <v>46.798521999999998</v>
      </c>
      <c r="BA92">
        <v>100</v>
      </c>
      <c r="BB92" t="s">
        <v>125</v>
      </c>
      <c r="BC92" t="s">
        <v>125</v>
      </c>
      <c r="BD92" t="s">
        <v>125</v>
      </c>
      <c r="BE92" t="s">
        <v>125</v>
      </c>
      <c r="BF92" t="s">
        <v>125</v>
      </c>
      <c r="BG92" t="s">
        <v>125</v>
      </c>
      <c r="BH92">
        <v>1</v>
      </c>
      <c r="BI92">
        <v>0.95818800000000004</v>
      </c>
      <c r="BJ92">
        <v>0.95512799999999998</v>
      </c>
      <c r="BK92">
        <v>0.95933000000000002</v>
      </c>
      <c r="BL92">
        <v>0.95818800000000004</v>
      </c>
      <c r="BM92">
        <v>0.95512799999999998</v>
      </c>
      <c r="BN92">
        <v>0.95933000000000002</v>
      </c>
      <c r="BO92">
        <v>0.937778</v>
      </c>
      <c r="BP92">
        <v>0.9</v>
      </c>
      <c r="BQ92">
        <v>0.951515</v>
      </c>
      <c r="BR92">
        <v>4.7853E-2</v>
      </c>
      <c r="BS92">
        <v>50</v>
      </c>
      <c r="BT92">
        <v>50</v>
      </c>
      <c r="BU92">
        <v>0.105505</v>
      </c>
      <c r="BV92">
        <v>38.899082999999997</v>
      </c>
      <c r="BW92">
        <v>50</v>
      </c>
      <c r="BX92" t="s">
        <v>125</v>
      </c>
      <c r="BY92" t="s">
        <v>125</v>
      </c>
      <c r="BZ92" t="s">
        <v>125</v>
      </c>
      <c r="CA92" t="s">
        <v>125</v>
      </c>
      <c r="CB92" t="s">
        <v>125</v>
      </c>
      <c r="CC92" t="s">
        <v>125</v>
      </c>
      <c r="CD92">
        <v>1</v>
      </c>
      <c r="CE92">
        <v>50</v>
      </c>
      <c r="CF92">
        <v>50</v>
      </c>
      <c r="CG92" t="s">
        <v>125</v>
      </c>
      <c r="CH92" t="s">
        <v>125</v>
      </c>
      <c r="CI92" t="s">
        <v>125</v>
      </c>
      <c r="CJ92" t="s">
        <v>125</v>
      </c>
      <c r="CK92" t="s">
        <v>125</v>
      </c>
      <c r="CL92" t="s">
        <v>125</v>
      </c>
      <c r="CM92" t="s">
        <v>125</v>
      </c>
      <c r="CN92" t="s">
        <v>125</v>
      </c>
      <c r="CO92" t="s">
        <v>125</v>
      </c>
      <c r="CP92" t="s">
        <v>125</v>
      </c>
      <c r="CQ92">
        <v>0.55555600000000005</v>
      </c>
      <c r="CR92">
        <v>0.96116500000000005</v>
      </c>
      <c r="CS92">
        <v>37.037036999999998</v>
      </c>
      <c r="CT92">
        <v>50</v>
      </c>
      <c r="CU92" t="s">
        <v>125</v>
      </c>
      <c r="CV92" t="s">
        <v>125</v>
      </c>
      <c r="CW92" t="s">
        <v>125</v>
      </c>
      <c r="CX92" t="s">
        <v>125</v>
      </c>
      <c r="CY92" t="s">
        <v>125</v>
      </c>
      <c r="CZ92" t="s">
        <v>125</v>
      </c>
      <c r="DA92">
        <v>15.389535</v>
      </c>
      <c r="DB92">
        <v>17.608319000000002</v>
      </c>
      <c r="DC92">
        <v>16.064022999999999</v>
      </c>
      <c r="DD92" t="s">
        <v>125</v>
      </c>
      <c r="DE92" t="s">
        <v>125</v>
      </c>
      <c r="DJ92" t="s">
        <v>125</v>
      </c>
      <c r="DK92" t="s">
        <v>125</v>
      </c>
      <c r="DL92" t="s">
        <v>125</v>
      </c>
      <c r="DM92" t="s">
        <v>125</v>
      </c>
      <c r="DN92" t="s">
        <v>125</v>
      </c>
      <c r="DO92" t="s">
        <v>125</v>
      </c>
      <c r="DQ92" t="s">
        <v>126</v>
      </c>
    </row>
    <row r="93" spans="1:121" x14ac:dyDescent="0.15">
      <c r="A93">
        <v>2018</v>
      </c>
      <c r="B93" t="s">
        <v>215</v>
      </c>
      <c r="C93" t="str">
        <f>"1400011"</f>
        <v>1400011</v>
      </c>
      <c r="D93" t="s">
        <v>123</v>
      </c>
      <c r="E93" t="str">
        <f t="shared" si="0"/>
        <v>0000000</v>
      </c>
      <c r="F93" t="s">
        <v>123</v>
      </c>
      <c r="G93" t="s">
        <v>123</v>
      </c>
      <c r="H93" t="s">
        <v>123</v>
      </c>
      <c r="J93" t="s">
        <v>124</v>
      </c>
      <c r="K93">
        <v>1054.1472269999999</v>
      </c>
      <c r="L93">
        <v>1350</v>
      </c>
      <c r="M93">
        <v>78.084980000000002</v>
      </c>
      <c r="N93" t="s">
        <v>125</v>
      </c>
      <c r="O93">
        <v>1</v>
      </c>
      <c r="P93">
        <v>68.104806999999994</v>
      </c>
      <c r="Q93">
        <v>45.403204000000002</v>
      </c>
      <c r="R93">
        <v>50</v>
      </c>
      <c r="S93">
        <v>56.599764</v>
      </c>
      <c r="T93">
        <v>75</v>
      </c>
      <c r="U93">
        <v>37.733176</v>
      </c>
      <c r="V93">
        <v>50</v>
      </c>
      <c r="W93">
        <v>60.902461000000002</v>
      </c>
      <c r="X93">
        <v>40.601641000000001</v>
      </c>
      <c r="Y93">
        <v>50</v>
      </c>
      <c r="Z93">
        <v>66.430223999999995</v>
      </c>
      <c r="AA93">
        <v>51.983432999999998</v>
      </c>
      <c r="AB93">
        <v>34.655622000000001</v>
      </c>
      <c r="AC93">
        <v>50</v>
      </c>
      <c r="AD93">
        <v>65.484567999999996</v>
      </c>
      <c r="AE93">
        <v>43.656379000000001</v>
      </c>
      <c r="AF93">
        <v>50</v>
      </c>
      <c r="AG93">
        <v>53.311036000000001</v>
      </c>
      <c r="AH93">
        <v>73.036666999999994</v>
      </c>
      <c r="AI93">
        <v>35.540689999999998</v>
      </c>
      <c r="AJ93">
        <v>50</v>
      </c>
      <c r="AK93">
        <v>18.399999999999999</v>
      </c>
      <c r="AL93">
        <v>14.44</v>
      </c>
      <c r="AM93">
        <v>19.72</v>
      </c>
      <c r="AN93">
        <v>0.60605600000000004</v>
      </c>
      <c r="AO93">
        <v>60.605569000000003</v>
      </c>
      <c r="AP93">
        <v>100</v>
      </c>
      <c r="AQ93">
        <v>0.656555</v>
      </c>
      <c r="AR93">
        <v>65.655482000000006</v>
      </c>
      <c r="AS93">
        <v>100</v>
      </c>
      <c r="AT93">
        <v>0.55020800000000003</v>
      </c>
      <c r="AU93">
        <v>0.64103399999999999</v>
      </c>
      <c r="AV93">
        <v>55.020784999999997</v>
      </c>
      <c r="AW93">
        <v>100</v>
      </c>
      <c r="AX93">
        <v>0.68900700000000004</v>
      </c>
      <c r="AY93">
        <v>0.63629400000000003</v>
      </c>
      <c r="AZ93">
        <v>68.900655999999998</v>
      </c>
      <c r="BA93">
        <v>100</v>
      </c>
      <c r="BB93" t="s">
        <v>125</v>
      </c>
      <c r="BC93" t="s">
        <v>125</v>
      </c>
      <c r="BD93" t="s">
        <v>125</v>
      </c>
      <c r="BE93" t="s">
        <v>125</v>
      </c>
      <c r="BF93" t="s">
        <v>125</v>
      </c>
      <c r="BG93" t="s">
        <v>125</v>
      </c>
      <c r="BH93">
        <v>0</v>
      </c>
      <c r="BI93">
        <v>0.982379</v>
      </c>
      <c r="BJ93">
        <v>0.97790100000000002</v>
      </c>
      <c r="BK93">
        <v>0.985348</v>
      </c>
      <c r="BL93">
        <v>0.982379</v>
      </c>
      <c r="BM93">
        <v>0.98342499999999999</v>
      </c>
      <c r="BN93">
        <v>0.98168500000000003</v>
      </c>
      <c r="BO93">
        <v>0.96825399999999995</v>
      </c>
      <c r="BP93">
        <v>0.973333</v>
      </c>
      <c r="BQ93">
        <v>0.96491199999999999</v>
      </c>
      <c r="BR93">
        <v>5.1995E-2</v>
      </c>
      <c r="BS93">
        <v>49.600966999999997</v>
      </c>
      <c r="BT93">
        <v>50</v>
      </c>
      <c r="BU93">
        <v>0.100575</v>
      </c>
      <c r="BV93">
        <v>39.885057000000003</v>
      </c>
      <c r="BW93">
        <v>50</v>
      </c>
      <c r="BX93">
        <v>0.78151300000000001</v>
      </c>
      <c r="BY93">
        <v>50</v>
      </c>
      <c r="BZ93">
        <v>50</v>
      </c>
      <c r="CA93">
        <v>0.445378</v>
      </c>
      <c r="CB93">
        <v>29.691877000000002</v>
      </c>
      <c r="CC93">
        <v>50</v>
      </c>
      <c r="CD93">
        <v>0.99236599999999997</v>
      </c>
      <c r="CE93">
        <v>50</v>
      </c>
      <c r="CF93">
        <v>50</v>
      </c>
      <c r="CG93">
        <v>0.96551699999999996</v>
      </c>
      <c r="CH93">
        <v>100</v>
      </c>
      <c r="CI93">
        <v>100</v>
      </c>
      <c r="CJ93">
        <v>0</v>
      </c>
      <c r="CK93">
        <v>0.95833299999999999</v>
      </c>
      <c r="CL93">
        <v>100</v>
      </c>
      <c r="CM93">
        <v>100</v>
      </c>
      <c r="CN93">
        <v>0.69</v>
      </c>
      <c r="CO93">
        <v>91.954023000000007</v>
      </c>
      <c r="CP93">
        <v>100</v>
      </c>
      <c r="CQ93">
        <v>0.50420200000000004</v>
      </c>
      <c r="CR93">
        <v>0.838028</v>
      </c>
      <c r="CS93">
        <v>16.806723000000002</v>
      </c>
      <c r="CT93">
        <v>50</v>
      </c>
      <c r="CU93">
        <v>0.46122400000000002</v>
      </c>
      <c r="CV93">
        <v>38.435374000000003</v>
      </c>
      <c r="CW93">
        <v>50</v>
      </c>
      <c r="CX93">
        <v>0.95833299999999999</v>
      </c>
      <c r="CY93">
        <v>0.94</v>
      </c>
      <c r="CZ93">
        <v>-1.8332999999999999E-2</v>
      </c>
      <c r="DA93">
        <v>15.389535</v>
      </c>
      <c r="DB93">
        <v>17.608319000000002</v>
      </c>
      <c r="DC93">
        <v>16.064022999999999</v>
      </c>
      <c r="DD93">
        <v>11.115401</v>
      </c>
      <c r="DE93" t="s">
        <v>125</v>
      </c>
      <c r="DJ93" t="s">
        <v>125</v>
      </c>
      <c r="DK93" t="s">
        <v>125</v>
      </c>
      <c r="DL93" t="s">
        <v>125</v>
      </c>
      <c r="DM93" t="s">
        <v>125</v>
      </c>
      <c r="DN93" t="s">
        <v>125</v>
      </c>
      <c r="DO93" t="s">
        <v>125</v>
      </c>
      <c r="DQ93" t="s">
        <v>126</v>
      </c>
    </row>
    <row r="94" spans="1:121" x14ac:dyDescent="0.15">
      <c r="A94">
        <v>2018</v>
      </c>
      <c r="B94" t="s">
        <v>216</v>
      </c>
      <c r="C94" t="str">
        <f>"1410011"</f>
        <v>1410011</v>
      </c>
      <c r="D94" t="s">
        <v>123</v>
      </c>
      <c r="E94" t="str">
        <f t="shared" si="0"/>
        <v>0000000</v>
      </c>
      <c r="F94" t="s">
        <v>123</v>
      </c>
      <c r="G94" t="s">
        <v>123</v>
      </c>
      <c r="H94" t="s">
        <v>123</v>
      </c>
      <c r="J94" t="s">
        <v>124</v>
      </c>
      <c r="K94">
        <v>899.35762399999999</v>
      </c>
      <c r="L94">
        <v>1350</v>
      </c>
      <c r="M94">
        <v>66.619083000000003</v>
      </c>
      <c r="N94" t="s">
        <v>125</v>
      </c>
      <c r="O94">
        <v>0</v>
      </c>
      <c r="P94">
        <v>60.829870999999997</v>
      </c>
      <c r="Q94">
        <v>40.553248000000004</v>
      </c>
      <c r="R94">
        <v>50</v>
      </c>
      <c r="S94">
        <v>54.379432999999999</v>
      </c>
      <c r="T94">
        <v>66.578044000000006</v>
      </c>
      <c r="U94">
        <v>36.252955999999998</v>
      </c>
      <c r="V94">
        <v>50</v>
      </c>
      <c r="W94">
        <v>56.905135999999999</v>
      </c>
      <c r="X94">
        <v>37.936757</v>
      </c>
      <c r="Y94">
        <v>50</v>
      </c>
      <c r="Z94">
        <v>61.727936999999997</v>
      </c>
      <c r="AA94">
        <v>51.443697999999998</v>
      </c>
      <c r="AB94">
        <v>34.295799000000002</v>
      </c>
      <c r="AC94">
        <v>50</v>
      </c>
      <c r="AD94">
        <v>58.258811000000001</v>
      </c>
      <c r="AE94">
        <v>38.839207000000002</v>
      </c>
      <c r="AF94">
        <v>50</v>
      </c>
      <c r="AG94">
        <v>51.916806000000001</v>
      </c>
      <c r="AH94">
        <v>63.015315000000001</v>
      </c>
      <c r="AI94">
        <v>34.611204000000001</v>
      </c>
      <c r="AJ94">
        <v>50</v>
      </c>
      <c r="AK94">
        <v>12.19</v>
      </c>
      <c r="AL94">
        <v>10.28</v>
      </c>
      <c r="AM94">
        <v>11.09</v>
      </c>
      <c r="AN94">
        <v>0.45466299999999998</v>
      </c>
      <c r="AO94">
        <v>45.466334000000003</v>
      </c>
      <c r="AP94">
        <v>100</v>
      </c>
      <c r="AQ94">
        <v>0.43943700000000002</v>
      </c>
      <c r="AR94">
        <v>43.943747999999999</v>
      </c>
      <c r="AS94">
        <v>100</v>
      </c>
      <c r="AT94">
        <v>0.43535699999999999</v>
      </c>
      <c r="AU94">
        <v>0.47137499999999999</v>
      </c>
      <c r="AV94">
        <v>43.535704000000003</v>
      </c>
      <c r="AW94">
        <v>100</v>
      </c>
      <c r="AX94">
        <v>0.42040100000000002</v>
      </c>
      <c r="AY94">
        <v>0.45560800000000001</v>
      </c>
      <c r="AZ94">
        <v>42.040123000000001</v>
      </c>
      <c r="BA94">
        <v>100</v>
      </c>
      <c r="BB94" t="s">
        <v>125</v>
      </c>
      <c r="BC94" t="s">
        <v>125</v>
      </c>
      <c r="BD94" t="s">
        <v>125</v>
      </c>
      <c r="BE94" t="s">
        <v>125</v>
      </c>
      <c r="BF94" t="s">
        <v>125</v>
      </c>
      <c r="BG94" t="s">
        <v>125</v>
      </c>
      <c r="BH94">
        <v>1</v>
      </c>
      <c r="BI94">
        <v>0.95173700000000006</v>
      </c>
      <c r="BJ94">
        <v>0.94071099999999996</v>
      </c>
      <c r="BK94">
        <v>0.96226400000000001</v>
      </c>
      <c r="BL94">
        <v>0.94787600000000005</v>
      </c>
      <c r="BM94">
        <v>0.93280600000000002</v>
      </c>
      <c r="BN94">
        <v>0.96226400000000001</v>
      </c>
      <c r="BO94">
        <v>0.90186900000000003</v>
      </c>
      <c r="BP94">
        <v>0.85858599999999996</v>
      </c>
      <c r="BQ94">
        <v>0.93913000000000002</v>
      </c>
      <c r="BR94">
        <v>9.2651999999999998E-2</v>
      </c>
      <c r="BS94">
        <v>41.469648999999997</v>
      </c>
      <c r="BT94">
        <v>50</v>
      </c>
      <c r="BU94">
        <v>0.15221999999999999</v>
      </c>
      <c r="BV94">
        <v>29.556025000000002</v>
      </c>
      <c r="BW94">
        <v>50</v>
      </c>
      <c r="BX94">
        <v>0.64220200000000005</v>
      </c>
      <c r="BY94">
        <v>42.813456000000002</v>
      </c>
      <c r="BZ94">
        <v>50</v>
      </c>
      <c r="CA94">
        <v>0.32110100000000003</v>
      </c>
      <c r="CB94">
        <v>21.406728000000001</v>
      </c>
      <c r="CC94">
        <v>50</v>
      </c>
      <c r="CD94">
        <v>0.69753100000000001</v>
      </c>
      <c r="CE94">
        <v>37.102705999999998</v>
      </c>
      <c r="CF94">
        <v>50</v>
      </c>
      <c r="CG94">
        <v>0.82352899999999996</v>
      </c>
      <c r="CH94">
        <v>87.609511999999995</v>
      </c>
      <c r="CI94">
        <v>100</v>
      </c>
      <c r="CJ94">
        <v>0</v>
      </c>
      <c r="CK94">
        <v>0.94117600000000001</v>
      </c>
      <c r="CL94">
        <v>100</v>
      </c>
      <c r="CM94">
        <v>100</v>
      </c>
      <c r="CN94">
        <v>0.6</v>
      </c>
      <c r="CO94">
        <v>80</v>
      </c>
      <c r="CP94">
        <v>100</v>
      </c>
      <c r="CQ94">
        <v>0.25459300000000001</v>
      </c>
      <c r="CR94">
        <v>1.2615890000000001</v>
      </c>
      <c r="CS94">
        <v>16.972878000000001</v>
      </c>
      <c r="CT94">
        <v>50</v>
      </c>
      <c r="CU94">
        <v>0.53941899999999998</v>
      </c>
      <c r="CV94">
        <v>44.951591000000001</v>
      </c>
      <c r="CW94">
        <v>50</v>
      </c>
      <c r="CX94">
        <v>0.94117600000000001</v>
      </c>
      <c r="CY94">
        <v>0.94</v>
      </c>
      <c r="CZ94">
        <v>-1.176E-3</v>
      </c>
      <c r="DA94">
        <v>15.389535</v>
      </c>
      <c r="DB94">
        <v>17.608319000000002</v>
      </c>
      <c r="DC94">
        <v>16.064022999999999</v>
      </c>
      <c r="DD94">
        <v>11.115401</v>
      </c>
      <c r="DE94" t="s">
        <v>125</v>
      </c>
      <c r="DJ94" t="s">
        <v>125</v>
      </c>
      <c r="DK94" t="s">
        <v>125</v>
      </c>
      <c r="DL94" t="s">
        <v>125</v>
      </c>
      <c r="DM94" t="s">
        <v>125</v>
      </c>
      <c r="DN94" t="s">
        <v>125</v>
      </c>
      <c r="DO94" t="s">
        <v>125</v>
      </c>
      <c r="DQ94" t="s">
        <v>126</v>
      </c>
    </row>
    <row r="95" spans="1:121" x14ac:dyDescent="0.15">
      <c r="A95">
        <v>2018</v>
      </c>
      <c r="B95" t="s">
        <v>217</v>
      </c>
      <c r="C95" t="str">
        <f>"1420011"</f>
        <v>1420011</v>
      </c>
      <c r="D95" t="s">
        <v>123</v>
      </c>
      <c r="E95" t="str">
        <f t="shared" si="0"/>
        <v>0000000</v>
      </c>
      <c r="F95" t="s">
        <v>123</v>
      </c>
      <c r="G95" t="s">
        <v>123</v>
      </c>
      <c r="H95" t="s">
        <v>123</v>
      </c>
      <c r="J95" t="s">
        <v>124</v>
      </c>
      <c r="K95">
        <v>1079.9997069999999</v>
      </c>
      <c r="L95">
        <v>1350</v>
      </c>
      <c r="M95">
        <v>79.999977999999999</v>
      </c>
      <c r="N95" t="s">
        <v>125</v>
      </c>
      <c r="O95">
        <v>1</v>
      </c>
      <c r="P95">
        <v>71.927001000000004</v>
      </c>
      <c r="Q95">
        <v>47.951334000000003</v>
      </c>
      <c r="R95">
        <v>50</v>
      </c>
      <c r="S95">
        <v>59.966672000000003</v>
      </c>
      <c r="T95">
        <v>75</v>
      </c>
      <c r="U95">
        <v>39.977781999999998</v>
      </c>
      <c r="V95">
        <v>50</v>
      </c>
      <c r="W95">
        <v>69.837894000000006</v>
      </c>
      <c r="X95">
        <v>46.558596000000001</v>
      </c>
      <c r="Y95">
        <v>50</v>
      </c>
      <c r="Z95">
        <v>74.257324999999994</v>
      </c>
      <c r="AA95">
        <v>56.373361000000003</v>
      </c>
      <c r="AB95">
        <v>37.582241000000003</v>
      </c>
      <c r="AC95">
        <v>50</v>
      </c>
      <c r="AD95">
        <v>72.351592999999994</v>
      </c>
      <c r="AE95">
        <v>48.234394999999999</v>
      </c>
      <c r="AF95">
        <v>50</v>
      </c>
      <c r="AG95">
        <v>59.836176999999999</v>
      </c>
      <c r="AH95">
        <v>75</v>
      </c>
      <c r="AI95">
        <v>39.890785000000001</v>
      </c>
      <c r="AJ95">
        <v>50</v>
      </c>
      <c r="AK95">
        <v>15.03</v>
      </c>
      <c r="AL95">
        <v>17.88</v>
      </c>
      <c r="AM95">
        <v>15.16</v>
      </c>
      <c r="AN95">
        <v>0.53515000000000001</v>
      </c>
      <c r="AO95">
        <v>53.515002000000003</v>
      </c>
      <c r="AP95">
        <v>100</v>
      </c>
      <c r="AQ95">
        <v>0.67094799999999999</v>
      </c>
      <c r="AR95">
        <v>67.094825</v>
      </c>
      <c r="AS95">
        <v>100</v>
      </c>
      <c r="AT95">
        <v>0.474414</v>
      </c>
      <c r="AU95">
        <v>0.55561700000000003</v>
      </c>
      <c r="AV95">
        <v>47.441448999999999</v>
      </c>
      <c r="AW95">
        <v>100</v>
      </c>
      <c r="AX95">
        <v>0.55225999999999997</v>
      </c>
      <c r="AY95">
        <v>0.710947</v>
      </c>
      <c r="AZ95">
        <v>55.225996000000002</v>
      </c>
      <c r="BA95">
        <v>100</v>
      </c>
      <c r="BB95" t="s">
        <v>125</v>
      </c>
      <c r="BC95" t="s">
        <v>125</v>
      </c>
      <c r="BD95" t="s">
        <v>125</v>
      </c>
      <c r="BE95" t="s">
        <v>125</v>
      </c>
      <c r="BF95" t="s">
        <v>125</v>
      </c>
      <c r="BG95" t="s">
        <v>125</v>
      </c>
      <c r="BH95">
        <v>1</v>
      </c>
      <c r="BI95">
        <v>0.95179800000000003</v>
      </c>
      <c r="BJ95">
        <v>0.940828</v>
      </c>
      <c r="BK95">
        <v>0.95562400000000003</v>
      </c>
      <c r="BL95">
        <v>0.94797200000000004</v>
      </c>
      <c r="BM95">
        <v>0.93491100000000005</v>
      </c>
      <c r="BN95">
        <v>0.95252800000000004</v>
      </c>
      <c r="BO95">
        <v>0.91095899999999996</v>
      </c>
      <c r="BP95">
        <v>0.90243899999999999</v>
      </c>
      <c r="BQ95">
        <v>0.91323200000000004</v>
      </c>
      <c r="BR95">
        <v>4.1206E-2</v>
      </c>
      <c r="BS95">
        <v>50</v>
      </c>
      <c r="BT95">
        <v>50</v>
      </c>
      <c r="BU95">
        <v>9.6014000000000002E-2</v>
      </c>
      <c r="BV95">
        <v>40.797100999999998</v>
      </c>
      <c r="BW95">
        <v>50</v>
      </c>
      <c r="BX95">
        <v>0.76076600000000005</v>
      </c>
      <c r="BY95">
        <v>50</v>
      </c>
      <c r="BZ95">
        <v>50</v>
      </c>
      <c r="CA95">
        <v>0.677033</v>
      </c>
      <c r="CB95">
        <v>45.135565999999997</v>
      </c>
      <c r="CC95">
        <v>50</v>
      </c>
      <c r="CD95">
        <v>0.99220799999999998</v>
      </c>
      <c r="CE95">
        <v>50</v>
      </c>
      <c r="CF95">
        <v>50</v>
      </c>
      <c r="CG95">
        <v>0.94117600000000001</v>
      </c>
      <c r="CH95">
        <v>100</v>
      </c>
      <c r="CI95">
        <v>100</v>
      </c>
      <c r="CJ95">
        <v>0</v>
      </c>
      <c r="CK95">
        <v>0.88235300000000005</v>
      </c>
      <c r="CL95">
        <v>93.867334</v>
      </c>
      <c r="CM95">
        <v>100</v>
      </c>
      <c r="CN95">
        <v>0.83699999999999997</v>
      </c>
      <c r="CO95">
        <v>100</v>
      </c>
      <c r="CP95">
        <v>100</v>
      </c>
      <c r="CQ95">
        <v>0.41888300000000001</v>
      </c>
      <c r="CR95">
        <v>0.94117600000000001</v>
      </c>
      <c r="CS95">
        <v>27.925532</v>
      </c>
      <c r="CT95">
        <v>50</v>
      </c>
      <c r="CU95">
        <v>0.46562100000000001</v>
      </c>
      <c r="CV95">
        <v>38.801769</v>
      </c>
      <c r="CW95">
        <v>50</v>
      </c>
      <c r="CX95">
        <v>0.88235300000000005</v>
      </c>
      <c r="CY95">
        <v>0.94</v>
      </c>
      <c r="CZ95">
        <v>5.7646999999999997E-2</v>
      </c>
      <c r="DA95">
        <v>15.389535</v>
      </c>
      <c r="DB95">
        <v>17.608319000000002</v>
      </c>
      <c r="DC95">
        <v>16.064022999999999</v>
      </c>
      <c r="DD95">
        <v>11.115401</v>
      </c>
      <c r="DE95" t="s">
        <v>125</v>
      </c>
      <c r="DJ95" t="s">
        <v>125</v>
      </c>
      <c r="DK95" t="s">
        <v>125</v>
      </c>
      <c r="DL95" t="s">
        <v>125</v>
      </c>
      <c r="DM95" t="s">
        <v>125</v>
      </c>
      <c r="DN95" t="s">
        <v>125</v>
      </c>
      <c r="DO95" t="s">
        <v>125</v>
      </c>
      <c r="DQ95" t="s">
        <v>126</v>
      </c>
    </row>
    <row r="96" spans="1:121" x14ac:dyDescent="0.15">
      <c r="A96">
        <v>2018</v>
      </c>
      <c r="B96" t="s">
        <v>218</v>
      </c>
      <c r="C96" t="str">
        <f>"0440011"</f>
        <v>0440011</v>
      </c>
      <c r="D96" t="s">
        <v>123</v>
      </c>
      <c r="E96" t="str">
        <f t="shared" si="0"/>
        <v>0000000</v>
      </c>
      <c r="F96" t="s">
        <v>123</v>
      </c>
      <c r="G96" t="s">
        <v>123</v>
      </c>
      <c r="H96" t="s">
        <v>123</v>
      </c>
      <c r="J96" t="s">
        <v>124</v>
      </c>
      <c r="K96">
        <v>1010.605338</v>
      </c>
      <c r="L96">
        <v>1450</v>
      </c>
      <c r="M96">
        <v>69.696920000000006</v>
      </c>
      <c r="N96" t="s">
        <v>125</v>
      </c>
      <c r="O96">
        <v>0</v>
      </c>
      <c r="P96">
        <v>62.228977</v>
      </c>
      <c r="Q96">
        <v>41.485984000000002</v>
      </c>
      <c r="R96">
        <v>50</v>
      </c>
      <c r="S96">
        <v>58.613612000000003</v>
      </c>
      <c r="T96">
        <v>69.491074999999995</v>
      </c>
      <c r="U96">
        <v>39.075741999999998</v>
      </c>
      <c r="V96">
        <v>50</v>
      </c>
      <c r="W96">
        <v>55.848588999999997</v>
      </c>
      <c r="X96">
        <v>37.232393000000002</v>
      </c>
      <c r="Y96">
        <v>50</v>
      </c>
      <c r="Z96">
        <v>63.749040999999998</v>
      </c>
      <c r="AA96">
        <v>51.898364000000001</v>
      </c>
      <c r="AB96">
        <v>34.598908999999999</v>
      </c>
      <c r="AC96">
        <v>50</v>
      </c>
      <c r="AD96">
        <v>56.517136999999998</v>
      </c>
      <c r="AE96">
        <v>37.678091000000002</v>
      </c>
      <c r="AF96">
        <v>50</v>
      </c>
      <c r="AG96">
        <v>52.832717000000002</v>
      </c>
      <c r="AH96">
        <v>63.517536</v>
      </c>
      <c r="AI96">
        <v>35.221811000000002</v>
      </c>
      <c r="AJ96">
        <v>50</v>
      </c>
      <c r="AK96">
        <v>10.87</v>
      </c>
      <c r="AL96">
        <v>11.85</v>
      </c>
      <c r="AM96">
        <v>10.68</v>
      </c>
      <c r="AN96">
        <v>0.58204400000000001</v>
      </c>
      <c r="AO96">
        <v>58.204436000000001</v>
      </c>
      <c r="AP96">
        <v>100</v>
      </c>
      <c r="AQ96">
        <v>0.54572799999999999</v>
      </c>
      <c r="AR96">
        <v>54.572802000000003</v>
      </c>
      <c r="AS96">
        <v>100</v>
      </c>
      <c r="AT96">
        <v>0.56553299999999995</v>
      </c>
      <c r="AU96">
        <v>0.61252700000000004</v>
      </c>
      <c r="AV96">
        <v>56.553316000000002</v>
      </c>
      <c r="AW96">
        <v>100</v>
      </c>
      <c r="AX96">
        <v>0.51085499999999995</v>
      </c>
      <c r="AY96">
        <v>0.60959200000000002</v>
      </c>
      <c r="AZ96">
        <v>51.085545000000003</v>
      </c>
      <c r="BA96">
        <v>100</v>
      </c>
      <c r="BB96">
        <v>0.54525000000000001</v>
      </c>
      <c r="BC96">
        <v>27.262523000000002</v>
      </c>
      <c r="BD96">
        <v>50</v>
      </c>
      <c r="BE96">
        <v>0.46709099999999998</v>
      </c>
      <c r="BF96">
        <v>23.354548999999999</v>
      </c>
      <c r="BG96">
        <v>50</v>
      </c>
      <c r="BH96">
        <v>0</v>
      </c>
      <c r="BI96">
        <v>0.986514</v>
      </c>
      <c r="BJ96">
        <v>0.98411099999999996</v>
      </c>
      <c r="BK96">
        <v>0.99159699999999995</v>
      </c>
      <c r="BL96">
        <v>0.984491</v>
      </c>
      <c r="BM96">
        <v>0.98013899999999998</v>
      </c>
      <c r="BN96">
        <v>0.99369700000000005</v>
      </c>
      <c r="BO96">
        <v>0.96504599999999996</v>
      </c>
      <c r="BP96">
        <v>0.95890399999999998</v>
      </c>
      <c r="BQ96">
        <v>0.97727299999999995</v>
      </c>
      <c r="BR96">
        <v>0.14158000000000001</v>
      </c>
      <c r="BS96">
        <v>31.684054</v>
      </c>
      <c r="BT96">
        <v>50</v>
      </c>
      <c r="BU96">
        <v>0.183362</v>
      </c>
      <c r="BV96">
        <v>23.327673999999998</v>
      </c>
      <c r="BW96">
        <v>50</v>
      </c>
      <c r="BX96">
        <v>0.79372200000000004</v>
      </c>
      <c r="BY96">
        <v>50</v>
      </c>
      <c r="BZ96">
        <v>50</v>
      </c>
      <c r="CA96">
        <v>0.19730900000000001</v>
      </c>
      <c r="CB96">
        <v>13.153961000000001</v>
      </c>
      <c r="CC96">
        <v>50</v>
      </c>
      <c r="CD96">
        <v>0.86261299999999996</v>
      </c>
      <c r="CE96">
        <v>45.883650000000003</v>
      </c>
      <c r="CF96">
        <v>50</v>
      </c>
      <c r="CG96">
        <v>0.84274199999999999</v>
      </c>
      <c r="CH96">
        <v>89.653396999999998</v>
      </c>
      <c r="CI96">
        <v>100</v>
      </c>
      <c r="CJ96">
        <v>1</v>
      </c>
      <c r="CK96">
        <v>0.74482800000000005</v>
      </c>
      <c r="CL96">
        <v>79.236976999999996</v>
      </c>
      <c r="CM96">
        <v>100</v>
      </c>
      <c r="CN96">
        <v>0.64800000000000002</v>
      </c>
      <c r="CO96">
        <v>86.453576999999996</v>
      </c>
      <c r="CP96">
        <v>100</v>
      </c>
      <c r="CQ96">
        <v>0.81688499999999997</v>
      </c>
      <c r="CR96">
        <v>0.98133000000000004</v>
      </c>
      <c r="CS96">
        <v>50</v>
      </c>
      <c r="CT96">
        <v>50</v>
      </c>
      <c r="CU96">
        <v>0.53863099999999997</v>
      </c>
      <c r="CV96">
        <v>44.885945999999997</v>
      </c>
      <c r="CW96">
        <v>50</v>
      </c>
      <c r="CX96">
        <v>0.74482800000000005</v>
      </c>
      <c r="CY96">
        <v>0.9</v>
      </c>
      <c r="CZ96">
        <v>0.155172</v>
      </c>
      <c r="DA96">
        <v>15.389535</v>
      </c>
      <c r="DB96">
        <v>17.608319000000002</v>
      </c>
      <c r="DC96">
        <v>16.064022999999999</v>
      </c>
      <c r="DD96">
        <v>11.115401</v>
      </c>
      <c r="DE96" t="s">
        <v>125</v>
      </c>
      <c r="DJ96" t="s">
        <v>125</v>
      </c>
      <c r="DK96" t="s">
        <v>125</v>
      </c>
      <c r="DL96" t="s">
        <v>125</v>
      </c>
      <c r="DM96" t="s">
        <v>125</v>
      </c>
      <c r="DN96" t="s">
        <v>125</v>
      </c>
      <c r="DO96" t="s">
        <v>125</v>
      </c>
      <c r="DQ96" t="s">
        <v>126</v>
      </c>
    </row>
    <row r="97" spans="1:121" x14ac:dyDescent="0.15">
      <c r="A97">
        <v>2018</v>
      </c>
      <c r="B97" t="s">
        <v>219</v>
      </c>
      <c r="C97" t="str">
        <f>"0260011"</f>
        <v>0260011</v>
      </c>
      <c r="D97" t="s">
        <v>123</v>
      </c>
      <c r="E97" t="str">
        <f t="shared" si="0"/>
        <v>0000000</v>
      </c>
      <c r="F97" t="s">
        <v>123</v>
      </c>
      <c r="G97" t="s">
        <v>123</v>
      </c>
      <c r="H97" t="s">
        <v>123</v>
      </c>
      <c r="J97" t="s">
        <v>124</v>
      </c>
      <c r="K97">
        <v>696.01475600000003</v>
      </c>
      <c r="L97">
        <v>800</v>
      </c>
      <c r="M97">
        <v>87.001844000000006</v>
      </c>
      <c r="N97" t="s">
        <v>125</v>
      </c>
      <c r="O97">
        <v>0</v>
      </c>
      <c r="P97">
        <v>82.664631</v>
      </c>
      <c r="Q97">
        <v>50</v>
      </c>
      <c r="R97">
        <v>50</v>
      </c>
      <c r="S97">
        <v>74.818884999999995</v>
      </c>
      <c r="T97">
        <v>75</v>
      </c>
      <c r="U97">
        <v>49.879257000000003</v>
      </c>
      <c r="V97">
        <v>50</v>
      </c>
      <c r="W97">
        <v>78.795942999999994</v>
      </c>
      <c r="X97">
        <v>50</v>
      </c>
      <c r="Y97">
        <v>50</v>
      </c>
      <c r="Z97">
        <v>75</v>
      </c>
      <c r="AA97">
        <v>67.313090000000003</v>
      </c>
      <c r="AB97">
        <v>44.875393000000003</v>
      </c>
      <c r="AC97">
        <v>50</v>
      </c>
      <c r="AD97">
        <v>75.225806000000006</v>
      </c>
      <c r="AE97">
        <v>50</v>
      </c>
      <c r="AF97">
        <v>50</v>
      </c>
      <c r="AG97" t="s">
        <v>125</v>
      </c>
      <c r="AH97" t="s">
        <v>125</v>
      </c>
      <c r="AI97" t="s">
        <v>125</v>
      </c>
      <c r="AJ97" t="s">
        <v>125</v>
      </c>
      <c r="AK97">
        <v>0.18</v>
      </c>
      <c r="AL97">
        <v>7.68</v>
      </c>
      <c r="AM97" t="s">
        <v>125</v>
      </c>
      <c r="AN97">
        <v>0.78450200000000003</v>
      </c>
      <c r="AO97">
        <v>78.450205999999994</v>
      </c>
      <c r="AP97">
        <v>100</v>
      </c>
      <c r="AQ97">
        <v>0.83210200000000001</v>
      </c>
      <c r="AR97">
        <v>83.210223999999997</v>
      </c>
      <c r="AS97">
        <v>100</v>
      </c>
      <c r="AT97">
        <v>0.73007</v>
      </c>
      <c r="AU97">
        <v>0.81758799999999998</v>
      </c>
      <c r="AV97">
        <v>73.006983000000005</v>
      </c>
      <c r="AW97">
        <v>100</v>
      </c>
      <c r="AX97">
        <v>0.77307000000000003</v>
      </c>
      <c r="AY97">
        <v>0.86798500000000001</v>
      </c>
      <c r="AZ97">
        <v>77.306977000000003</v>
      </c>
      <c r="BA97">
        <v>100</v>
      </c>
      <c r="BB97" t="s">
        <v>125</v>
      </c>
      <c r="BC97" t="s">
        <v>125</v>
      </c>
      <c r="BD97" t="s">
        <v>125</v>
      </c>
      <c r="BE97" t="s">
        <v>125</v>
      </c>
      <c r="BF97" t="s">
        <v>125</v>
      </c>
      <c r="BG97" t="s">
        <v>125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0.96</v>
      </c>
      <c r="BP97" t="s">
        <v>125</v>
      </c>
      <c r="BQ97" t="s">
        <v>125</v>
      </c>
      <c r="BR97">
        <v>1.5706999999999999E-2</v>
      </c>
      <c r="BS97">
        <v>50</v>
      </c>
      <c r="BT97">
        <v>50</v>
      </c>
      <c r="BU97">
        <v>1.4925000000000001E-2</v>
      </c>
      <c r="BV97">
        <v>50</v>
      </c>
      <c r="BW97">
        <v>50</v>
      </c>
      <c r="BX97" t="s">
        <v>125</v>
      </c>
      <c r="BY97" t="s">
        <v>125</v>
      </c>
      <c r="BZ97" t="s">
        <v>125</v>
      </c>
      <c r="CA97" t="s">
        <v>125</v>
      </c>
      <c r="CB97" t="s">
        <v>125</v>
      </c>
      <c r="CC97" t="s">
        <v>125</v>
      </c>
      <c r="CD97" t="s">
        <v>125</v>
      </c>
      <c r="CE97" t="s">
        <v>125</v>
      </c>
      <c r="CF97" t="s">
        <v>125</v>
      </c>
      <c r="CG97" t="s">
        <v>125</v>
      </c>
      <c r="CH97" t="s">
        <v>125</v>
      </c>
      <c r="CI97" t="s">
        <v>125</v>
      </c>
      <c r="CJ97" t="s">
        <v>125</v>
      </c>
      <c r="CK97" t="s">
        <v>125</v>
      </c>
      <c r="CL97" t="s">
        <v>125</v>
      </c>
      <c r="CM97" t="s">
        <v>125</v>
      </c>
      <c r="CN97" t="s">
        <v>125</v>
      </c>
      <c r="CO97" t="s">
        <v>125</v>
      </c>
      <c r="CP97" t="s">
        <v>125</v>
      </c>
      <c r="CQ97">
        <v>0.58928599999999998</v>
      </c>
      <c r="CR97">
        <v>0.982456</v>
      </c>
      <c r="CS97">
        <v>39.285713999999999</v>
      </c>
      <c r="CT97">
        <v>50</v>
      </c>
      <c r="CU97" t="s">
        <v>125</v>
      </c>
      <c r="CV97" t="s">
        <v>125</v>
      </c>
      <c r="CW97" t="s">
        <v>125</v>
      </c>
      <c r="CX97" t="s">
        <v>125</v>
      </c>
      <c r="CY97" t="s">
        <v>125</v>
      </c>
      <c r="CZ97" t="s">
        <v>125</v>
      </c>
      <c r="DA97">
        <v>15.389535</v>
      </c>
      <c r="DB97">
        <v>17.608319000000002</v>
      </c>
      <c r="DC97">
        <v>16.064022999999999</v>
      </c>
      <c r="DD97" t="s">
        <v>125</v>
      </c>
      <c r="DE97" t="s">
        <v>125</v>
      </c>
      <c r="DJ97" t="s">
        <v>125</v>
      </c>
      <c r="DK97" t="s">
        <v>125</v>
      </c>
      <c r="DL97" t="s">
        <v>125</v>
      </c>
      <c r="DM97" t="s">
        <v>125</v>
      </c>
      <c r="DN97" t="s">
        <v>125</v>
      </c>
      <c r="DO97" t="s">
        <v>125</v>
      </c>
      <c r="DQ97" t="s">
        <v>126</v>
      </c>
    </row>
    <row r="98" spans="1:121" x14ac:dyDescent="0.15">
      <c r="A98">
        <v>2018</v>
      </c>
      <c r="B98" t="s">
        <v>220</v>
      </c>
      <c r="C98" t="str">
        <f>"0270011"</f>
        <v>0270011</v>
      </c>
      <c r="D98" t="s">
        <v>123</v>
      </c>
      <c r="E98" t="str">
        <f t="shared" si="0"/>
        <v>0000000</v>
      </c>
      <c r="F98" t="s">
        <v>123</v>
      </c>
      <c r="G98" t="s">
        <v>123</v>
      </c>
      <c r="H98" t="s">
        <v>123</v>
      </c>
      <c r="J98" t="s">
        <v>124</v>
      </c>
      <c r="K98">
        <v>1138.6214910000001</v>
      </c>
      <c r="L98">
        <v>1450</v>
      </c>
      <c r="M98">
        <v>78.525620000000004</v>
      </c>
      <c r="N98" t="s">
        <v>125</v>
      </c>
      <c r="O98">
        <v>0</v>
      </c>
      <c r="P98">
        <v>69.860615999999993</v>
      </c>
      <c r="Q98">
        <v>46.573743999999998</v>
      </c>
      <c r="R98">
        <v>50</v>
      </c>
      <c r="S98">
        <v>62.004309999999997</v>
      </c>
      <c r="T98">
        <v>75</v>
      </c>
      <c r="U98">
        <v>41.336207000000002</v>
      </c>
      <c r="V98">
        <v>50</v>
      </c>
      <c r="W98">
        <v>65.524234000000007</v>
      </c>
      <c r="X98">
        <v>43.682822000000002</v>
      </c>
      <c r="Y98">
        <v>50</v>
      </c>
      <c r="Z98">
        <v>71.313067000000004</v>
      </c>
      <c r="AA98">
        <v>57.464975000000003</v>
      </c>
      <c r="AB98">
        <v>38.309983000000003</v>
      </c>
      <c r="AC98">
        <v>50</v>
      </c>
      <c r="AD98">
        <v>65.518022999999999</v>
      </c>
      <c r="AE98">
        <v>43.678682000000002</v>
      </c>
      <c r="AF98">
        <v>50</v>
      </c>
      <c r="AG98">
        <v>59.530656999999998</v>
      </c>
      <c r="AH98">
        <v>69.356078999999994</v>
      </c>
      <c r="AI98">
        <v>39.687105000000003</v>
      </c>
      <c r="AJ98">
        <v>50</v>
      </c>
      <c r="AK98">
        <v>12.99</v>
      </c>
      <c r="AL98">
        <v>13.84</v>
      </c>
      <c r="AM98">
        <v>9.82</v>
      </c>
      <c r="AN98">
        <v>0.61716199999999999</v>
      </c>
      <c r="AO98">
        <v>61.716239999999999</v>
      </c>
      <c r="AP98">
        <v>100</v>
      </c>
      <c r="AQ98">
        <v>0.74074399999999996</v>
      </c>
      <c r="AR98">
        <v>74.074428999999995</v>
      </c>
      <c r="AS98">
        <v>100</v>
      </c>
      <c r="AT98">
        <v>0.60087699999999999</v>
      </c>
      <c r="AU98">
        <v>0.62889799999999996</v>
      </c>
      <c r="AV98">
        <v>60.087702</v>
      </c>
      <c r="AW98">
        <v>100</v>
      </c>
      <c r="AX98">
        <v>0.72882100000000005</v>
      </c>
      <c r="AY98">
        <v>0.74933700000000003</v>
      </c>
      <c r="AZ98">
        <v>72.882057000000003</v>
      </c>
      <c r="BA98">
        <v>100</v>
      </c>
      <c r="BB98">
        <v>0.62860300000000002</v>
      </c>
      <c r="BC98">
        <v>31.430133999999999</v>
      </c>
      <c r="BD98">
        <v>50</v>
      </c>
      <c r="BE98">
        <v>0.68929099999999999</v>
      </c>
      <c r="BF98">
        <v>34.464561000000003</v>
      </c>
      <c r="BG98">
        <v>50</v>
      </c>
      <c r="BH98">
        <v>0</v>
      </c>
      <c r="BI98">
        <v>0.98033099999999995</v>
      </c>
      <c r="BJ98">
        <v>0.97607699999999997</v>
      </c>
      <c r="BK98">
        <v>0.98357700000000003</v>
      </c>
      <c r="BL98">
        <v>0.98033099999999995</v>
      </c>
      <c r="BM98">
        <v>0.97607699999999997</v>
      </c>
      <c r="BN98">
        <v>0.98357700000000003</v>
      </c>
      <c r="BO98">
        <v>0.97674399999999995</v>
      </c>
      <c r="BP98">
        <v>0.97916700000000001</v>
      </c>
      <c r="BQ98">
        <v>0.97508899999999998</v>
      </c>
      <c r="BR98">
        <v>7.6693999999999998E-2</v>
      </c>
      <c r="BS98">
        <v>44.661118000000002</v>
      </c>
      <c r="BT98">
        <v>50</v>
      </c>
      <c r="BU98">
        <v>0.10814600000000001</v>
      </c>
      <c r="BV98">
        <v>38.370787</v>
      </c>
      <c r="BW98">
        <v>50</v>
      </c>
      <c r="BX98">
        <v>0.87171100000000001</v>
      </c>
      <c r="BY98">
        <v>50</v>
      </c>
      <c r="BZ98">
        <v>50</v>
      </c>
      <c r="CA98">
        <v>0.49013200000000001</v>
      </c>
      <c r="CB98">
        <v>32.675438999999997</v>
      </c>
      <c r="CC98">
        <v>50</v>
      </c>
      <c r="CD98">
        <v>0.94160600000000005</v>
      </c>
      <c r="CE98">
        <v>50</v>
      </c>
      <c r="CF98">
        <v>50</v>
      </c>
      <c r="CG98">
        <v>0.90909099999999998</v>
      </c>
      <c r="CH98">
        <v>96.711798999999999</v>
      </c>
      <c r="CI98">
        <v>100</v>
      </c>
      <c r="CJ98">
        <v>1</v>
      </c>
      <c r="CK98">
        <v>0.72916700000000001</v>
      </c>
      <c r="CL98">
        <v>77.570921999999996</v>
      </c>
      <c r="CM98">
        <v>100</v>
      </c>
      <c r="CN98">
        <v>0.73799999999999999</v>
      </c>
      <c r="CO98">
        <v>98.412698000000006</v>
      </c>
      <c r="CP98">
        <v>100</v>
      </c>
      <c r="CQ98">
        <v>0.43399599999999999</v>
      </c>
      <c r="CR98">
        <v>1.00363</v>
      </c>
      <c r="CS98">
        <v>28.933091999999998</v>
      </c>
      <c r="CT98">
        <v>50</v>
      </c>
      <c r="CU98">
        <v>0.40034399999999998</v>
      </c>
      <c r="CV98">
        <v>33.361969999999999</v>
      </c>
      <c r="CW98">
        <v>50</v>
      </c>
      <c r="CX98">
        <v>0.72916700000000001</v>
      </c>
      <c r="CY98">
        <v>0.94</v>
      </c>
      <c r="CZ98">
        <v>0.21083299999999999</v>
      </c>
      <c r="DA98">
        <v>15.389535</v>
      </c>
      <c r="DB98">
        <v>17.608319000000002</v>
      </c>
      <c r="DC98">
        <v>16.064022999999999</v>
      </c>
      <c r="DD98">
        <v>11.115401</v>
      </c>
      <c r="DE98" t="s">
        <v>125</v>
      </c>
      <c r="DJ98" t="s">
        <v>125</v>
      </c>
      <c r="DK98" t="s">
        <v>125</v>
      </c>
      <c r="DL98" t="s">
        <v>125</v>
      </c>
      <c r="DM98" t="s">
        <v>125</v>
      </c>
      <c r="DN98" t="s">
        <v>125</v>
      </c>
      <c r="DO98" t="s">
        <v>125</v>
      </c>
      <c r="DQ98" t="s">
        <v>126</v>
      </c>
    </row>
    <row r="99" spans="1:121" x14ac:dyDescent="0.15">
      <c r="A99">
        <v>2018</v>
      </c>
      <c r="B99" t="s">
        <v>221</v>
      </c>
      <c r="C99" t="str">
        <f>"0280011"</f>
        <v>0280011</v>
      </c>
      <c r="D99" t="s">
        <v>123</v>
      </c>
      <c r="E99" t="str">
        <f t="shared" si="0"/>
        <v>0000000</v>
      </c>
      <c r="F99" t="s">
        <v>123</v>
      </c>
      <c r="G99" t="s">
        <v>123</v>
      </c>
      <c r="H99" t="s">
        <v>123</v>
      </c>
      <c r="J99" t="s">
        <v>124</v>
      </c>
      <c r="K99">
        <v>1117.4167930000001</v>
      </c>
      <c r="L99">
        <v>1350</v>
      </c>
      <c r="M99">
        <v>82.771614</v>
      </c>
      <c r="N99" t="s">
        <v>125</v>
      </c>
      <c r="O99">
        <v>0</v>
      </c>
      <c r="P99">
        <v>73.375600000000006</v>
      </c>
      <c r="Q99">
        <v>48.917067000000003</v>
      </c>
      <c r="R99">
        <v>50</v>
      </c>
      <c r="S99">
        <v>63.266941000000003</v>
      </c>
      <c r="T99">
        <v>75</v>
      </c>
      <c r="U99">
        <v>42.177959999999999</v>
      </c>
      <c r="V99">
        <v>50</v>
      </c>
      <c r="W99">
        <v>71.859520000000003</v>
      </c>
      <c r="X99">
        <v>47.906345999999999</v>
      </c>
      <c r="Y99">
        <v>50</v>
      </c>
      <c r="Z99">
        <v>75</v>
      </c>
      <c r="AA99">
        <v>60.645617999999999</v>
      </c>
      <c r="AB99">
        <v>40.430411999999997</v>
      </c>
      <c r="AC99">
        <v>50</v>
      </c>
      <c r="AD99">
        <v>70.648956999999996</v>
      </c>
      <c r="AE99">
        <v>47.099305000000001</v>
      </c>
      <c r="AF99">
        <v>50</v>
      </c>
      <c r="AG99">
        <v>60.293515999999997</v>
      </c>
      <c r="AH99">
        <v>74.912963000000005</v>
      </c>
      <c r="AI99">
        <v>40.195677000000003</v>
      </c>
      <c r="AJ99">
        <v>50</v>
      </c>
      <c r="AK99">
        <v>11.73</v>
      </c>
      <c r="AL99">
        <v>14.35</v>
      </c>
      <c r="AM99">
        <v>14.61</v>
      </c>
      <c r="AN99">
        <v>0.60344900000000001</v>
      </c>
      <c r="AO99">
        <v>60.344909999999999</v>
      </c>
      <c r="AP99">
        <v>100</v>
      </c>
      <c r="AQ99">
        <v>0.76095299999999999</v>
      </c>
      <c r="AR99">
        <v>76.095263000000003</v>
      </c>
      <c r="AS99">
        <v>100</v>
      </c>
      <c r="AT99">
        <v>0.56180200000000002</v>
      </c>
      <c r="AU99">
        <v>0.62389700000000003</v>
      </c>
      <c r="AV99">
        <v>56.180197</v>
      </c>
      <c r="AW99">
        <v>100</v>
      </c>
      <c r="AX99">
        <v>0.66494799999999998</v>
      </c>
      <c r="AY99">
        <v>0.80791500000000005</v>
      </c>
      <c r="AZ99">
        <v>66.494753000000003</v>
      </c>
      <c r="BA99">
        <v>100</v>
      </c>
      <c r="BB99" t="s">
        <v>125</v>
      </c>
      <c r="BC99" t="s">
        <v>125</v>
      </c>
      <c r="BD99" t="s">
        <v>125</v>
      </c>
      <c r="BE99" t="s">
        <v>125</v>
      </c>
      <c r="BF99" t="s">
        <v>125</v>
      </c>
      <c r="BG99" t="s">
        <v>125</v>
      </c>
      <c r="BH99">
        <v>0</v>
      </c>
      <c r="BI99">
        <v>0.99331700000000001</v>
      </c>
      <c r="BJ99">
        <v>0.98707999999999996</v>
      </c>
      <c r="BK99">
        <v>0.99629599999999996</v>
      </c>
      <c r="BL99">
        <v>0.99164600000000003</v>
      </c>
      <c r="BM99">
        <v>0.98191200000000001</v>
      </c>
      <c r="BN99">
        <v>0.99629599999999996</v>
      </c>
      <c r="BO99">
        <v>0.98351599999999995</v>
      </c>
      <c r="BP99">
        <v>0.97484300000000002</v>
      </c>
      <c r="BQ99">
        <v>0.98707999999999996</v>
      </c>
      <c r="BR99">
        <v>6.0035999999999999E-2</v>
      </c>
      <c r="BS99">
        <v>47.992832</v>
      </c>
      <c r="BT99">
        <v>50</v>
      </c>
      <c r="BU99">
        <v>0.112125</v>
      </c>
      <c r="BV99">
        <v>37.574967000000001</v>
      </c>
      <c r="BW99">
        <v>50</v>
      </c>
      <c r="BX99">
        <v>0.93866700000000003</v>
      </c>
      <c r="BY99">
        <v>50</v>
      </c>
      <c r="BZ99">
        <v>50</v>
      </c>
      <c r="CA99">
        <v>0.466667</v>
      </c>
      <c r="CB99">
        <v>31.111111000000001</v>
      </c>
      <c r="CC99">
        <v>50</v>
      </c>
      <c r="CD99">
        <v>0.92424200000000001</v>
      </c>
      <c r="CE99">
        <v>49.161830999999999</v>
      </c>
      <c r="CF99">
        <v>50</v>
      </c>
      <c r="CG99">
        <v>0.94144099999999997</v>
      </c>
      <c r="CH99">
        <v>100</v>
      </c>
      <c r="CI99">
        <v>100</v>
      </c>
      <c r="CJ99">
        <v>0</v>
      </c>
      <c r="CK99">
        <v>0.90322599999999997</v>
      </c>
      <c r="CL99">
        <v>96.087851999999998</v>
      </c>
      <c r="CM99">
        <v>100</v>
      </c>
      <c r="CN99">
        <v>0.77</v>
      </c>
      <c r="CO99">
        <v>100</v>
      </c>
      <c r="CP99">
        <v>100</v>
      </c>
      <c r="CQ99">
        <v>0.66104099999999999</v>
      </c>
      <c r="CR99">
        <v>0.97799199999999997</v>
      </c>
      <c r="CS99">
        <v>44.069386000000002</v>
      </c>
      <c r="CT99">
        <v>50</v>
      </c>
      <c r="CU99">
        <v>0.426923</v>
      </c>
      <c r="CV99">
        <v>35.576923000000001</v>
      </c>
      <c r="CW99">
        <v>50</v>
      </c>
      <c r="CX99">
        <v>0.90322599999999997</v>
      </c>
      <c r="CY99">
        <v>0.94</v>
      </c>
      <c r="CZ99">
        <v>3.6774000000000001E-2</v>
      </c>
      <c r="DA99">
        <v>15.389535</v>
      </c>
      <c r="DB99">
        <v>17.608319000000002</v>
      </c>
      <c r="DC99">
        <v>16.064022999999999</v>
      </c>
      <c r="DD99">
        <v>11.115401</v>
      </c>
      <c r="DE99" t="s">
        <v>125</v>
      </c>
      <c r="DJ99" t="s">
        <v>125</v>
      </c>
      <c r="DK99" t="s">
        <v>125</v>
      </c>
      <c r="DL99" t="s">
        <v>125</v>
      </c>
      <c r="DM99" t="s">
        <v>125</v>
      </c>
      <c r="DN99" t="s">
        <v>125</v>
      </c>
      <c r="DO99" t="s">
        <v>125</v>
      </c>
      <c r="DQ99" t="s">
        <v>126</v>
      </c>
    </row>
    <row r="100" spans="1:121" x14ac:dyDescent="0.15">
      <c r="A100">
        <v>2018</v>
      </c>
      <c r="B100" t="s">
        <v>222</v>
      </c>
      <c r="C100" t="str">
        <f>"1450011"</f>
        <v>1450011</v>
      </c>
      <c r="D100" t="s">
        <v>123</v>
      </c>
      <c r="E100" t="str">
        <f t="shared" si="0"/>
        <v>0000000</v>
      </c>
      <c r="F100" t="s">
        <v>123</v>
      </c>
      <c r="G100" t="s">
        <v>123</v>
      </c>
      <c r="H100" t="s">
        <v>123</v>
      </c>
      <c r="J100" t="s">
        <v>124</v>
      </c>
      <c r="K100">
        <v>277.11498</v>
      </c>
      <c r="L100">
        <v>350</v>
      </c>
      <c r="M100">
        <v>79.175708999999998</v>
      </c>
      <c r="N100" t="s">
        <v>125</v>
      </c>
      <c r="O100">
        <v>0</v>
      </c>
      <c r="P100">
        <v>74.215677999999997</v>
      </c>
      <c r="Q100">
        <v>49.477119000000002</v>
      </c>
      <c r="R100">
        <v>50</v>
      </c>
      <c r="S100" t="s">
        <v>125</v>
      </c>
      <c r="T100" t="s">
        <v>125</v>
      </c>
      <c r="U100" t="s">
        <v>125</v>
      </c>
      <c r="V100" t="s">
        <v>125</v>
      </c>
      <c r="W100">
        <v>64.996791999999999</v>
      </c>
      <c r="X100">
        <v>43.331194000000004</v>
      </c>
      <c r="Y100">
        <v>50</v>
      </c>
      <c r="Z100" t="s">
        <v>125</v>
      </c>
      <c r="AA100" t="s">
        <v>125</v>
      </c>
      <c r="AB100" t="s">
        <v>125</v>
      </c>
      <c r="AC100" t="s">
        <v>125</v>
      </c>
      <c r="AD100" t="s">
        <v>125</v>
      </c>
      <c r="AE100" t="s">
        <v>125</v>
      </c>
      <c r="AF100" t="s">
        <v>125</v>
      </c>
      <c r="AG100" t="s">
        <v>125</v>
      </c>
      <c r="AH100" t="s">
        <v>125</v>
      </c>
      <c r="AI100" t="s">
        <v>125</v>
      </c>
      <c r="AJ100" t="s">
        <v>125</v>
      </c>
      <c r="AK100" t="s">
        <v>125</v>
      </c>
      <c r="AL100" t="s">
        <v>125</v>
      </c>
      <c r="AM100" t="s">
        <v>125</v>
      </c>
      <c r="AN100">
        <v>0.68572699999999998</v>
      </c>
      <c r="AO100">
        <v>68.572731000000005</v>
      </c>
      <c r="AP100">
        <v>100</v>
      </c>
      <c r="AQ100">
        <v>0.65733900000000001</v>
      </c>
      <c r="AR100">
        <v>65.733936999999997</v>
      </c>
      <c r="AS100">
        <v>100</v>
      </c>
      <c r="AT100" t="s">
        <v>125</v>
      </c>
      <c r="AU100" t="s">
        <v>125</v>
      </c>
      <c r="AV100" t="s">
        <v>125</v>
      </c>
      <c r="AW100" t="s">
        <v>125</v>
      </c>
      <c r="AX100" t="s">
        <v>125</v>
      </c>
      <c r="AY100" t="s">
        <v>125</v>
      </c>
      <c r="AZ100" t="s">
        <v>125</v>
      </c>
      <c r="BA100" t="s">
        <v>125</v>
      </c>
      <c r="BB100" t="s">
        <v>125</v>
      </c>
      <c r="BC100" t="s">
        <v>125</v>
      </c>
      <c r="BD100" t="s">
        <v>125</v>
      </c>
      <c r="BE100" t="s">
        <v>125</v>
      </c>
      <c r="BF100" t="s">
        <v>125</v>
      </c>
      <c r="BG100" t="s">
        <v>125</v>
      </c>
      <c r="BH100">
        <v>0</v>
      </c>
      <c r="BI100">
        <v>1</v>
      </c>
      <c r="BJ100" t="s">
        <v>125</v>
      </c>
      <c r="BK100" t="s">
        <v>125</v>
      </c>
      <c r="BL100">
        <v>1</v>
      </c>
      <c r="BM100" t="s">
        <v>125</v>
      </c>
      <c r="BN100" t="s">
        <v>125</v>
      </c>
      <c r="BO100" t="s">
        <v>125</v>
      </c>
      <c r="BP100" t="s">
        <v>125</v>
      </c>
      <c r="BQ100" t="s">
        <v>125</v>
      </c>
      <c r="BR100">
        <v>4.3478000000000003E-2</v>
      </c>
      <c r="BS100">
        <v>50</v>
      </c>
      <c r="BT100">
        <v>50</v>
      </c>
      <c r="BU100" t="s">
        <v>125</v>
      </c>
      <c r="BV100" t="s">
        <v>125</v>
      </c>
      <c r="BW100" t="s">
        <v>125</v>
      </c>
      <c r="BX100" t="s">
        <v>125</v>
      </c>
      <c r="BY100" t="s">
        <v>125</v>
      </c>
      <c r="BZ100" t="s">
        <v>125</v>
      </c>
      <c r="CA100" t="s">
        <v>125</v>
      </c>
      <c r="CB100" t="s">
        <v>125</v>
      </c>
      <c r="CC100" t="s">
        <v>125</v>
      </c>
      <c r="CD100" t="s">
        <v>125</v>
      </c>
      <c r="CE100" t="s">
        <v>125</v>
      </c>
      <c r="CF100" t="s">
        <v>125</v>
      </c>
      <c r="CG100" t="s">
        <v>125</v>
      </c>
      <c r="CH100" t="s">
        <v>125</v>
      </c>
      <c r="CI100" t="s">
        <v>125</v>
      </c>
      <c r="CJ100" t="s">
        <v>125</v>
      </c>
      <c r="CK100" t="s">
        <v>125</v>
      </c>
      <c r="CL100" t="s">
        <v>125</v>
      </c>
      <c r="CM100" t="s">
        <v>125</v>
      </c>
      <c r="CN100" t="s">
        <v>125</v>
      </c>
      <c r="CO100" t="s">
        <v>125</v>
      </c>
      <c r="CP100" t="s">
        <v>125</v>
      </c>
      <c r="CQ100" t="s">
        <v>125</v>
      </c>
      <c r="CR100" t="s">
        <v>125</v>
      </c>
      <c r="CS100" t="s">
        <v>125</v>
      </c>
      <c r="CT100" t="s">
        <v>125</v>
      </c>
      <c r="CU100" t="s">
        <v>125</v>
      </c>
      <c r="CV100" t="s">
        <v>125</v>
      </c>
      <c r="CW100" t="s">
        <v>125</v>
      </c>
      <c r="CX100" t="s">
        <v>125</v>
      </c>
      <c r="CY100" t="s">
        <v>125</v>
      </c>
      <c r="CZ100" t="s">
        <v>125</v>
      </c>
      <c r="DA100">
        <v>15.389535</v>
      </c>
      <c r="DB100">
        <v>17.608319000000002</v>
      </c>
      <c r="DC100">
        <v>16.064022999999999</v>
      </c>
      <c r="DD100" t="s">
        <v>125</v>
      </c>
      <c r="DE100" t="s">
        <v>125</v>
      </c>
      <c r="DJ100" t="s">
        <v>125</v>
      </c>
      <c r="DK100" t="s">
        <v>125</v>
      </c>
      <c r="DL100" t="s">
        <v>125</v>
      </c>
      <c r="DM100" t="s">
        <v>125</v>
      </c>
      <c r="DN100" t="s">
        <v>125</v>
      </c>
      <c r="DO100" t="s">
        <v>125</v>
      </c>
      <c r="DQ100" t="s">
        <v>126</v>
      </c>
    </row>
    <row r="101" spans="1:121" x14ac:dyDescent="0.15">
      <c r="A101">
        <v>2018</v>
      </c>
      <c r="B101" t="s">
        <v>223</v>
      </c>
      <c r="C101" t="str">
        <f>"0340011"</f>
        <v>0340011</v>
      </c>
      <c r="D101" t="s">
        <v>123</v>
      </c>
      <c r="E101" t="str">
        <f t="shared" si="0"/>
        <v>0000000</v>
      </c>
      <c r="F101" t="s">
        <v>123</v>
      </c>
      <c r="G101" t="s">
        <v>123</v>
      </c>
      <c r="H101" t="s">
        <v>123</v>
      </c>
      <c r="J101" t="s">
        <v>124</v>
      </c>
      <c r="K101">
        <v>1052.916684</v>
      </c>
      <c r="L101">
        <v>1450</v>
      </c>
      <c r="M101">
        <v>72.614943999999994</v>
      </c>
      <c r="N101" t="s">
        <v>125</v>
      </c>
      <c r="O101">
        <v>0</v>
      </c>
      <c r="P101">
        <v>64.324583000000004</v>
      </c>
      <c r="Q101">
        <v>42.883054999999999</v>
      </c>
      <c r="R101">
        <v>50</v>
      </c>
      <c r="S101">
        <v>60.546171000000001</v>
      </c>
      <c r="T101">
        <v>74.196433999999996</v>
      </c>
      <c r="U101">
        <v>40.364114000000001</v>
      </c>
      <c r="V101">
        <v>50</v>
      </c>
      <c r="W101">
        <v>58.811138</v>
      </c>
      <c r="X101">
        <v>39.207425000000001</v>
      </c>
      <c r="Y101">
        <v>50</v>
      </c>
      <c r="Z101">
        <v>68.045766999999998</v>
      </c>
      <c r="AA101">
        <v>55.280977999999998</v>
      </c>
      <c r="AB101">
        <v>36.853985000000002</v>
      </c>
      <c r="AC101">
        <v>50</v>
      </c>
      <c r="AD101">
        <v>59.508603000000001</v>
      </c>
      <c r="AE101">
        <v>39.672401999999998</v>
      </c>
      <c r="AF101">
        <v>50</v>
      </c>
      <c r="AG101">
        <v>55.342844999999997</v>
      </c>
      <c r="AH101">
        <v>68.615539999999996</v>
      </c>
      <c r="AI101">
        <v>36.895229999999998</v>
      </c>
      <c r="AJ101">
        <v>50</v>
      </c>
      <c r="AK101">
        <v>13.65</v>
      </c>
      <c r="AL101">
        <v>12.76</v>
      </c>
      <c r="AM101">
        <v>13.27</v>
      </c>
      <c r="AN101">
        <v>0.57200300000000004</v>
      </c>
      <c r="AO101">
        <v>57.200274999999998</v>
      </c>
      <c r="AP101">
        <v>100</v>
      </c>
      <c r="AQ101">
        <v>0.56756899999999999</v>
      </c>
      <c r="AR101">
        <v>56.756867999999997</v>
      </c>
      <c r="AS101">
        <v>100</v>
      </c>
      <c r="AT101">
        <v>0.56339700000000004</v>
      </c>
      <c r="AU101">
        <v>0.59478299999999995</v>
      </c>
      <c r="AV101">
        <v>56.339682000000003</v>
      </c>
      <c r="AW101">
        <v>100</v>
      </c>
      <c r="AX101">
        <v>0.54871800000000004</v>
      </c>
      <c r="AY101">
        <v>0.61761200000000005</v>
      </c>
      <c r="AZ101">
        <v>54.871782000000003</v>
      </c>
      <c r="BA101">
        <v>100</v>
      </c>
      <c r="BB101">
        <v>0.63505100000000003</v>
      </c>
      <c r="BC101">
        <v>31.752559000000002</v>
      </c>
      <c r="BD101">
        <v>50</v>
      </c>
      <c r="BE101">
        <v>0.54850900000000002</v>
      </c>
      <c r="BF101">
        <v>27.425429000000001</v>
      </c>
      <c r="BG101">
        <v>50</v>
      </c>
      <c r="BH101">
        <v>0</v>
      </c>
      <c r="BI101">
        <v>0.99144900000000002</v>
      </c>
      <c r="BJ101">
        <v>0.99276799999999998</v>
      </c>
      <c r="BK101">
        <v>0.98776799999999998</v>
      </c>
      <c r="BL101">
        <v>0.98983399999999999</v>
      </c>
      <c r="BM101">
        <v>0.99101899999999998</v>
      </c>
      <c r="BN101">
        <v>0.98651999999999995</v>
      </c>
      <c r="BO101">
        <v>0.98211499999999996</v>
      </c>
      <c r="BP101">
        <v>0.98007699999999998</v>
      </c>
      <c r="BQ101">
        <v>0.98692800000000003</v>
      </c>
      <c r="BR101">
        <v>7.1353E-2</v>
      </c>
      <c r="BS101">
        <v>45.729349999999997</v>
      </c>
      <c r="BT101">
        <v>50</v>
      </c>
      <c r="BU101">
        <v>8.3414000000000002E-2</v>
      </c>
      <c r="BV101">
        <v>43.317261000000002</v>
      </c>
      <c r="BW101">
        <v>50</v>
      </c>
      <c r="BX101">
        <v>0.72037899999999999</v>
      </c>
      <c r="BY101">
        <v>48.025275999999998</v>
      </c>
      <c r="BZ101">
        <v>50</v>
      </c>
      <c r="CA101">
        <v>0.27759</v>
      </c>
      <c r="CB101">
        <v>18.505980999999998</v>
      </c>
      <c r="CC101">
        <v>50</v>
      </c>
      <c r="CD101">
        <v>0.84764700000000004</v>
      </c>
      <c r="CE101">
        <v>45.087609999999998</v>
      </c>
      <c r="CF101">
        <v>50</v>
      </c>
      <c r="CG101">
        <v>0.80921900000000002</v>
      </c>
      <c r="CH101">
        <v>86.087121999999994</v>
      </c>
      <c r="CI101">
        <v>100</v>
      </c>
      <c r="CJ101">
        <v>1</v>
      </c>
      <c r="CK101">
        <v>0.79431099999999999</v>
      </c>
      <c r="CL101">
        <v>84.501141000000004</v>
      </c>
      <c r="CM101">
        <v>100</v>
      </c>
      <c r="CN101">
        <v>0.67400000000000004</v>
      </c>
      <c r="CO101">
        <v>89.842631999999995</v>
      </c>
      <c r="CP101">
        <v>100</v>
      </c>
      <c r="CQ101">
        <v>0.47167599999999998</v>
      </c>
      <c r="CR101">
        <v>0.94425700000000001</v>
      </c>
      <c r="CS101">
        <v>31.445041</v>
      </c>
      <c r="CT101">
        <v>50</v>
      </c>
      <c r="CU101">
        <v>0.48182999999999998</v>
      </c>
      <c r="CV101">
        <v>40.152464000000002</v>
      </c>
      <c r="CW101">
        <v>50</v>
      </c>
      <c r="CX101">
        <v>0.79431099999999999</v>
      </c>
      <c r="CY101">
        <v>0.94</v>
      </c>
      <c r="CZ101">
        <v>0.14568900000000001</v>
      </c>
      <c r="DA101">
        <v>15.389535</v>
      </c>
      <c r="DB101">
        <v>17.608319000000002</v>
      </c>
      <c r="DC101">
        <v>16.064022999999999</v>
      </c>
      <c r="DD101">
        <v>11.115401</v>
      </c>
      <c r="DE101" t="s">
        <v>125</v>
      </c>
      <c r="DJ101" t="s">
        <v>125</v>
      </c>
      <c r="DK101" t="s">
        <v>125</v>
      </c>
      <c r="DL101" t="s">
        <v>125</v>
      </c>
      <c r="DM101" t="s">
        <v>125</v>
      </c>
      <c r="DN101" t="s">
        <v>125</v>
      </c>
      <c r="DO101" t="s">
        <v>125</v>
      </c>
      <c r="DQ101" t="s">
        <v>126</v>
      </c>
    </row>
    <row r="102" spans="1:121" x14ac:dyDescent="0.15">
      <c r="A102">
        <v>2018</v>
      </c>
      <c r="B102" t="s">
        <v>224</v>
      </c>
      <c r="C102" t="str">
        <f>"1460011"</f>
        <v>1460011</v>
      </c>
      <c r="D102" t="s">
        <v>123</v>
      </c>
      <c r="E102" t="str">
        <f t="shared" si="0"/>
        <v>0000000</v>
      </c>
      <c r="F102" t="s">
        <v>123</v>
      </c>
      <c r="G102" t="s">
        <v>123</v>
      </c>
      <c r="H102" t="s">
        <v>123</v>
      </c>
      <c r="J102" t="s">
        <v>124</v>
      </c>
      <c r="K102">
        <v>1080.6040370000001</v>
      </c>
      <c r="L102">
        <v>1450</v>
      </c>
      <c r="M102">
        <v>74.524416000000002</v>
      </c>
      <c r="N102" t="s">
        <v>125</v>
      </c>
      <c r="O102">
        <v>1</v>
      </c>
      <c r="P102">
        <v>66.626023000000004</v>
      </c>
      <c r="Q102">
        <v>44.417349000000002</v>
      </c>
      <c r="R102">
        <v>50</v>
      </c>
      <c r="S102">
        <v>60.446795000000002</v>
      </c>
      <c r="T102">
        <v>75</v>
      </c>
      <c r="U102">
        <v>40.297863</v>
      </c>
      <c r="V102">
        <v>50</v>
      </c>
      <c r="W102">
        <v>62.126418999999999</v>
      </c>
      <c r="X102">
        <v>41.417613000000003</v>
      </c>
      <c r="Y102">
        <v>50</v>
      </c>
      <c r="Z102">
        <v>72.699275</v>
      </c>
      <c r="AA102">
        <v>55.284495999999997</v>
      </c>
      <c r="AB102">
        <v>36.856330999999997</v>
      </c>
      <c r="AC102">
        <v>50</v>
      </c>
      <c r="AD102">
        <v>63.955184000000003</v>
      </c>
      <c r="AE102">
        <v>42.636789</v>
      </c>
      <c r="AF102">
        <v>50</v>
      </c>
      <c r="AG102">
        <v>56.577826999999999</v>
      </c>
      <c r="AH102">
        <v>72.872867999999997</v>
      </c>
      <c r="AI102">
        <v>37.718552000000003</v>
      </c>
      <c r="AJ102">
        <v>50</v>
      </c>
      <c r="AK102">
        <v>14.55</v>
      </c>
      <c r="AL102">
        <v>17.41</v>
      </c>
      <c r="AM102">
        <v>16.29</v>
      </c>
      <c r="AN102">
        <v>0.65812599999999999</v>
      </c>
      <c r="AO102">
        <v>65.812646000000001</v>
      </c>
      <c r="AP102">
        <v>100</v>
      </c>
      <c r="AQ102">
        <v>0.648536</v>
      </c>
      <c r="AR102">
        <v>64.853645</v>
      </c>
      <c r="AS102">
        <v>100</v>
      </c>
      <c r="AT102">
        <v>0.62103299999999995</v>
      </c>
      <c r="AU102">
        <v>0.71514599999999995</v>
      </c>
      <c r="AV102">
        <v>62.103341999999998</v>
      </c>
      <c r="AW102">
        <v>100</v>
      </c>
      <c r="AX102">
        <v>0.59894099999999995</v>
      </c>
      <c r="AY102">
        <v>0.72391300000000003</v>
      </c>
      <c r="AZ102">
        <v>59.894053999999997</v>
      </c>
      <c r="BA102">
        <v>100</v>
      </c>
      <c r="BB102">
        <v>0.741981</v>
      </c>
      <c r="BC102">
        <v>37.099063999999998</v>
      </c>
      <c r="BD102">
        <v>50</v>
      </c>
      <c r="BE102">
        <v>0.58566099999999999</v>
      </c>
      <c r="BF102">
        <v>29.283048000000001</v>
      </c>
      <c r="BG102">
        <v>50</v>
      </c>
      <c r="BH102">
        <v>0</v>
      </c>
      <c r="BI102">
        <v>0.99080299999999999</v>
      </c>
      <c r="BJ102">
        <v>0.98621999999999999</v>
      </c>
      <c r="BK102">
        <v>0.99837399999999998</v>
      </c>
      <c r="BL102">
        <v>0.98589800000000005</v>
      </c>
      <c r="BM102">
        <v>0.97933099999999995</v>
      </c>
      <c r="BN102">
        <v>0.99674799999999997</v>
      </c>
      <c r="BO102">
        <v>0.98417699999999997</v>
      </c>
      <c r="BP102">
        <v>0.97759099999999999</v>
      </c>
      <c r="BQ102">
        <v>0.99272700000000003</v>
      </c>
      <c r="BR102">
        <v>8.7203000000000003E-2</v>
      </c>
      <c r="BS102">
        <v>42.559305000000002</v>
      </c>
      <c r="BT102">
        <v>50</v>
      </c>
      <c r="BU102">
        <v>0.12576499999999999</v>
      </c>
      <c r="BV102">
        <v>34.846966999999999</v>
      </c>
      <c r="BW102">
        <v>50</v>
      </c>
      <c r="BX102">
        <v>0.90322599999999997</v>
      </c>
      <c r="BY102">
        <v>50</v>
      </c>
      <c r="BZ102">
        <v>50</v>
      </c>
      <c r="CA102">
        <v>0.36972699999999997</v>
      </c>
      <c r="CB102">
        <v>24.64847</v>
      </c>
      <c r="CC102">
        <v>50</v>
      </c>
      <c r="CD102">
        <v>0.82582</v>
      </c>
      <c r="CE102">
        <v>43.926577999999999</v>
      </c>
      <c r="CF102">
        <v>50</v>
      </c>
      <c r="CG102">
        <v>0.78181800000000001</v>
      </c>
      <c r="CH102">
        <v>83.172146999999995</v>
      </c>
      <c r="CI102">
        <v>100</v>
      </c>
      <c r="CJ102">
        <v>1</v>
      </c>
      <c r="CK102">
        <v>0.67961199999999999</v>
      </c>
      <c r="CL102">
        <v>72.299111999999994</v>
      </c>
      <c r="CM102">
        <v>100</v>
      </c>
      <c r="CN102">
        <v>0.67</v>
      </c>
      <c r="CO102">
        <v>89.385475</v>
      </c>
      <c r="CP102">
        <v>100</v>
      </c>
      <c r="CQ102">
        <v>0.49209900000000001</v>
      </c>
      <c r="CR102">
        <v>0.97684700000000002</v>
      </c>
      <c r="CS102">
        <v>32.806621999999997</v>
      </c>
      <c r="CT102">
        <v>50</v>
      </c>
      <c r="CU102">
        <v>0.534829</v>
      </c>
      <c r="CV102">
        <v>44.569066999999997</v>
      </c>
      <c r="CW102">
        <v>50</v>
      </c>
      <c r="CX102">
        <v>0.67961199999999999</v>
      </c>
      <c r="CY102">
        <v>0.94</v>
      </c>
      <c r="CZ102">
        <v>0.26038800000000001</v>
      </c>
      <c r="DA102">
        <v>15.389535</v>
      </c>
      <c r="DB102">
        <v>17.608319000000002</v>
      </c>
      <c r="DC102">
        <v>16.064022999999999</v>
      </c>
      <c r="DD102">
        <v>11.115401</v>
      </c>
      <c r="DE102" t="s">
        <v>125</v>
      </c>
      <c r="DJ102" t="s">
        <v>125</v>
      </c>
      <c r="DK102" t="s">
        <v>125</v>
      </c>
      <c r="DL102" t="s">
        <v>125</v>
      </c>
      <c r="DM102" t="s">
        <v>125</v>
      </c>
      <c r="DN102" t="s">
        <v>125</v>
      </c>
      <c r="DO102" t="s">
        <v>125</v>
      </c>
      <c r="DQ102" t="s">
        <v>126</v>
      </c>
    </row>
    <row r="103" spans="1:121" x14ac:dyDescent="0.15">
      <c r="A103">
        <v>2018</v>
      </c>
      <c r="B103" t="s">
        <v>225</v>
      </c>
      <c r="C103" t="str">
        <f>"0970011"</f>
        <v>0970011</v>
      </c>
      <c r="D103" t="s">
        <v>123</v>
      </c>
      <c r="E103" t="str">
        <f t="shared" si="0"/>
        <v>0000000</v>
      </c>
      <c r="F103" t="s">
        <v>123</v>
      </c>
      <c r="G103" t="s">
        <v>123</v>
      </c>
      <c r="H103" t="s">
        <v>123</v>
      </c>
      <c r="J103" t="s">
        <v>124</v>
      </c>
      <c r="K103">
        <v>1117.919028</v>
      </c>
      <c r="L103">
        <v>1350</v>
      </c>
      <c r="M103">
        <v>82.808817000000005</v>
      </c>
      <c r="N103" t="s">
        <v>125</v>
      </c>
      <c r="O103">
        <v>0</v>
      </c>
      <c r="P103">
        <v>76.279437999999999</v>
      </c>
      <c r="Q103">
        <v>50</v>
      </c>
      <c r="R103">
        <v>50</v>
      </c>
      <c r="S103">
        <v>62.566541000000001</v>
      </c>
      <c r="T103">
        <v>75</v>
      </c>
      <c r="U103">
        <v>41.711027999999999</v>
      </c>
      <c r="V103">
        <v>50</v>
      </c>
      <c r="W103">
        <v>73.911169000000001</v>
      </c>
      <c r="X103">
        <v>49.274113</v>
      </c>
      <c r="Y103">
        <v>50</v>
      </c>
      <c r="Z103">
        <v>75</v>
      </c>
      <c r="AA103">
        <v>58.282372000000002</v>
      </c>
      <c r="AB103">
        <v>38.854914999999998</v>
      </c>
      <c r="AC103">
        <v>50</v>
      </c>
      <c r="AD103">
        <v>69.967211000000006</v>
      </c>
      <c r="AE103">
        <v>46.644807</v>
      </c>
      <c r="AF103">
        <v>50</v>
      </c>
      <c r="AG103">
        <v>57.692875000000001</v>
      </c>
      <c r="AH103">
        <v>73.392964000000006</v>
      </c>
      <c r="AI103">
        <v>38.461917</v>
      </c>
      <c r="AJ103">
        <v>50</v>
      </c>
      <c r="AK103">
        <v>12.43</v>
      </c>
      <c r="AL103">
        <v>16.71</v>
      </c>
      <c r="AM103">
        <v>15.7</v>
      </c>
      <c r="AN103">
        <v>0.65480300000000002</v>
      </c>
      <c r="AO103">
        <v>65.480304000000004</v>
      </c>
      <c r="AP103">
        <v>100</v>
      </c>
      <c r="AQ103">
        <v>0.69644899999999998</v>
      </c>
      <c r="AR103">
        <v>69.644931999999997</v>
      </c>
      <c r="AS103">
        <v>100</v>
      </c>
      <c r="AT103">
        <v>0.58533299999999999</v>
      </c>
      <c r="AU103">
        <v>0.67500000000000004</v>
      </c>
      <c r="AV103">
        <v>58.533332000000001</v>
      </c>
      <c r="AW103">
        <v>100</v>
      </c>
      <c r="AX103">
        <v>0.55732700000000002</v>
      </c>
      <c r="AY103">
        <v>0.73662399999999995</v>
      </c>
      <c r="AZ103">
        <v>55.732703000000001</v>
      </c>
      <c r="BA103">
        <v>100</v>
      </c>
      <c r="BB103" t="s">
        <v>125</v>
      </c>
      <c r="BC103" t="s">
        <v>125</v>
      </c>
      <c r="BD103" t="s">
        <v>125</v>
      </c>
      <c r="BE103" t="s">
        <v>125</v>
      </c>
      <c r="BF103" t="s">
        <v>125</v>
      </c>
      <c r="BG103" t="s">
        <v>125</v>
      </c>
      <c r="BH103">
        <v>0</v>
      </c>
      <c r="BI103">
        <v>0.98827100000000001</v>
      </c>
      <c r="BJ103">
        <v>0.975518</v>
      </c>
      <c r="BK103">
        <v>0.99209499999999995</v>
      </c>
      <c r="BL103">
        <v>0.98827100000000001</v>
      </c>
      <c r="BM103">
        <v>0.975518</v>
      </c>
      <c r="BN103">
        <v>0.99209499999999995</v>
      </c>
      <c r="BO103">
        <v>0.97533199999999998</v>
      </c>
      <c r="BP103">
        <v>0.96186400000000005</v>
      </c>
      <c r="BQ103">
        <v>0.97921800000000003</v>
      </c>
      <c r="BR103">
        <v>4.3765999999999999E-2</v>
      </c>
      <c r="BS103">
        <v>50</v>
      </c>
      <c r="BT103">
        <v>50</v>
      </c>
      <c r="BU103">
        <v>9.3910999999999994E-2</v>
      </c>
      <c r="BV103">
        <v>41.217750000000002</v>
      </c>
      <c r="BW103">
        <v>50</v>
      </c>
      <c r="BX103">
        <v>0.94384699999999999</v>
      </c>
      <c r="BY103">
        <v>50</v>
      </c>
      <c r="BZ103">
        <v>50</v>
      </c>
      <c r="CA103">
        <v>0.679809</v>
      </c>
      <c r="CB103">
        <v>45.320588999999998</v>
      </c>
      <c r="CC103">
        <v>50</v>
      </c>
      <c r="CD103">
        <v>0.96769700000000003</v>
      </c>
      <c r="CE103">
        <v>50</v>
      </c>
      <c r="CF103">
        <v>50</v>
      </c>
      <c r="CG103">
        <v>0.96462300000000001</v>
      </c>
      <c r="CH103">
        <v>100</v>
      </c>
      <c r="CI103">
        <v>100</v>
      </c>
      <c r="CJ103">
        <v>0</v>
      </c>
      <c r="CK103">
        <v>0.9</v>
      </c>
      <c r="CL103">
        <v>95.744681</v>
      </c>
      <c r="CM103">
        <v>100</v>
      </c>
      <c r="CN103">
        <v>0.86099999999999999</v>
      </c>
      <c r="CO103">
        <v>100</v>
      </c>
      <c r="CP103">
        <v>100</v>
      </c>
      <c r="CQ103">
        <v>0.66512700000000002</v>
      </c>
      <c r="CR103">
        <v>0.95867199999999997</v>
      </c>
      <c r="CS103">
        <v>44.341800999999997</v>
      </c>
      <c r="CT103">
        <v>50</v>
      </c>
      <c r="CU103">
        <v>0.32347399999999998</v>
      </c>
      <c r="CV103">
        <v>26.956157000000001</v>
      </c>
      <c r="CW103">
        <v>50</v>
      </c>
      <c r="CX103">
        <v>0.9</v>
      </c>
      <c r="CY103">
        <v>0.94</v>
      </c>
      <c r="CZ103">
        <v>0.04</v>
      </c>
      <c r="DA103">
        <v>15.389535</v>
      </c>
      <c r="DB103">
        <v>17.608319000000002</v>
      </c>
      <c r="DC103">
        <v>16.064022999999999</v>
      </c>
      <c r="DD103">
        <v>11.115401</v>
      </c>
      <c r="DE103" t="s">
        <v>125</v>
      </c>
      <c r="DJ103" t="s">
        <v>125</v>
      </c>
      <c r="DK103" t="s">
        <v>125</v>
      </c>
      <c r="DL103" t="s">
        <v>125</v>
      </c>
      <c r="DM103" t="s">
        <v>125</v>
      </c>
      <c r="DN103" t="s">
        <v>125</v>
      </c>
      <c r="DO103" t="s">
        <v>125</v>
      </c>
      <c r="DQ103" t="s">
        <v>126</v>
      </c>
    </row>
    <row r="104" spans="1:121" x14ac:dyDescent="0.15">
      <c r="A104">
        <v>2018</v>
      </c>
      <c r="B104" t="s">
        <v>226</v>
      </c>
      <c r="C104" t="str">
        <f>"0170011"</f>
        <v>0170011</v>
      </c>
      <c r="D104" t="s">
        <v>123</v>
      </c>
      <c r="E104" t="str">
        <f t="shared" si="0"/>
        <v>0000000</v>
      </c>
      <c r="F104" t="s">
        <v>123</v>
      </c>
      <c r="G104" t="s">
        <v>123</v>
      </c>
      <c r="H104" t="s">
        <v>123</v>
      </c>
      <c r="J104" t="s">
        <v>124</v>
      </c>
      <c r="K104">
        <v>1054.598017</v>
      </c>
      <c r="L104">
        <v>1450</v>
      </c>
      <c r="M104">
        <v>72.730897999999996</v>
      </c>
      <c r="N104" t="s">
        <v>125</v>
      </c>
      <c r="O104">
        <v>0</v>
      </c>
      <c r="P104">
        <v>64.347149999999999</v>
      </c>
      <c r="Q104">
        <v>42.898099999999999</v>
      </c>
      <c r="R104">
        <v>50</v>
      </c>
      <c r="S104">
        <v>58.687080999999999</v>
      </c>
      <c r="T104">
        <v>72.781626000000003</v>
      </c>
      <c r="U104">
        <v>39.124720000000003</v>
      </c>
      <c r="V104">
        <v>50</v>
      </c>
      <c r="W104">
        <v>58.740493999999998</v>
      </c>
      <c r="X104">
        <v>39.160328999999997</v>
      </c>
      <c r="Y104">
        <v>50</v>
      </c>
      <c r="Z104">
        <v>67.191468999999998</v>
      </c>
      <c r="AA104">
        <v>53.036349000000001</v>
      </c>
      <c r="AB104">
        <v>35.357565999999998</v>
      </c>
      <c r="AC104">
        <v>50</v>
      </c>
      <c r="AD104">
        <v>62.190939999999998</v>
      </c>
      <c r="AE104">
        <v>41.460627000000002</v>
      </c>
      <c r="AF104">
        <v>50</v>
      </c>
      <c r="AG104">
        <v>56.192774999999997</v>
      </c>
      <c r="AH104">
        <v>69.914068</v>
      </c>
      <c r="AI104">
        <v>37.461849999999998</v>
      </c>
      <c r="AJ104">
        <v>50</v>
      </c>
      <c r="AK104">
        <v>14.09</v>
      </c>
      <c r="AL104">
        <v>14.15</v>
      </c>
      <c r="AM104">
        <v>13.72</v>
      </c>
      <c r="AN104">
        <v>0.53866599999999998</v>
      </c>
      <c r="AO104">
        <v>53.866568999999998</v>
      </c>
      <c r="AP104">
        <v>100</v>
      </c>
      <c r="AQ104">
        <v>0.54838699999999996</v>
      </c>
      <c r="AR104">
        <v>54.83869</v>
      </c>
      <c r="AS104">
        <v>100</v>
      </c>
      <c r="AT104">
        <v>0.51446700000000001</v>
      </c>
      <c r="AU104">
        <v>0.57304500000000003</v>
      </c>
      <c r="AV104">
        <v>51.446694000000001</v>
      </c>
      <c r="AW104">
        <v>100</v>
      </c>
      <c r="AX104">
        <v>0.53437100000000004</v>
      </c>
      <c r="AY104">
        <v>0.56815499999999997</v>
      </c>
      <c r="AZ104">
        <v>53.437072000000001</v>
      </c>
      <c r="BA104">
        <v>100</v>
      </c>
      <c r="BB104">
        <v>0.65169299999999997</v>
      </c>
      <c r="BC104">
        <v>32.584651000000001</v>
      </c>
      <c r="BD104">
        <v>50</v>
      </c>
      <c r="BE104">
        <v>0.53977200000000003</v>
      </c>
      <c r="BF104">
        <v>26.988589000000001</v>
      </c>
      <c r="BG104">
        <v>50</v>
      </c>
      <c r="BH104">
        <v>0</v>
      </c>
      <c r="BI104">
        <v>0.99178200000000005</v>
      </c>
      <c r="BJ104">
        <v>0.98882499999999995</v>
      </c>
      <c r="BK104">
        <v>0.996394</v>
      </c>
      <c r="BL104">
        <v>0.989649</v>
      </c>
      <c r="BM104">
        <v>0.98569799999999996</v>
      </c>
      <c r="BN104">
        <v>0.99579300000000004</v>
      </c>
      <c r="BO104">
        <v>0.98635399999999995</v>
      </c>
      <c r="BP104">
        <v>0.97819900000000004</v>
      </c>
      <c r="BQ104">
        <v>0.99742600000000003</v>
      </c>
      <c r="BR104">
        <v>9.6355999999999997E-2</v>
      </c>
      <c r="BS104">
        <v>40.728828999999998</v>
      </c>
      <c r="BT104">
        <v>50</v>
      </c>
      <c r="BU104">
        <v>0.13761100000000001</v>
      </c>
      <c r="BV104">
        <v>32.477857</v>
      </c>
      <c r="BW104">
        <v>50</v>
      </c>
      <c r="BX104">
        <v>0.72813899999999998</v>
      </c>
      <c r="BY104">
        <v>48.542569</v>
      </c>
      <c r="BZ104">
        <v>50</v>
      </c>
      <c r="CA104">
        <v>0.34199099999999999</v>
      </c>
      <c r="CB104">
        <v>22.799423000000001</v>
      </c>
      <c r="CC104">
        <v>50</v>
      </c>
      <c r="CD104">
        <v>0.89950200000000002</v>
      </c>
      <c r="CE104">
        <v>47.845832999999999</v>
      </c>
      <c r="CF104">
        <v>50</v>
      </c>
      <c r="CG104">
        <v>0.86333300000000002</v>
      </c>
      <c r="CH104">
        <v>91.843971999999994</v>
      </c>
      <c r="CI104">
        <v>100</v>
      </c>
      <c r="CJ104">
        <v>0</v>
      </c>
      <c r="CK104">
        <v>0.831978</v>
      </c>
      <c r="CL104">
        <v>88.508331999999996</v>
      </c>
      <c r="CM104">
        <v>100</v>
      </c>
      <c r="CN104">
        <v>0.63700000000000001</v>
      </c>
      <c r="CO104">
        <v>84.960098000000002</v>
      </c>
      <c r="CP104">
        <v>100</v>
      </c>
      <c r="CQ104">
        <v>0.62168999999999996</v>
      </c>
      <c r="CR104">
        <v>0.953125</v>
      </c>
      <c r="CS104">
        <v>41.445985999999998</v>
      </c>
      <c r="CT104">
        <v>50</v>
      </c>
      <c r="CU104">
        <v>0.561836</v>
      </c>
      <c r="CV104">
        <v>46.819662999999998</v>
      </c>
      <c r="CW104">
        <v>50</v>
      </c>
      <c r="CX104">
        <v>0.831978</v>
      </c>
      <c r="CY104">
        <v>0.94</v>
      </c>
      <c r="CZ104">
        <v>0.10802200000000001</v>
      </c>
      <c r="DA104">
        <v>15.389535</v>
      </c>
      <c r="DB104">
        <v>17.608319000000002</v>
      </c>
      <c r="DC104">
        <v>16.064022999999999</v>
      </c>
      <c r="DD104">
        <v>11.115401</v>
      </c>
      <c r="DE104" t="s">
        <v>125</v>
      </c>
      <c r="DJ104" t="s">
        <v>125</v>
      </c>
      <c r="DK104" t="s">
        <v>125</v>
      </c>
      <c r="DL104" t="s">
        <v>125</v>
      </c>
      <c r="DM104" t="s">
        <v>125</v>
      </c>
      <c r="DN104" t="s">
        <v>125</v>
      </c>
      <c r="DO104" t="s">
        <v>125</v>
      </c>
      <c r="DQ104" t="s">
        <v>126</v>
      </c>
    </row>
    <row r="105" spans="1:121" x14ac:dyDescent="0.15">
      <c r="A105">
        <v>2018</v>
      </c>
      <c r="B105" t="s">
        <v>227</v>
      </c>
      <c r="C105" t="str">
        <f>"1380011"</f>
        <v>1380011</v>
      </c>
      <c r="D105" t="s">
        <v>123</v>
      </c>
      <c r="E105" t="str">
        <f t="shared" si="0"/>
        <v>0000000</v>
      </c>
      <c r="F105" t="s">
        <v>123</v>
      </c>
      <c r="G105" t="s">
        <v>123</v>
      </c>
      <c r="H105" t="s">
        <v>123</v>
      </c>
      <c r="J105" t="s">
        <v>124</v>
      </c>
      <c r="K105">
        <v>1063.2265950000001</v>
      </c>
      <c r="L105">
        <v>1450</v>
      </c>
      <c r="M105">
        <v>73.325971999999993</v>
      </c>
      <c r="N105" t="s">
        <v>125</v>
      </c>
      <c r="O105">
        <v>0</v>
      </c>
      <c r="P105">
        <v>63.995432000000001</v>
      </c>
      <c r="Q105">
        <v>42.663621999999997</v>
      </c>
      <c r="R105">
        <v>50</v>
      </c>
      <c r="S105">
        <v>58.907608000000003</v>
      </c>
      <c r="T105">
        <v>71.427925000000002</v>
      </c>
      <c r="U105">
        <v>39.271738999999997</v>
      </c>
      <c r="V105">
        <v>50</v>
      </c>
      <c r="W105">
        <v>57.380263999999997</v>
      </c>
      <c r="X105">
        <v>38.253509000000001</v>
      </c>
      <c r="Y105">
        <v>50</v>
      </c>
      <c r="Z105">
        <v>64.871700000000004</v>
      </c>
      <c r="AA105">
        <v>52.249634999999998</v>
      </c>
      <c r="AB105">
        <v>34.833089999999999</v>
      </c>
      <c r="AC105">
        <v>50</v>
      </c>
      <c r="AD105">
        <v>58.125225</v>
      </c>
      <c r="AE105">
        <v>38.750149999999998</v>
      </c>
      <c r="AF105">
        <v>50</v>
      </c>
      <c r="AG105">
        <v>53.749746000000002</v>
      </c>
      <c r="AH105">
        <v>63.943680000000001</v>
      </c>
      <c r="AI105">
        <v>35.833163999999996</v>
      </c>
      <c r="AJ105">
        <v>50</v>
      </c>
      <c r="AK105">
        <v>12.52</v>
      </c>
      <c r="AL105">
        <v>12.62</v>
      </c>
      <c r="AM105">
        <v>10.19</v>
      </c>
      <c r="AN105">
        <v>0.56851799999999997</v>
      </c>
      <c r="AO105">
        <v>56.851751999999998</v>
      </c>
      <c r="AP105">
        <v>100</v>
      </c>
      <c r="AQ105">
        <v>0.58593399999999995</v>
      </c>
      <c r="AR105">
        <v>58.593384</v>
      </c>
      <c r="AS105">
        <v>100</v>
      </c>
      <c r="AT105">
        <v>0.54959599999999997</v>
      </c>
      <c r="AU105">
        <v>0.59526100000000004</v>
      </c>
      <c r="AV105">
        <v>54.959632999999997</v>
      </c>
      <c r="AW105">
        <v>100</v>
      </c>
      <c r="AX105">
        <v>0.56317600000000001</v>
      </c>
      <c r="AY105">
        <v>0.61810900000000002</v>
      </c>
      <c r="AZ105">
        <v>56.317633999999998</v>
      </c>
      <c r="BA105">
        <v>100</v>
      </c>
      <c r="BB105">
        <v>0.73005399999999998</v>
      </c>
      <c r="BC105">
        <v>36.502701999999999</v>
      </c>
      <c r="BD105">
        <v>50</v>
      </c>
      <c r="BE105">
        <v>0.59723700000000002</v>
      </c>
      <c r="BF105">
        <v>29.861846</v>
      </c>
      <c r="BG105">
        <v>50</v>
      </c>
      <c r="BH105">
        <v>0</v>
      </c>
      <c r="BI105">
        <v>0.99513300000000005</v>
      </c>
      <c r="BJ105">
        <v>0.99419599999999997</v>
      </c>
      <c r="BK105">
        <v>0.99657099999999998</v>
      </c>
      <c r="BL105">
        <v>0.99486200000000002</v>
      </c>
      <c r="BM105">
        <v>0.99375000000000002</v>
      </c>
      <c r="BN105">
        <v>0.99657099999999998</v>
      </c>
      <c r="BO105">
        <v>0.99500599999999995</v>
      </c>
      <c r="BP105">
        <v>0.99356900000000004</v>
      </c>
      <c r="BQ105">
        <v>0.99700999999999995</v>
      </c>
      <c r="BR105">
        <v>0.118738</v>
      </c>
      <c r="BS105">
        <v>36.252429999999997</v>
      </c>
      <c r="BT105">
        <v>50</v>
      </c>
      <c r="BU105">
        <v>0.15660199999999999</v>
      </c>
      <c r="BV105">
        <v>28.679528999999999</v>
      </c>
      <c r="BW105">
        <v>50</v>
      </c>
      <c r="BX105">
        <v>0.87826099999999996</v>
      </c>
      <c r="BY105">
        <v>50</v>
      </c>
      <c r="BZ105">
        <v>50</v>
      </c>
      <c r="CA105">
        <v>0.27632899999999999</v>
      </c>
      <c r="CB105">
        <v>18.421900000000001</v>
      </c>
      <c r="CC105">
        <v>50</v>
      </c>
      <c r="CD105">
        <v>0.88393699999999997</v>
      </c>
      <c r="CE105">
        <v>47.017918000000002</v>
      </c>
      <c r="CF105">
        <v>50</v>
      </c>
      <c r="CG105">
        <v>0.92222199999999999</v>
      </c>
      <c r="CH105">
        <v>98.108746999999994</v>
      </c>
      <c r="CI105">
        <v>100</v>
      </c>
      <c r="CJ105">
        <v>0</v>
      </c>
      <c r="CK105">
        <v>0.91891900000000004</v>
      </c>
      <c r="CL105">
        <v>97.757332000000005</v>
      </c>
      <c r="CM105">
        <v>100</v>
      </c>
      <c r="CN105">
        <v>0.71099999999999997</v>
      </c>
      <c r="CO105">
        <v>94.757282000000004</v>
      </c>
      <c r="CP105">
        <v>100</v>
      </c>
      <c r="CQ105">
        <v>0.51506099999999999</v>
      </c>
      <c r="CR105">
        <v>1.734934</v>
      </c>
      <c r="CS105">
        <v>34.337403999999999</v>
      </c>
      <c r="CT105">
        <v>50</v>
      </c>
      <c r="CU105">
        <v>0.42242200000000002</v>
      </c>
      <c r="CV105">
        <v>35.201828999999996</v>
      </c>
      <c r="CW105">
        <v>50</v>
      </c>
      <c r="CX105">
        <v>0.91891900000000004</v>
      </c>
      <c r="CY105">
        <v>0.94</v>
      </c>
      <c r="CZ105">
        <v>2.1080999999999999E-2</v>
      </c>
      <c r="DA105">
        <v>15.389535</v>
      </c>
      <c r="DB105">
        <v>17.608319000000002</v>
      </c>
      <c r="DC105">
        <v>16.064022999999999</v>
      </c>
      <c r="DD105">
        <v>11.115401</v>
      </c>
      <c r="DE105" t="s">
        <v>125</v>
      </c>
      <c r="DJ105" t="s">
        <v>125</v>
      </c>
      <c r="DK105" t="s">
        <v>125</v>
      </c>
      <c r="DL105" t="s">
        <v>125</v>
      </c>
      <c r="DM105" t="s">
        <v>125</v>
      </c>
      <c r="DN105" t="s">
        <v>125</v>
      </c>
      <c r="DO105" t="s">
        <v>125</v>
      </c>
      <c r="DQ105" t="s">
        <v>126</v>
      </c>
    </row>
    <row r="106" spans="1:121" x14ac:dyDescent="0.15">
      <c r="A106">
        <v>2018</v>
      </c>
      <c r="B106" t="s">
        <v>228</v>
      </c>
      <c r="C106" t="str">
        <f>"0240011"</f>
        <v>0240011</v>
      </c>
      <c r="D106" t="s">
        <v>123</v>
      </c>
      <c r="E106" t="str">
        <f t="shared" si="0"/>
        <v>0000000</v>
      </c>
      <c r="F106" t="s">
        <v>123</v>
      </c>
      <c r="G106" t="s">
        <v>123</v>
      </c>
      <c r="H106" t="s">
        <v>123</v>
      </c>
      <c r="J106" t="s">
        <v>124</v>
      </c>
      <c r="K106">
        <v>537.60153200000002</v>
      </c>
      <c r="L106">
        <v>750</v>
      </c>
      <c r="M106">
        <v>71.680204000000003</v>
      </c>
      <c r="N106" t="s">
        <v>125</v>
      </c>
      <c r="O106">
        <v>0</v>
      </c>
      <c r="P106">
        <v>71.298016000000004</v>
      </c>
      <c r="Q106">
        <v>47.532010999999997</v>
      </c>
      <c r="R106">
        <v>50</v>
      </c>
      <c r="S106">
        <v>67.489313999999993</v>
      </c>
      <c r="T106">
        <v>75</v>
      </c>
      <c r="U106">
        <v>44.992876000000003</v>
      </c>
      <c r="V106">
        <v>50</v>
      </c>
      <c r="W106">
        <v>71.386767000000006</v>
      </c>
      <c r="X106">
        <v>47.591177999999999</v>
      </c>
      <c r="Y106">
        <v>50</v>
      </c>
      <c r="Z106">
        <v>73.674267999999998</v>
      </c>
      <c r="AA106">
        <v>69.418453</v>
      </c>
      <c r="AB106">
        <v>46.278968999999996</v>
      </c>
      <c r="AC106">
        <v>50</v>
      </c>
      <c r="AD106" t="s">
        <v>125</v>
      </c>
      <c r="AE106" t="s">
        <v>125</v>
      </c>
      <c r="AF106" t="s">
        <v>125</v>
      </c>
      <c r="AG106" t="s">
        <v>125</v>
      </c>
      <c r="AH106" t="s">
        <v>125</v>
      </c>
      <c r="AI106" t="s">
        <v>125</v>
      </c>
      <c r="AJ106" t="s">
        <v>125</v>
      </c>
      <c r="AK106">
        <v>7.51</v>
      </c>
      <c r="AL106">
        <v>4.25</v>
      </c>
      <c r="AM106" t="s">
        <v>125</v>
      </c>
      <c r="AN106">
        <v>0.48719699999999999</v>
      </c>
      <c r="AO106">
        <v>48.719709999999999</v>
      </c>
      <c r="AP106">
        <v>100</v>
      </c>
      <c r="AQ106">
        <v>0.70739200000000002</v>
      </c>
      <c r="AR106">
        <v>70.739211999999995</v>
      </c>
      <c r="AS106">
        <v>100</v>
      </c>
      <c r="AT106">
        <v>0.484344</v>
      </c>
      <c r="AU106">
        <v>0.49052600000000002</v>
      </c>
      <c r="AV106">
        <v>48.434396</v>
      </c>
      <c r="AW106">
        <v>100</v>
      </c>
      <c r="AX106">
        <v>0.73013399999999995</v>
      </c>
      <c r="AY106">
        <v>0.68180799999999997</v>
      </c>
      <c r="AZ106">
        <v>73.013356999999999</v>
      </c>
      <c r="BA106">
        <v>100</v>
      </c>
      <c r="BB106" t="s">
        <v>125</v>
      </c>
      <c r="BC106" t="s">
        <v>125</v>
      </c>
      <c r="BD106" t="s">
        <v>125</v>
      </c>
      <c r="BE106" t="s">
        <v>125</v>
      </c>
      <c r="BF106" t="s">
        <v>125</v>
      </c>
      <c r="BG106" t="s">
        <v>125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 t="s">
        <v>125</v>
      </c>
      <c r="BP106" t="s">
        <v>125</v>
      </c>
      <c r="BQ106" t="s">
        <v>125</v>
      </c>
      <c r="BR106">
        <v>3.1496000000000003E-2</v>
      </c>
      <c r="BS106">
        <v>50</v>
      </c>
      <c r="BT106">
        <v>50</v>
      </c>
      <c r="BU106">
        <v>5.7142999999999999E-2</v>
      </c>
      <c r="BV106">
        <v>48.571429000000002</v>
      </c>
      <c r="BW106">
        <v>50</v>
      </c>
      <c r="BX106" t="s">
        <v>125</v>
      </c>
      <c r="BY106" t="s">
        <v>125</v>
      </c>
      <c r="BZ106" t="s">
        <v>125</v>
      </c>
      <c r="CA106" t="s">
        <v>125</v>
      </c>
      <c r="CB106" t="s">
        <v>125</v>
      </c>
      <c r="CC106" t="s">
        <v>125</v>
      </c>
      <c r="CD106" t="s">
        <v>125</v>
      </c>
      <c r="CE106" t="s">
        <v>125</v>
      </c>
      <c r="CF106" t="s">
        <v>125</v>
      </c>
      <c r="CG106" t="s">
        <v>125</v>
      </c>
      <c r="CH106" t="s">
        <v>125</v>
      </c>
      <c r="CI106" t="s">
        <v>125</v>
      </c>
      <c r="CJ106" t="s">
        <v>125</v>
      </c>
      <c r="CK106" t="s">
        <v>125</v>
      </c>
      <c r="CL106" t="s">
        <v>125</v>
      </c>
      <c r="CM106" t="s">
        <v>125</v>
      </c>
      <c r="CN106" t="s">
        <v>125</v>
      </c>
      <c r="CO106" t="s">
        <v>125</v>
      </c>
      <c r="CP106" t="s">
        <v>125</v>
      </c>
      <c r="CQ106">
        <v>0.703704</v>
      </c>
      <c r="CR106">
        <v>0.61363599999999996</v>
      </c>
      <c r="CS106">
        <v>11.728395000000001</v>
      </c>
      <c r="CT106">
        <v>50</v>
      </c>
      <c r="CU106" t="s">
        <v>125</v>
      </c>
      <c r="CV106" t="s">
        <v>125</v>
      </c>
      <c r="CW106" t="s">
        <v>125</v>
      </c>
      <c r="CX106" t="s">
        <v>125</v>
      </c>
      <c r="CY106" t="s">
        <v>125</v>
      </c>
      <c r="CZ106" t="s">
        <v>125</v>
      </c>
      <c r="DA106">
        <v>15.389535</v>
      </c>
      <c r="DB106">
        <v>17.608319000000002</v>
      </c>
      <c r="DC106">
        <v>16.064022999999999</v>
      </c>
      <c r="DD106" t="s">
        <v>125</v>
      </c>
      <c r="DE106" t="s">
        <v>125</v>
      </c>
      <c r="DJ106" t="s">
        <v>125</v>
      </c>
      <c r="DK106" t="s">
        <v>125</v>
      </c>
      <c r="DL106" t="s">
        <v>125</v>
      </c>
      <c r="DM106" t="s">
        <v>125</v>
      </c>
      <c r="DN106" t="s">
        <v>125</v>
      </c>
      <c r="DO106" t="s">
        <v>125</v>
      </c>
      <c r="DQ106" t="s">
        <v>126</v>
      </c>
    </row>
    <row r="107" spans="1:121" x14ac:dyDescent="0.15">
      <c r="A107">
        <v>2018</v>
      </c>
      <c r="B107" t="s">
        <v>229</v>
      </c>
      <c r="C107" t="str">
        <f>"0320011"</f>
        <v>0320011</v>
      </c>
      <c r="D107" t="s">
        <v>123</v>
      </c>
      <c r="E107" t="str">
        <f t="shared" si="0"/>
        <v>0000000</v>
      </c>
      <c r="F107" t="s">
        <v>123</v>
      </c>
      <c r="G107" t="s">
        <v>123</v>
      </c>
      <c r="H107" t="s">
        <v>123</v>
      </c>
      <c r="J107" t="s">
        <v>124</v>
      </c>
      <c r="K107">
        <v>1126.358851</v>
      </c>
      <c r="L107">
        <v>1350</v>
      </c>
      <c r="M107">
        <v>83.433988999999997</v>
      </c>
      <c r="N107" t="s">
        <v>125</v>
      </c>
      <c r="O107">
        <v>0</v>
      </c>
      <c r="P107">
        <v>77.523993000000004</v>
      </c>
      <c r="Q107">
        <v>50</v>
      </c>
      <c r="R107">
        <v>50</v>
      </c>
      <c r="S107">
        <v>67.785807000000005</v>
      </c>
      <c r="T107">
        <v>75</v>
      </c>
      <c r="U107">
        <v>45.190537999999997</v>
      </c>
      <c r="V107">
        <v>50</v>
      </c>
      <c r="W107">
        <v>71.630712000000003</v>
      </c>
      <c r="X107">
        <v>47.753807999999999</v>
      </c>
      <c r="Y107">
        <v>50</v>
      </c>
      <c r="Z107">
        <v>75</v>
      </c>
      <c r="AA107">
        <v>60.709905999999997</v>
      </c>
      <c r="AB107">
        <v>40.473269999999999</v>
      </c>
      <c r="AC107">
        <v>50</v>
      </c>
      <c r="AD107">
        <v>71.316204999999997</v>
      </c>
      <c r="AE107">
        <v>47.544136999999999</v>
      </c>
      <c r="AF107">
        <v>50</v>
      </c>
      <c r="AG107">
        <v>63.843235</v>
      </c>
      <c r="AH107">
        <v>74.118568999999994</v>
      </c>
      <c r="AI107">
        <v>42.562156000000002</v>
      </c>
      <c r="AJ107">
        <v>50</v>
      </c>
      <c r="AK107">
        <v>7.21</v>
      </c>
      <c r="AL107">
        <v>14.29</v>
      </c>
      <c r="AM107">
        <v>10.27</v>
      </c>
      <c r="AN107">
        <v>0.72113899999999997</v>
      </c>
      <c r="AO107">
        <v>72.113872999999998</v>
      </c>
      <c r="AP107">
        <v>100</v>
      </c>
      <c r="AQ107">
        <v>0.71229500000000001</v>
      </c>
      <c r="AR107">
        <v>71.229526000000007</v>
      </c>
      <c r="AS107">
        <v>100</v>
      </c>
      <c r="AT107">
        <v>0.65322000000000002</v>
      </c>
      <c r="AU107">
        <v>0.75006099999999998</v>
      </c>
      <c r="AV107">
        <v>65.321984999999998</v>
      </c>
      <c r="AW107">
        <v>100</v>
      </c>
      <c r="AX107">
        <v>0.63026099999999996</v>
      </c>
      <c r="AY107">
        <v>0.74739599999999995</v>
      </c>
      <c r="AZ107">
        <v>63.026147999999999</v>
      </c>
      <c r="BA107">
        <v>100</v>
      </c>
      <c r="BB107" t="s">
        <v>125</v>
      </c>
      <c r="BC107" t="s">
        <v>125</v>
      </c>
      <c r="BD107" t="s">
        <v>125</v>
      </c>
      <c r="BE107" t="s">
        <v>125</v>
      </c>
      <c r="BF107" t="s">
        <v>125</v>
      </c>
      <c r="BG107" t="s">
        <v>125</v>
      </c>
      <c r="BH107">
        <v>0</v>
      </c>
      <c r="BI107">
        <v>0.99071900000000002</v>
      </c>
      <c r="BJ107">
        <v>0.97769499999999998</v>
      </c>
      <c r="BK107">
        <v>0.99662700000000004</v>
      </c>
      <c r="BL107">
        <v>0.98955899999999997</v>
      </c>
      <c r="BM107">
        <v>0.97397800000000001</v>
      </c>
      <c r="BN107">
        <v>0.99662700000000004</v>
      </c>
      <c r="BO107">
        <v>0.98947399999999996</v>
      </c>
      <c r="BP107">
        <v>1</v>
      </c>
      <c r="BQ107">
        <v>0.98555999999999999</v>
      </c>
      <c r="BR107">
        <v>7.8355999999999995E-2</v>
      </c>
      <c r="BS107">
        <v>44.328837999999998</v>
      </c>
      <c r="BT107">
        <v>50</v>
      </c>
      <c r="BU107">
        <v>0.16179299999999999</v>
      </c>
      <c r="BV107">
        <v>27.641325999999999</v>
      </c>
      <c r="BW107">
        <v>50</v>
      </c>
      <c r="BX107">
        <v>0.91063799999999995</v>
      </c>
      <c r="BY107">
        <v>50</v>
      </c>
      <c r="BZ107">
        <v>50</v>
      </c>
      <c r="CA107">
        <v>0.57021299999999997</v>
      </c>
      <c r="CB107">
        <v>38.014184</v>
      </c>
      <c r="CC107">
        <v>50</v>
      </c>
      <c r="CD107">
        <v>0.87179499999999999</v>
      </c>
      <c r="CE107">
        <v>46.372067999999999</v>
      </c>
      <c r="CF107">
        <v>50</v>
      </c>
      <c r="CG107">
        <v>0.94308899999999996</v>
      </c>
      <c r="CH107">
        <v>100</v>
      </c>
      <c r="CI107">
        <v>100</v>
      </c>
      <c r="CJ107">
        <v>0</v>
      </c>
      <c r="CK107">
        <v>0.92857100000000004</v>
      </c>
      <c r="CL107">
        <v>98.784194999999997</v>
      </c>
      <c r="CM107">
        <v>100</v>
      </c>
      <c r="CN107">
        <v>0.69699999999999995</v>
      </c>
      <c r="CO107">
        <v>92.997198999999995</v>
      </c>
      <c r="CP107">
        <v>100</v>
      </c>
      <c r="CQ107">
        <v>0.60130700000000004</v>
      </c>
      <c r="CR107">
        <v>0.95625000000000004</v>
      </c>
      <c r="CS107">
        <v>40.087145999999997</v>
      </c>
      <c r="CT107">
        <v>50</v>
      </c>
      <c r="CU107">
        <v>0.51502099999999995</v>
      </c>
      <c r="CV107">
        <v>42.918455000000002</v>
      </c>
      <c r="CW107">
        <v>50</v>
      </c>
      <c r="CX107">
        <v>0.92857100000000004</v>
      </c>
      <c r="CY107">
        <v>0.94</v>
      </c>
      <c r="CZ107">
        <v>1.1429E-2</v>
      </c>
      <c r="DA107">
        <v>15.389535</v>
      </c>
      <c r="DB107">
        <v>17.608319000000002</v>
      </c>
      <c r="DC107">
        <v>16.064022999999999</v>
      </c>
      <c r="DD107">
        <v>11.115401</v>
      </c>
      <c r="DE107" t="s">
        <v>125</v>
      </c>
      <c r="DJ107" t="s">
        <v>125</v>
      </c>
      <c r="DK107" t="s">
        <v>125</v>
      </c>
      <c r="DL107" t="s">
        <v>125</v>
      </c>
      <c r="DM107" t="s">
        <v>125</v>
      </c>
      <c r="DN107" t="s">
        <v>125</v>
      </c>
      <c r="DO107" t="s">
        <v>125</v>
      </c>
      <c r="DQ107" t="s">
        <v>126</v>
      </c>
    </row>
    <row r="108" spans="1:121" x14ac:dyDescent="0.15">
      <c r="A108">
        <v>2018</v>
      </c>
      <c r="B108" t="s">
        <v>230</v>
      </c>
      <c r="C108" t="str">
        <f>"0920011"</f>
        <v>0920011</v>
      </c>
      <c r="D108" t="s">
        <v>123</v>
      </c>
      <c r="E108" t="str">
        <f t="shared" si="0"/>
        <v>0000000</v>
      </c>
      <c r="F108" t="s">
        <v>123</v>
      </c>
      <c r="G108" t="s">
        <v>123</v>
      </c>
      <c r="H108" t="s">
        <v>123</v>
      </c>
      <c r="J108" t="s">
        <v>124</v>
      </c>
      <c r="K108">
        <v>573.071147</v>
      </c>
      <c r="L108">
        <v>800</v>
      </c>
      <c r="M108">
        <v>71.633893</v>
      </c>
      <c r="N108" t="s">
        <v>125</v>
      </c>
      <c r="O108">
        <v>0</v>
      </c>
      <c r="P108">
        <v>74.827190000000002</v>
      </c>
      <c r="Q108">
        <v>49.884793000000002</v>
      </c>
      <c r="R108">
        <v>50</v>
      </c>
      <c r="S108">
        <v>63.730414000000003</v>
      </c>
      <c r="T108">
        <v>75</v>
      </c>
      <c r="U108">
        <v>42.486941999999999</v>
      </c>
      <c r="V108">
        <v>50</v>
      </c>
      <c r="W108">
        <v>68.617992000000001</v>
      </c>
      <c r="X108">
        <v>45.745328000000001</v>
      </c>
      <c r="Y108">
        <v>50</v>
      </c>
      <c r="Z108">
        <v>72.427251999999996</v>
      </c>
      <c r="AA108">
        <v>57.536509000000002</v>
      </c>
      <c r="AB108">
        <v>38.357672999999998</v>
      </c>
      <c r="AC108">
        <v>50</v>
      </c>
      <c r="AD108">
        <v>64.531126</v>
      </c>
      <c r="AE108">
        <v>43.020750999999997</v>
      </c>
      <c r="AF108">
        <v>50</v>
      </c>
      <c r="AG108" t="s">
        <v>125</v>
      </c>
      <c r="AH108">
        <v>67.237808999999999</v>
      </c>
      <c r="AI108" t="s">
        <v>125</v>
      </c>
      <c r="AJ108" t="s">
        <v>125</v>
      </c>
      <c r="AK108">
        <v>11.26</v>
      </c>
      <c r="AL108">
        <v>14.89</v>
      </c>
      <c r="AM108" t="s">
        <v>125</v>
      </c>
      <c r="AN108">
        <v>0.63203600000000004</v>
      </c>
      <c r="AO108">
        <v>63.203620999999998</v>
      </c>
      <c r="AP108">
        <v>100</v>
      </c>
      <c r="AQ108">
        <v>0.62339900000000004</v>
      </c>
      <c r="AR108">
        <v>62.339942999999998</v>
      </c>
      <c r="AS108">
        <v>100</v>
      </c>
      <c r="AT108">
        <v>0.502718</v>
      </c>
      <c r="AU108">
        <v>0.67360299999999995</v>
      </c>
      <c r="AV108">
        <v>50.271818000000003</v>
      </c>
      <c r="AW108">
        <v>100</v>
      </c>
      <c r="AX108">
        <v>0.59947899999999998</v>
      </c>
      <c r="AY108">
        <v>0.63114300000000001</v>
      </c>
      <c r="AZ108">
        <v>59.947902999999997</v>
      </c>
      <c r="BA108">
        <v>100</v>
      </c>
      <c r="BB108" t="s">
        <v>125</v>
      </c>
      <c r="BC108" t="s">
        <v>125</v>
      </c>
      <c r="BD108" t="s">
        <v>125</v>
      </c>
      <c r="BE108" t="s">
        <v>125</v>
      </c>
      <c r="BF108" t="s">
        <v>125</v>
      </c>
      <c r="BG108" t="s">
        <v>125</v>
      </c>
      <c r="BH108">
        <v>0</v>
      </c>
      <c r="BI108">
        <v>0.99239500000000003</v>
      </c>
      <c r="BJ108">
        <v>0.985294</v>
      </c>
      <c r="BK108">
        <v>0.99487199999999998</v>
      </c>
      <c r="BL108">
        <v>0.99239500000000003</v>
      </c>
      <c r="BM108">
        <v>0.985294</v>
      </c>
      <c r="BN108">
        <v>0.99487199999999998</v>
      </c>
      <c r="BO108">
        <v>1</v>
      </c>
      <c r="BP108" t="s">
        <v>125</v>
      </c>
      <c r="BQ108">
        <v>1</v>
      </c>
      <c r="BR108">
        <v>6.5115999999999993E-2</v>
      </c>
      <c r="BS108">
        <v>46.976743999999997</v>
      </c>
      <c r="BT108">
        <v>50</v>
      </c>
      <c r="BU108">
        <v>0.10743800000000001</v>
      </c>
      <c r="BV108">
        <v>38.512397</v>
      </c>
      <c r="BW108">
        <v>50</v>
      </c>
      <c r="BX108" t="s">
        <v>125</v>
      </c>
      <c r="BY108" t="s">
        <v>125</v>
      </c>
      <c r="BZ108" t="s">
        <v>125</v>
      </c>
      <c r="CA108" t="s">
        <v>125</v>
      </c>
      <c r="CB108" t="s">
        <v>125</v>
      </c>
      <c r="CC108" t="s">
        <v>125</v>
      </c>
      <c r="CD108" t="s">
        <v>125</v>
      </c>
      <c r="CE108" t="s">
        <v>125</v>
      </c>
      <c r="CF108" t="s">
        <v>125</v>
      </c>
      <c r="CG108" t="s">
        <v>125</v>
      </c>
      <c r="CH108" t="s">
        <v>125</v>
      </c>
      <c r="CI108" t="s">
        <v>125</v>
      </c>
      <c r="CJ108" t="s">
        <v>125</v>
      </c>
      <c r="CK108" t="s">
        <v>125</v>
      </c>
      <c r="CL108" t="s">
        <v>125</v>
      </c>
      <c r="CM108" t="s">
        <v>125</v>
      </c>
      <c r="CN108" t="s">
        <v>125</v>
      </c>
      <c r="CO108" t="s">
        <v>125</v>
      </c>
      <c r="CP108" t="s">
        <v>125</v>
      </c>
      <c r="CQ108">
        <v>0.484848</v>
      </c>
      <c r="CR108">
        <v>0.99248099999999995</v>
      </c>
      <c r="CS108">
        <v>32.323231999999997</v>
      </c>
      <c r="CT108">
        <v>50</v>
      </c>
      <c r="CU108" t="s">
        <v>125</v>
      </c>
      <c r="CV108" t="s">
        <v>125</v>
      </c>
      <c r="CW108" t="s">
        <v>125</v>
      </c>
      <c r="CX108" t="s">
        <v>125</v>
      </c>
      <c r="CY108" t="s">
        <v>125</v>
      </c>
      <c r="CZ108" t="s">
        <v>125</v>
      </c>
      <c r="DA108">
        <v>15.389535</v>
      </c>
      <c r="DB108">
        <v>17.608319000000002</v>
      </c>
      <c r="DC108">
        <v>16.064022999999999</v>
      </c>
      <c r="DD108" t="s">
        <v>125</v>
      </c>
      <c r="DE108" t="s">
        <v>125</v>
      </c>
      <c r="DJ108" t="s">
        <v>125</v>
      </c>
      <c r="DK108" t="s">
        <v>125</v>
      </c>
      <c r="DL108" t="s">
        <v>125</v>
      </c>
      <c r="DM108" t="s">
        <v>125</v>
      </c>
      <c r="DN108" t="s">
        <v>125</v>
      </c>
      <c r="DO108" t="s">
        <v>125</v>
      </c>
      <c r="DQ108" t="s">
        <v>126</v>
      </c>
    </row>
    <row r="109" spans="1:121" x14ac:dyDescent="0.15">
      <c r="A109">
        <v>2018</v>
      </c>
      <c r="B109" t="s">
        <v>231</v>
      </c>
      <c r="C109" t="str">
        <f>"1520011"</f>
        <v>1520011</v>
      </c>
      <c r="D109" t="s">
        <v>123</v>
      </c>
      <c r="E109" t="str">
        <f t="shared" si="0"/>
        <v>0000000</v>
      </c>
      <c r="F109" t="s">
        <v>123</v>
      </c>
      <c r="G109" t="s">
        <v>123</v>
      </c>
      <c r="H109" t="s">
        <v>123</v>
      </c>
      <c r="J109" t="s">
        <v>124</v>
      </c>
      <c r="K109">
        <v>1183.1414239999999</v>
      </c>
      <c r="L109">
        <v>1450</v>
      </c>
      <c r="M109">
        <v>81.595960000000005</v>
      </c>
      <c r="N109" t="s">
        <v>125</v>
      </c>
      <c r="O109">
        <v>0</v>
      </c>
      <c r="P109">
        <v>73.143944000000005</v>
      </c>
      <c r="Q109">
        <v>48.762630000000001</v>
      </c>
      <c r="R109">
        <v>50</v>
      </c>
      <c r="S109">
        <v>63.177590000000002</v>
      </c>
      <c r="T109">
        <v>75</v>
      </c>
      <c r="U109">
        <v>42.118394000000002</v>
      </c>
      <c r="V109">
        <v>50</v>
      </c>
      <c r="W109">
        <v>70.167531999999994</v>
      </c>
      <c r="X109">
        <v>46.778354999999998</v>
      </c>
      <c r="Y109">
        <v>50</v>
      </c>
      <c r="Z109">
        <v>75</v>
      </c>
      <c r="AA109">
        <v>59.234780999999998</v>
      </c>
      <c r="AB109">
        <v>39.489854000000001</v>
      </c>
      <c r="AC109">
        <v>50</v>
      </c>
      <c r="AD109">
        <v>67.622710999999995</v>
      </c>
      <c r="AE109">
        <v>45.081806999999998</v>
      </c>
      <c r="AF109">
        <v>50</v>
      </c>
      <c r="AG109">
        <v>58.187477999999999</v>
      </c>
      <c r="AH109">
        <v>73.464799999999997</v>
      </c>
      <c r="AI109">
        <v>38.791651999999999</v>
      </c>
      <c r="AJ109">
        <v>50</v>
      </c>
      <c r="AK109">
        <v>11.82</v>
      </c>
      <c r="AL109">
        <v>15.76</v>
      </c>
      <c r="AM109">
        <v>15.27</v>
      </c>
      <c r="AN109">
        <v>0.64295800000000003</v>
      </c>
      <c r="AO109">
        <v>64.295794000000001</v>
      </c>
      <c r="AP109">
        <v>100</v>
      </c>
      <c r="AQ109">
        <v>0.74843599999999999</v>
      </c>
      <c r="AR109">
        <v>74.843609000000001</v>
      </c>
      <c r="AS109">
        <v>100</v>
      </c>
      <c r="AT109">
        <v>0.57889900000000005</v>
      </c>
      <c r="AU109">
        <v>0.68435299999999999</v>
      </c>
      <c r="AV109">
        <v>57.889915000000002</v>
      </c>
      <c r="AW109">
        <v>100</v>
      </c>
      <c r="AX109">
        <v>0.73085800000000001</v>
      </c>
      <c r="AY109">
        <v>0.759795</v>
      </c>
      <c r="AZ109">
        <v>73.085830000000001</v>
      </c>
      <c r="BA109">
        <v>100</v>
      </c>
      <c r="BB109">
        <v>0.64177600000000001</v>
      </c>
      <c r="BC109">
        <v>32.088777</v>
      </c>
      <c r="BD109">
        <v>50</v>
      </c>
      <c r="BE109">
        <v>0.54503000000000001</v>
      </c>
      <c r="BF109">
        <v>27.251487000000001</v>
      </c>
      <c r="BG109">
        <v>50</v>
      </c>
      <c r="BH109">
        <v>0</v>
      </c>
      <c r="BI109">
        <v>0.99478</v>
      </c>
      <c r="BJ109">
        <v>0.99063699999999999</v>
      </c>
      <c r="BK109">
        <v>0.99752200000000002</v>
      </c>
      <c r="BL109">
        <v>0.99403399999999997</v>
      </c>
      <c r="BM109">
        <v>0.98876399999999998</v>
      </c>
      <c r="BN109">
        <v>0.99752200000000002</v>
      </c>
      <c r="BO109">
        <v>0.98677700000000002</v>
      </c>
      <c r="BP109">
        <v>0.97071099999999999</v>
      </c>
      <c r="BQ109">
        <v>0.99726800000000004</v>
      </c>
      <c r="BR109">
        <v>6.1124999999999999E-2</v>
      </c>
      <c r="BS109">
        <v>47.775061000000001</v>
      </c>
      <c r="BT109">
        <v>50</v>
      </c>
      <c r="BU109">
        <v>0.11351899999999999</v>
      </c>
      <c r="BV109">
        <v>37.296182000000002</v>
      </c>
      <c r="BW109">
        <v>50</v>
      </c>
      <c r="BX109">
        <v>0.89361699999999999</v>
      </c>
      <c r="BY109">
        <v>50</v>
      </c>
      <c r="BZ109">
        <v>50</v>
      </c>
      <c r="CA109">
        <v>0.48226999999999998</v>
      </c>
      <c r="CB109">
        <v>32.151299999999999</v>
      </c>
      <c r="CC109">
        <v>50</v>
      </c>
      <c r="CD109">
        <v>0.93674000000000002</v>
      </c>
      <c r="CE109">
        <v>49.826577999999998</v>
      </c>
      <c r="CF109">
        <v>50</v>
      </c>
      <c r="CG109">
        <v>0.913462</v>
      </c>
      <c r="CH109">
        <v>97.176759000000004</v>
      </c>
      <c r="CI109">
        <v>100</v>
      </c>
      <c r="CJ109">
        <v>0</v>
      </c>
      <c r="CK109">
        <v>0.921875</v>
      </c>
      <c r="CL109">
        <v>98.071809000000002</v>
      </c>
      <c r="CM109">
        <v>100</v>
      </c>
      <c r="CN109">
        <v>0.77700000000000002</v>
      </c>
      <c r="CO109">
        <v>100</v>
      </c>
      <c r="CP109">
        <v>100</v>
      </c>
      <c r="CQ109">
        <v>0.61251699999999998</v>
      </c>
      <c r="CR109">
        <v>0.93992500000000001</v>
      </c>
      <c r="CS109">
        <v>40.834443</v>
      </c>
      <c r="CT109">
        <v>50</v>
      </c>
      <c r="CU109">
        <v>0.47437400000000002</v>
      </c>
      <c r="CV109">
        <v>39.531188</v>
      </c>
      <c r="CW109">
        <v>50</v>
      </c>
      <c r="CX109">
        <v>0.921875</v>
      </c>
      <c r="CY109">
        <v>0.94</v>
      </c>
      <c r="CZ109">
        <v>1.8124999999999999E-2</v>
      </c>
      <c r="DA109">
        <v>15.389535</v>
      </c>
      <c r="DB109">
        <v>17.608319000000002</v>
      </c>
      <c r="DC109">
        <v>16.064022999999999</v>
      </c>
      <c r="DD109">
        <v>11.115401</v>
      </c>
      <c r="DE109" t="s">
        <v>125</v>
      </c>
      <c r="DJ109" t="s">
        <v>125</v>
      </c>
      <c r="DK109" t="s">
        <v>125</v>
      </c>
      <c r="DL109" t="s">
        <v>125</v>
      </c>
      <c r="DM109" t="s">
        <v>125</v>
      </c>
      <c r="DN109" t="s">
        <v>125</v>
      </c>
      <c r="DO109" t="s">
        <v>125</v>
      </c>
      <c r="DQ109" t="s">
        <v>126</v>
      </c>
    </row>
    <row r="110" spans="1:121" x14ac:dyDescent="0.15">
      <c r="A110">
        <v>2018</v>
      </c>
      <c r="B110" t="s">
        <v>232</v>
      </c>
      <c r="C110" t="str">
        <f>"0010011"</f>
        <v>0010011</v>
      </c>
      <c r="D110" t="s">
        <v>123</v>
      </c>
      <c r="E110" t="str">
        <f t="shared" si="0"/>
        <v>0000000</v>
      </c>
      <c r="F110" t="s">
        <v>123</v>
      </c>
      <c r="G110" t="s">
        <v>123</v>
      </c>
      <c r="H110" t="s">
        <v>123</v>
      </c>
      <c r="J110" t="s">
        <v>124</v>
      </c>
      <c r="K110">
        <v>547.29150100000004</v>
      </c>
      <c r="L110">
        <v>600</v>
      </c>
      <c r="M110">
        <v>91.215249999999997</v>
      </c>
      <c r="N110" t="s">
        <v>125</v>
      </c>
      <c r="O110">
        <v>0</v>
      </c>
      <c r="P110">
        <v>80.988783999999995</v>
      </c>
      <c r="Q110">
        <v>50</v>
      </c>
      <c r="R110">
        <v>50</v>
      </c>
      <c r="S110">
        <v>75.642657</v>
      </c>
      <c r="T110">
        <v>75</v>
      </c>
      <c r="U110">
        <v>50</v>
      </c>
      <c r="V110">
        <v>50</v>
      </c>
      <c r="W110">
        <v>76.521275000000003</v>
      </c>
      <c r="X110">
        <v>50</v>
      </c>
      <c r="Y110">
        <v>50</v>
      </c>
      <c r="Z110">
        <v>75</v>
      </c>
      <c r="AA110">
        <v>76.488281000000001</v>
      </c>
      <c r="AB110">
        <v>50</v>
      </c>
      <c r="AC110">
        <v>50</v>
      </c>
      <c r="AD110">
        <v>79.152361999999997</v>
      </c>
      <c r="AE110">
        <v>50</v>
      </c>
      <c r="AF110">
        <v>50</v>
      </c>
      <c r="AG110" t="s">
        <v>125</v>
      </c>
      <c r="AH110" t="s">
        <v>125</v>
      </c>
      <c r="AI110" t="s">
        <v>125</v>
      </c>
      <c r="AJ110" t="s">
        <v>125</v>
      </c>
      <c r="AK110">
        <v>-0.64</v>
      </c>
      <c r="AL110">
        <v>-1.48</v>
      </c>
      <c r="AM110" t="s">
        <v>125</v>
      </c>
      <c r="AN110">
        <v>0.74586699999999995</v>
      </c>
      <c r="AO110">
        <v>74.586729000000005</v>
      </c>
      <c r="AP110">
        <v>100</v>
      </c>
      <c r="AQ110">
        <v>0.73725200000000002</v>
      </c>
      <c r="AR110">
        <v>73.725178999999997</v>
      </c>
      <c r="AS110">
        <v>100</v>
      </c>
      <c r="AT110" t="s">
        <v>125</v>
      </c>
      <c r="AU110">
        <v>0.79736200000000002</v>
      </c>
      <c r="AV110" t="s">
        <v>125</v>
      </c>
      <c r="AW110" t="s">
        <v>125</v>
      </c>
      <c r="AX110" t="s">
        <v>125</v>
      </c>
      <c r="AY110">
        <v>0.74237399999999998</v>
      </c>
      <c r="AZ110" t="s">
        <v>125</v>
      </c>
      <c r="BA110" t="s">
        <v>125</v>
      </c>
      <c r="BB110" t="s">
        <v>125</v>
      </c>
      <c r="BC110" t="s">
        <v>125</v>
      </c>
      <c r="BD110" t="s">
        <v>125</v>
      </c>
      <c r="BE110" t="s">
        <v>125</v>
      </c>
      <c r="BF110" t="s">
        <v>125</v>
      </c>
      <c r="BG110" t="s">
        <v>125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 t="s">
        <v>125</v>
      </c>
      <c r="BQ110" t="s">
        <v>125</v>
      </c>
      <c r="BR110">
        <v>1.2739E-2</v>
      </c>
      <c r="BS110">
        <v>50</v>
      </c>
      <c r="BT110">
        <v>50</v>
      </c>
      <c r="BU110">
        <v>2.3810000000000001E-2</v>
      </c>
      <c r="BV110">
        <v>50</v>
      </c>
      <c r="BW110">
        <v>50</v>
      </c>
      <c r="BX110" t="s">
        <v>125</v>
      </c>
      <c r="BY110" t="s">
        <v>125</v>
      </c>
      <c r="BZ110" t="s">
        <v>125</v>
      </c>
      <c r="CA110" t="s">
        <v>125</v>
      </c>
      <c r="CB110" t="s">
        <v>125</v>
      </c>
      <c r="CC110" t="s">
        <v>125</v>
      </c>
      <c r="CD110" t="s">
        <v>125</v>
      </c>
      <c r="CE110" t="s">
        <v>125</v>
      </c>
      <c r="CF110" t="s">
        <v>125</v>
      </c>
      <c r="CG110" t="s">
        <v>125</v>
      </c>
      <c r="CH110" t="s">
        <v>125</v>
      </c>
      <c r="CI110" t="s">
        <v>125</v>
      </c>
      <c r="CJ110" t="s">
        <v>125</v>
      </c>
      <c r="CK110" t="s">
        <v>125</v>
      </c>
      <c r="CL110" t="s">
        <v>125</v>
      </c>
      <c r="CM110" t="s">
        <v>125</v>
      </c>
      <c r="CN110" t="s">
        <v>125</v>
      </c>
      <c r="CO110" t="s">
        <v>125</v>
      </c>
      <c r="CP110" t="s">
        <v>125</v>
      </c>
      <c r="CQ110">
        <v>0.73469399999999996</v>
      </c>
      <c r="CR110">
        <v>1</v>
      </c>
      <c r="CS110">
        <v>48.979591999999997</v>
      </c>
      <c r="CT110">
        <v>50</v>
      </c>
      <c r="CU110" t="s">
        <v>125</v>
      </c>
      <c r="CV110" t="s">
        <v>125</v>
      </c>
      <c r="CW110" t="s">
        <v>125</v>
      </c>
      <c r="CX110" t="s">
        <v>125</v>
      </c>
      <c r="CY110" t="s">
        <v>125</v>
      </c>
      <c r="CZ110" t="s">
        <v>125</v>
      </c>
      <c r="DA110">
        <v>15.389535</v>
      </c>
      <c r="DB110">
        <v>17.608319000000002</v>
      </c>
      <c r="DC110">
        <v>16.064022999999999</v>
      </c>
      <c r="DD110" t="s">
        <v>125</v>
      </c>
      <c r="DE110" t="s">
        <v>125</v>
      </c>
      <c r="DJ110" t="s">
        <v>125</v>
      </c>
      <c r="DK110" t="s">
        <v>125</v>
      </c>
      <c r="DL110" t="s">
        <v>125</v>
      </c>
      <c r="DM110" t="s">
        <v>125</v>
      </c>
      <c r="DN110" t="s">
        <v>125</v>
      </c>
      <c r="DO110" t="s">
        <v>125</v>
      </c>
      <c r="DQ110" t="s">
        <v>126</v>
      </c>
    </row>
    <row r="111" spans="1:121" x14ac:dyDescent="0.15">
      <c r="A111">
        <v>2018</v>
      </c>
      <c r="B111" t="s">
        <v>233</v>
      </c>
      <c r="C111" t="str">
        <f>"0020011"</f>
        <v>0020011</v>
      </c>
      <c r="D111" t="s">
        <v>123</v>
      </c>
      <c r="E111" t="str">
        <f t="shared" si="0"/>
        <v>0000000</v>
      </c>
      <c r="F111" t="s">
        <v>123</v>
      </c>
      <c r="G111" t="s">
        <v>123</v>
      </c>
      <c r="H111" t="s">
        <v>123</v>
      </c>
      <c r="J111" t="s">
        <v>124</v>
      </c>
      <c r="K111">
        <v>968.756349</v>
      </c>
      <c r="L111">
        <v>1450</v>
      </c>
      <c r="M111">
        <v>66.810783000000001</v>
      </c>
      <c r="N111" t="s">
        <v>125</v>
      </c>
      <c r="O111">
        <v>0</v>
      </c>
      <c r="P111">
        <v>58.962114</v>
      </c>
      <c r="Q111">
        <v>39.308076</v>
      </c>
      <c r="R111">
        <v>50</v>
      </c>
      <c r="S111">
        <v>55.959670000000003</v>
      </c>
      <c r="T111">
        <v>66.898509000000004</v>
      </c>
      <c r="U111">
        <v>37.306446999999999</v>
      </c>
      <c r="V111">
        <v>50</v>
      </c>
      <c r="W111">
        <v>53.589319000000003</v>
      </c>
      <c r="X111">
        <v>35.726213000000001</v>
      </c>
      <c r="Y111">
        <v>50</v>
      </c>
      <c r="Z111">
        <v>61.481031999999999</v>
      </c>
      <c r="AA111">
        <v>50.592950000000002</v>
      </c>
      <c r="AB111">
        <v>33.728633000000002</v>
      </c>
      <c r="AC111">
        <v>50</v>
      </c>
      <c r="AD111">
        <v>52.935853000000002</v>
      </c>
      <c r="AE111">
        <v>35.290568999999998</v>
      </c>
      <c r="AF111">
        <v>50</v>
      </c>
      <c r="AG111">
        <v>50.183931000000001</v>
      </c>
      <c r="AH111">
        <v>60.317993999999999</v>
      </c>
      <c r="AI111">
        <v>33.455953999999998</v>
      </c>
      <c r="AJ111">
        <v>50</v>
      </c>
      <c r="AK111">
        <v>10.93</v>
      </c>
      <c r="AL111">
        <v>10.88</v>
      </c>
      <c r="AM111">
        <v>10.130000000000001</v>
      </c>
      <c r="AN111">
        <v>0.47556599999999999</v>
      </c>
      <c r="AO111">
        <v>47.556559</v>
      </c>
      <c r="AP111">
        <v>100</v>
      </c>
      <c r="AQ111">
        <v>0.45583899999999999</v>
      </c>
      <c r="AR111">
        <v>45.583899000000002</v>
      </c>
      <c r="AS111">
        <v>100</v>
      </c>
      <c r="AT111">
        <v>0.46063700000000002</v>
      </c>
      <c r="AU111">
        <v>0.51145799999999997</v>
      </c>
      <c r="AV111">
        <v>46.063701999999999</v>
      </c>
      <c r="AW111">
        <v>100</v>
      </c>
      <c r="AX111">
        <v>0.42983500000000002</v>
      </c>
      <c r="AY111">
        <v>0.51824899999999996</v>
      </c>
      <c r="AZ111">
        <v>42.983460999999998</v>
      </c>
      <c r="BA111">
        <v>100</v>
      </c>
      <c r="BB111">
        <v>0.69925899999999996</v>
      </c>
      <c r="BC111">
        <v>34.962932000000002</v>
      </c>
      <c r="BD111">
        <v>50</v>
      </c>
      <c r="BE111">
        <v>0.68170500000000001</v>
      </c>
      <c r="BF111">
        <v>34.085273000000001</v>
      </c>
      <c r="BG111">
        <v>50</v>
      </c>
      <c r="BH111">
        <v>0</v>
      </c>
      <c r="BI111">
        <v>0.99017200000000005</v>
      </c>
      <c r="BJ111">
        <v>0.98883900000000002</v>
      </c>
      <c r="BK111">
        <v>0.99384600000000001</v>
      </c>
      <c r="BL111">
        <v>0.98771500000000001</v>
      </c>
      <c r="BM111">
        <v>0.98549100000000001</v>
      </c>
      <c r="BN111">
        <v>0.99384600000000001</v>
      </c>
      <c r="BO111">
        <v>0.97633099999999995</v>
      </c>
      <c r="BP111">
        <v>0.97587100000000004</v>
      </c>
      <c r="BQ111">
        <v>0.97761200000000004</v>
      </c>
      <c r="BR111">
        <v>0.14467099999999999</v>
      </c>
      <c r="BS111">
        <v>31.065760000000001</v>
      </c>
      <c r="BT111">
        <v>50</v>
      </c>
      <c r="BU111">
        <v>0.17278499999999999</v>
      </c>
      <c r="BV111">
        <v>25.443038000000001</v>
      </c>
      <c r="BW111">
        <v>50</v>
      </c>
      <c r="BX111">
        <v>0.740506</v>
      </c>
      <c r="BY111">
        <v>49.367089</v>
      </c>
      <c r="BZ111">
        <v>50</v>
      </c>
      <c r="CA111">
        <v>0.22468399999999999</v>
      </c>
      <c r="CB111">
        <v>14.978903000000001</v>
      </c>
      <c r="CC111">
        <v>50</v>
      </c>
      <c r="CD111">
        <v>0.90807800000000005</v>
      </c>
      <c r="CE111">
        <v>48.302021000000003</v>
      </c>
      <c r="CF111">
        <v>50</v>
      </c>
      <c r="CG111">
        <v>0.85798799999999997</v>
      </c>
      <c r="CH111">
        <v>91.275336999999993</v>
      </c>
      <c r="CI111">
        <v>100</v>
      </c>
      <c r="CJ111">
        <v>0</v>
      </c>
      <c r="CK111">
        <v>0.85416700000000001</v>
      </c>
      <c r="CL111">
        <v>90.868793999999994</v>
      </c>
      <c r="CM111">
        <v>100</v>
      </c>
      <c r="CN111">
        <v>0.48199999999999998</v>
      </c>
      <c r="CO111">
        <v>64.302599999999998</v>
      </c>
      <c r="CP111">
        <v>100</v>
      </c>
      <c r="CQ111">
        <v>0.74173199999999995</v>
      </c>
      <c r="CR111">
        <v>0.94776099999999996</v>
      </c>
      <c r="CS111">
        <v>49.448819</v>
      </c>
      <c r="CT111">
        <v>50</v>
      </c>
      <c r="CU111">
        <v>0.45182699999999998</v>
      </c>
      <c r="CV111">
        <v>37.652270000000001</v>
      </c>
      <c r="CW111">
        <v>50</v>
      </c>
      <c r="CX111">
        <v>0.85416700000000001</v>
      </c>
      <c r="CY111">
        <v>0.94</v>
      </c>
      <c r="CZ111">
        <v>8.5833000000000007E-2</v>
      </c>
      <c r="DA111">
        <v>15.389535</v>
      </c>
      <c r="DB111">
        <v>17.608319000000002</v>
      </c>
      <c r="DC111">
        <v>16.064022999999999</v>
      </c>
      <c r="DD111">
        <v>11.115401</v>
      </c>
      <c r="DE111" t="s">
        <v>125</v>
      </c>
      <c r="DJ111" t="s">
        <v>125</v>
      </c>
      <c r="DK111" t="s">
        <v>125</v>
      </c>
      <c r="DL111" t="s">
        <v>125</v>
      </c>
      <c r="DM111" t="s">
        <v>125</v>
      </c>
      <c r="DN111" t="s">
        <v>125</v>
      </c>
      <c r="DO111" t="s">
        <v>125</v>
      </c>
      <c r="DQ111" t="s">
        <v>126</v>
      </c>
    </row>
    <row r="112" spans="1:121" x14ac:dyDescent="0.15">
      <c r="A112">
        <v>2018</v>
      </c>
      <c r="B112" t="s">
        <v>234</v>
      </c>
      <c r="C112" t="str">
        <f>"0030011"</f>
        <v>0030011</v>
      </c>
      <c r="D112" t="s">
        <v>123</v>
      </c>
      <c r="E112" t="str">
        <f t="shared" si="0"/>
        <v>0000000</v>
      </c>
      <c r="F112" t="s">
        <v>123</v>
      </c>
      <c r="G112" t="s">
        <v>123</v>
      </c>
      <c r="H112" t="s">
        <v>123</v>
      </c>
      <c r="J112" t="s">
        <v>124</v>
      </c>
      <c r="K112">
        <v>643.15415299999995</v>
      </c>
      <c r="L112">
        <v>900</v>
      </c>
      <c r="M112">
        <v>71.461573000000001</v>
      </c>
      <c r="N112" t="s">
        <v>125</v>
      </c>
      <c r="O112">
        <v>0</v>
      </c>
      <c r="P112">
        <v>70.365140999999994</v>
      </c>
      <c r="Q112">
        <v>46.910094000000001</v>
      </c>
      <c r="R112">
        <v>50</v>
      </c>
      <c r="S112">
        <v>62.578063999999998</v>
      </c>
      <c r="T112">
        <v>75</v>
      </c>
      <c r="U112">
        <v>41.718708999999997</v>
      </c>
      <c r="V112">
        <v>50</v>
      </c>
      <c r="W112">
        <v>63.008242000000003</v>
      </c>
      <c r="X112">
        <v>42.005495000000003</v>
      </c>
      <c r="Y112">
        <v>50</v>
      </c>
      <c r="Z112">
        <v>69.046662999999995</v>
      </c>
      <c r="AA112">
        <v>56.553378000000002</v>
      </c>
      <c r="AB112">
        <v>37.702252000000001</v>
      </c>
      <c r="AC112">
        <v>50</v>
      </c>
      <c r="AD112">
        <v>73.848771999999997</v>
      </c>
      <c r="AE112">
        <v>49.232514999999999</v>
      </c>
      <c r="AF112">
        <v>50</v>
      </c>
      <c r="AG112">
        <v>69.779966999999999</v>
      </c>
      <c r="AH112">
        <v>75</v>
      </c>
      <c r="AI112">
        <v>46.519978000000002</v>
      </c>
      <c r="AJ112">
        <v>50</v>
      </c>
      <c r="AK112">
        <v>12.42</v>
      </c>
      <c r="AL112">
        <v>12.49</v>
      </c>
      <c r="AM112">
        <v>5.22</v>
      </c>
      <c r="AN112">
        <v>0.55646899999999999</v>
      </c>
      <c r="AO112">
        <v>55.646889999999999</v>
      </c>
      <c r="AP112">
        <v>100</v>
      </c>
      <c r="AQ112">
        <v>0.53276599999999996</v>
      </c>
      <c r="AR112">
        <v>53.276600999999999</v>
      </c>
      <c r="AS112">
        <v>100</v>
      </c>
      <c r="AT112">
        <v>0.52040299999999995</v>
      </c>
      <c r="AU112">
        <v>0.58995799999999998</v>
      </c>
      <c r="AV112">
        <v>52.040345000000002</v>
      </c>
      <c r="AW112">
        <v>100</v>
      </c>
      <c r="AX112">
        <v>0.48583599999999999</v>
      </c>
      <c r="AY112">
        <v>0.57586499999999996</v>
      </c>
      <c r="AZ112">
        <v>48.583557999999996</v>
      </c>
      <c r="BA112">
        <v>100</v>
      </c>
      <c r="BB112" t="s">
        <v>125</v>
      </c>
      <c r="BC112" t="s">
        <v>125</v>
      </c>
      <c r="BD112" t="s">
        <v>125</v>
      </c>
      <c r="BE112" t="s">
        <v>125</v>
      </c>
      <c r="BF112" t="s">
        <v>125</v>
      </c>
      <c r="BG112" t="s">
        <v>125</v>
      </c>
      <c r="BH112">
        <v>0</v>
      </c>
      <c r="BI112">
        <v>0.98795200000000005</v>
      </c>
      <c r="BJ112">
        <v>0.98347099999999998</v>
      </c>
      <c r="BK112">
        <v>0.99218799999999996</v>
      </c>
      <c r="BL112">
        <v>0.97590399999999999</v>
      </c>
      <c r="BM112">
        <v>0.97520700000000005</v>
      </c>
      <c r="BN112">
        <v>0.97656299999999996</v>
      </c>
      <c r="BO112">
        <v>0.97777800000000004</v>
      </c>
      <c r="BP112">
        <v>0.95555599999999996</v>
      </c>
      <c r="BQ112">
        <v>1</v>
      </c>
      <c r="BR112">
        <v>5.4945000000000001E-2</v>
      </c>
      <c r="BS112">
        <v>49.010989000000002</v>
      </c>
      <c r="BT112">
        <v>50</v>
      </c>
      <c r="BU112">
        <v>7.6470999999999997E-2</v>
      </c>
      <c r="BV112">
        <v>44.705882000000003</v>
      </c>
      <c r="BW112">
        <v>50</v>
      </c>
      <c r="BX112" t="s">
        <v>125</v>
      </c>
      <c r="BY112" t="s">
        <v>125</v>
      </c>
      <c r="BZ112" t="s">
        <v>125</v>
      </c>
      <c r="CA112" t="s">
        <v>125</v>
      </c>
      <c r="CB112" t="s">
        <v>125</v>
      </c>
      <c r="CC112" t="s">
        <v>125</v>
      </c>
      <c r="CD112">
        <v>0.83720899999999998</v>
      </c>
      <c r="CE112">
        <v>44.532409999999999</v>
      </c>
      <c r="CF112">
        <v>50</v>
      </c>
      <c r="CG112" t="s">
        <v>125</v>
      </c>
      <c r="CH112" t="s">
        <v>125</v>
      </c>
      <c r="CI112" t="s">
        <v>125</v>
      </c>
      <c r="CJ112" t="s">
        <v>125</v>
      </c>
      <c r="CK112" t="s">
        <v>125</v>
      </c>
      <c r="CL112" t="s">
        <v>125</v>
      </c>
      <c r="CM112" t="s">
        <v>125</v>
      </c>
      <c r="CN112" t="s">
        <v>125</v>
      </c>
      <c r="CO112" t="s">
        <v>125</v>
      </c>
      <c r="CP112" t="s">
        <v>125</v>
      </c>
      <c r="CQ112">
        <v>0.46902700000000003</v>
      </c>
      <c r="CR112">
        <v>0.97413799999999995</v>
      </c>
      <c r="CS112">
        <v>31.268436999999999</v>
      </c>
      <c r="CT112">
        <v>50</v>
      </c>
      <c r="CU112" t="s">
        <v>125</v>
      </c>
      <c r="CV112" t="s">
        <v>125</v>
      </c>
      <c r="CW112" t="s">
        <v>125</v>
      </c>
      <c r="CX112" t="s">
        <v>125</v>
      </c>
      <c r="CY112" t="s">
        <v>125</v>
      </c>
      <c r="CZ112" t="s">
        <v>125</v>
      </c>
      <c r="DA112">
        <v>15.389535</v>
      </c>
      <c r="DB112">
        <v>17.608319000000002</v>
      </c>
      <c r="DC112">
        <v>16.064022999999999</v>
      </c>
      <c r="DD112" t="s">
        <v>125</v>
      </c>
      <c r="DE112" t="s">
        <v>125</v>
      </c>
      <c r="DJ112" t="s">
        <v>125</v>
      </c>
      <c r="DK112" t="s">
        <v>125</v>
      </c>
      <c r="DL112" t="s">
        <v>125</v>
      </c>
      <c r="DM112" t="s">
        <v>125</v>
      </c>
      <c r="DN112" t="s">
        <v>125</v>
      </c>
      <c r="DO112" t="s">
        <v>125</v>
      </c>
      <c r="DQ112" t="s">
        <v>126</v>
      </c>
    </row>
    <row r="113" spans="1:121" x14ac:dyDescent="0.15">
      <c r="A113">
        <v>2018</v>
      </c>
      <c r="B113" t="s">
        <v>235</v>
      </c>
      <c r="C113" t="str">
        <f>"0040011"</f>
        <v>0040011</v>
      </c>
      <c r="D113" t="s">
        <v>123</v>
      </c>
      <c r="E113" t="str">
        <f t="shared" si="0"/>
        <v>0000000</v>
      </c>
      <c r="F113" t="s">
        <v>123</v>
      </c>
      <c r="G113" t="s">
        <v>123</v>
      </c>
      <c r="H113" t="s">
        <v>123</v>
      </c>
      <c r="J113" t="s">
        <v>124</v>
      </c>
      <c r="K113">
        <v>1240.2507370000001</v>
      </c>
      <c r="L113">
        <v>1450</v>
      </c>
      <c r="M113">
        <v>85.534533999999994</v>
      </c>
      <c r="N113" t="s">
        <v>125</v>
      </c>
      <c r="O113">
        <v>0</v>
      </c>
      <c r="P113">
        <v>80.497609999999995</v>
      </c>
      <c r="Q113">
        <v>50</v>
      </c>
      <c r="R113">
        <v>50</v>
      </c>
      <c r="S113">
        <v>64.484374000000003</v>
      </c>
      <c r="T113">
        <v>75</v>
      </c>
      <c r="U113">
        <v>42.989581999999999</v>
      </c>
      <c r="V113">
        <v>50</v>
      </c>
      <c r="W113">
        <v>76.923524</v>
      </c>
      <c r="X113">
        <v>50</v>
      </c>
      <c r="Y113">
        <v>50</v>
      </c>
      <c r="Z113">
        <v>75</v>
      </c>
      <c r="AA113">
        <v>60.036718</v>
      </c>
      <c r="AB113">
        <v>40.024478999999999</v>
      </c>
      <c r="AC113">
        <v>50</v>
      </c>
      <c r="AD113">
        <v>78.556652</v>
      </c>
      <c r="AE113">
        <v>50</v>
      </c>
      <c r="AF113">
        <v>50</v>
      </c>
      <c r="AG113">
        <v>61.128421000000003</v>
      </c>
      <c r="AH113">
        <v>75</v>
      </c>
      <c r="AI113">
        <v>40.752281000000004</v>
      </c>
      <c r="AJ113">
        <v>50</v>
      </c>
      <c r="AK113">
        <v>10.51</v>
      </c>
      <c r="AL113">
        <v>14.96</v>
      </c>
      <c r="AM113">
        <v>13.87</v>
      </c>
      <c r="AN113">
        <v>0.70012399999999997</v>
      </c>
      <c r="AO113">
        <v>70.012395999999995</v>
      </c>
      <c r="AP113">
        <v>100</v>
      </c>
      <c r="AQ113">
        <v>0.74697199999999997</v>
      </c>
      <c r="AR113">
        <v>74.697203999999999</v>
      </c>
      <c r="AS113">
        <v>100</v>
      </c>
      <c r="AT113">
        <v>0.57698700000000003</v>
      </c>
      <c r="AU113">
        <v>0.72529999999999994</v>
      </c>
      <c r="AV113">
        <v>57.698743999999998</v>
      </c>
      <c r="AW113">
        <v>100</v>
      </c>
      <c r="AX113">
        <v>0.61789300000000003</v>
      </c>
      <c r="AY113">
        <v>0.77341599999999999</v>
      </c>
      <c r="AZ113">
        <v>61.789319999999996</v>
      </c>
      <c r="BA113">
        <v>100</v>
      </c>
      <c r="BB113">
        <v>0.90030699999999997</v>
      </c>
      <c r="BC113">
        <v>45.015332000000001</v>
      </c>
      <c r="BD113">
        <v>50</v>
      </c>
      <c r="BE113">
        <v>0.75576600000000005</v>
      </c>
      <c r="BF113">
        <v>37.788277000000001</v>
      </c>
      <c r="BG113">
        <v>50</v>
      </c>
      <c r="BH113">
        <v>0</v>
      </c>
      <c r="BI113">
        <v>0.99543899999999996</v>
      </c>
      <c r="BJ113">
        <v>0.99512199999999995</v>
      </c>
      <c r="BK113">
        <v>0.99553599999999998</v>
      </c>
      <c r="BL113">
        <v>0.99429900000000004</v>
      </c>
      <c r="BM113">
        <v>0.99512199999999995</v>
      </c>
      <c r="BN113">
        <v>0.99404800000000004</v>
      </c>
      <c r="BO113">
        <v>0.99205299999999996</v>
      </c>
      <c r="BP113">
        <v>0.98235300000000003</v>
      </c>
      <c r="BQ113">
        <v>0.99487199999999998</v>
      </c>
      <c r="BR113">
        <v>4.4401999999999997E-2</v>
      </c>
      <c r="BS113">
        <v>50</v>
      </c>
      <c r="BT113">
        <v>50</v>
      </c>
      <c r="BU113">
        <v>9.9838999999999997E-2</v>
      </c>
      <c r="BV113">
        <v>40.032206000000002</v>
      </c>
      <c r="BW113">
        <v>50</v>
      </c>
      <c r="BX113">
        <v>0.77753799999999995</v>
      </c>
      <c r="BY113">
        <v>50</v>
      </c>
      <c r="BZ113">
        <v>50</v>
      </c>
      <c r="CA113">
        <v>0.75378000000000001</v>
      </c>
      <c r="CB113">
        <v>50</v>
      </c>
      <c r="CC113">
        <v>50</v>
      </c>
      <c r="CD113">
        <v>0.98507500000000003</v>
      </c>
      <c r="CE113">
        <v>50</v>
      </c>
      <c r="CF113">
        <v>50</v>
      </c>
      <c r="CG113">
        <v>0.96453900000000004</v>
      </c>
      <c r="CH113">
        <v>100</v>
      </c>
      <c r="CI113">
        <v>100</v>
      </c>
      <c r="CJ113">
        <v>0</v>
      </c>
      <c r="CK113">
        <v>0.95121999999999995</v>
      </c>
      <c r="CL113">
        <v>100</v>
      </c>
      <c r="CM113">
        <v>100</v>
      </c>
      <c r="CN113">
        <v>0.86399999999999999</v>
      </c>
      <c r="CO113">
        <v>100</v>
      </c>
      <c r="CP113">
        <v>100</v>
      </c>
      <c r="CQ113">
        <v>0.44176399999999999</v>
      </c>
      <c r="CR113">
        <v>1.1425860000000001</v>
      </c>
      <c r="CS113">
        <v>29.450914999999998</v>
      </c>
      <c r="CT113">
        <v>50</v>
      </c>
      <c r="CU113">
        <v>0.60837699999999995</v>
      </c>
      <c r="CV113">
        <v>50</v>
      </c>
      <c r="CW113">
        <v>50</v>
      </c>
      <c r="CX113">
        <v>0.95121999999999995</v>
      </c>
      <c r="CY113">
        <v>0.94</v>
      </c>
      <c r="CZ113">
        <v>-1.1220000000000001E-2</v>
      </c>
      <c r="DA113">
        <v>15.389535</v>
      </c>
      <c r="DB113">
        <v>17.608319000000002</v>
      </c>
      <c r="DC113">
        <v>16.064022999999999</v>
      </c>
      <c r="DD113">
        <v>11.115401</v>
      </c>
      <c r="DE113" t="s">
        <v>125</v>
      </c>
      <c r="DJ113" t="s">
        <v>125</v>
      </c>
      <c r="DK113" t="s">
        <v>125</v>
      </c>
      <c r="DL113" t="s">
        <v>125</v>
      </c>
      <c r="DM113" t="s">
        <v>125</v>
      </c>
      <c r="DN113" t="s">
        <v>125</v>
      </c>
      <c r="DO113" t="s">
        <v>125</v>
      </c>
      <c r="DQ113" t="s">
        <v>126</v>
      </c>
    </row>
    <row r="114" spans="1:121" x14ac:dyDescent="0.15">
      <c r="A114">
        <v>2018</v>
      </c>
      <c r="B114" t="s">
        <v>236</v>
      </c>
      <c r="C114" t="str">
        <f>"0430011"</f>
        <v>0430011</v>
      </c>
      <c r="D114" t="s">
        <v>123</v>
      </c>
      <c r="E114" t="str">
        <f t="shared" si="0"/>
        <v>0000000</v>
      </c>
      <c r="F114" t="s">
        <v>123</v>
      </c>
      <c r="G114" t="s">
        <v>123</v>
      </c>
      <c r="H114" t="s">
        <v>123</v>
      </c>
      <c r="J114" t="s">
        <v>124</v>
      </c>
      <c r="K114">
        <v>992.69386999999995</v>
      </c>
      <c r="L114">
        <v>1450</v>
      </c>
      <c r="M114">
        <v>68.461646000000002</v>
      </c>
      <c r="N114" t="s">
        <v>125</v>
      </c>
      <c r="O114">
        <v>0</v>
      </c>
      <c r="P114">
        <v>58.146149000000001</v>
      </c>
      <c r="Q114">
        <v>38.764099999999999</v>
      </c>
      <c r="R114">
        <v>50</v>
      </c>
      <c r="S114">
        <v>54.192326999999999</v>
      </c>
      <c r="T114">
        <v>68.197799000000003</v>
      </c>
      <c r="U114">
        <v>36.128217999999997</v>
      </c>
      <c r="V114">
        <v>50</v>
      </c>
      <c r="W114">
        <v>49.992846999999998</v>
      </c>
      <c r="X114">
        <v>33.328564999999998</v>
      </c>
      <c r="Y114">
        <v>50</v>
      </c>
      <c r="Z114">
        <v>59.950612</v>
      </c>
      <c r="AA114">
        <v>46.054747999999996</v>
      </c>
      <c r="AB114">
        <v>30.703166</v>
      </c>
      <c r="AC114">
        <v>50</v>
      </c>
      <c r="AD114">
        <v>53.774163999999999</v>
      </c>
      <c r="AE114">
        <v>35.849442000000003</v>
      </c>
      <c r="AF114">
        <v>50</v>
      </c>
      <c r="AG114">
        <v>49.492116000000003</v>
      </c>
      <c r="AH114">
        <v>62.692762999999999</v>
      </c>
      <c r="AI114">
        <v>32.994743999999997</v>
      </c>
      <c r="AJ114">
        <v>50</v>
      </c>
      <c r="AK114">
        <v>14</v>
      </c>
      <c r="AL114">
        <v>13.89</v>
      </c>
      <c r="AM114">
        <v>13.2</v>
      </c>
      <c r="AN114">
        <v>0.58461399999999997</v>
      </c>
      <c r="AO114">
        <v>58.461374999999997</v>
      </c>
      <c r="AP114">
        <v>100</v>
      </c>
      <c r="AQ114">
        <v>0.545408</v>
      </c>
      <c r="AR114">
        <v>54.540801000000002</v>
      </c>
      <c r="AS114">
        <v>100</v>
      </c>
      <c r="AT114">
        <v>0.56386400000000003</v>
      </c>
      <c r="AU114">
        <v>0.63663400000000003</v>
      </c>
      <c r="AV114">
        <v>56.386384999999997</v>
      </c>
      <c r="AW114">
        <v>100</v>
      </c>
      <c r="AX114">
        <v>0.52425600000000006</v>
      </c>
      <c r="AY114">
        <v>0.59785699999999997</v>
      </c>
      <c r="AZ114">
        <v>52.425640999999999</v>
      </c>
      <c r="BA114">
        <v>100</v>
      </c>
      <c r="BB114">
        <v>0.59934699999999996</v>
      </c>
      <c r="BC114">
        <v>29.96734</v>
      </c>
      <c r="BD114">
        <v>50</v>
      </c>
      <c r="BE114">
        <v>0.50694799999999995</v>
      </c>
      <c r="BF114">
        <v>25.347403</v>
      </c>
      <c r="BG114">
        <v>50</v>
      </c>
      <c r="BH114">
        <v>0</v>
      </c>
      <c r="BI114">
        <v>0.99151800000000001</v>
      </c>
      <c r="BJ114">
        <v>0.98876399999999998</v>
      </c>
      <c r="BK114">
        <v>0.99895400000000001</v>
      </c>
      <c r="BL114">
        <v>0.98811899999999997</v>
      </c>
      <c r="BM114">
        <v>0.98525399999999996</v>
      </c>
      <c r="BN114">
        <v>0.99582499999999996</v>
      </c>
      <c r="BO114">
        <v>0.98838700000000002</v>
      </c>
      <c r="BP114">
        <v>0.98319299999999998</v>
      </c>
      <c r="BQ114">
        <v>1</v>
      </c>
      <c r="BR114">
        <v>0.141762</v>
      </c>
      <c r="BS114">
        <v>31.647625000000001</v>
      </c>
      <c r="BT114">
        <v>50</v>
      </c>
      <c r="BU114">
        <v>0.18052699999999999</v>
      </c>
      <c r="BV114">
        <v>23.894693</v>
      </c>
      <c r="BW114">
        <v>50</v>
      </c>
      <c r="BX114">
        <v>0.60511899999999996</v>
      </c>
      <c r="BY114">
        <v>40.341254999999997</v>
      </c>
      <c r="BZ114">
        <v>50</v>
      </c>
      <c r="CA114">
        <v>0.23857400000000001</v>
      </c>
      <c r="CB114">
        <v>15.904935999999999</v>
      </c>
      <c r="CC114">
        <v>50</v>
      </c>
      <c r="CD114">
        <v>0.85844299999999996</v>
      </c>
      <c r="CE114">
        <v>45.661855000000003</v>
      </c>
      <c r="CF114">
        <v>50</v>
      </c>
      <c r="CG114">
        <v>0.88212199999999996</v>
      </c>
      <c r="CH114">
        <v>93.842744999999994</v>
      </c>
      <c r="CI114">
        <v>100</v>
      </c>
      <c r="CJ114">
        <v>0</v>
      </c>
      <c r="CK114">
        <v>0.92037500000000005</v>
      </c>
      <c r="CL114">
        <v>97.912203000000005</v>
      </c>
      <c r="CM114">
        <v>100</v>
      </c>
      <c r="CN114">
        <v>0.57499999999999996</v>
      </c>
      <c r="CO114">
        <v>76.631579000000002</v>
      </c>
      <c r="CP114">
        <v>100</v>
      </c>
      <c r="CQ114">
        <v>0.47939700000000002</v>
      </c>
      <c r="CR114">
        <v>0.96228199999999997</v>
      </c>
      <c r="CS114">
        <v>31.959799</v>
      </c>
      <c r="CT114">
        <v>50</v>
      </c>
      <c r="CU114">
        <v>0.65796699999999997</v>
      </c>
      <c r="CV114">
        <v>50</v>
      </c>
      <c r="CW114">
        <v>50</v>
      </c>
      <c r="CX114">
        <v>0.92037500000000005</v>
      </c>
      <c r="CY114">
        <v>0.94</v>
      </c>
      <c r="CZ114">
        <v>1.9625E-2</v>
      </c>
      <c r="DA114">
        <v>15.389535</v>
      </c>
      <c r="DB114">
        <v>17.608319000000002</v>
      </c>
      <c r="DC114">
        <v>16.064022999999999</v>
      </c>
      <c r="DD114">
        <v>11.115401</v>
      </c>
      <c r="DE114" t="s">
        <v>125</v>
      </c>
      <c r="DJ114" t="s">
        <v>125</v>
      </c>
      <c r="DK114" t="s">
        <v>125</v>
      </c>
      <c r="DL114" t="s">
        <v>125</v>
      </c>
      <c r="DM114" t="s">
        <v>125</v>
      </c>
      <c r="DN114" t="s">
        <v>125</v>
      </c>
      <c r="DO114" t="s">
        <v>125</v>
      </c>
      <c r="DQ114" t="s">
        <v>126</v>
      </c>
    </row>
    <row r="115" spans="1:121" x14ac:dyDescent="0.15">
      <c r="A115">
        <v>2018</v>
      </c>
      <c r="B115" t="s">
        <v>237</v>
      </c>
      <c r="C115" t="str">
        <f>"0950011"</f>
        <v>0950011</v>
      </c>
      <c r="D115" t="s">
        <v>123</v>
      </c>
      <c r="E115" t="str">
        <f t="shared" si="0"/>
        <v>0000000</v>
      </c>
      <c r="F115" t="s">
        <v>123</v>
      </c>
      <c r="G115" t="s">
        <v>123</v>
      </c>
      <c r="H115" t="s">
        <v>123</v>
      </c>
      <c r="J115" t="s">
        <v>124</v>
      </c>
      <c r="K115">
        <v>915.92296699999997</v>
      </c>
      <c r="L115">
        <v>1450</v>
      </c>
      <c r="M115">
        <v>63.167101000000002</v>
      </c>
      <c r="N115" t="s">
        <v>125</v>
      </c>
      <c r="O115">
        <v>1</v>
      </c>
      <c r="P115">
        <v>55.653843999999999</v>
      </c>
      <c r="Q115">
        <v>37.102563000000004</v>
      </c>
      <c r="R115">
        <v>50</v>
      </c>
      <c r="S115">
        <v>53.435791999999999</v>
      </c>
      <c r="T115">
        <v>71.212667999999994</v>
      </c>
      <c r="U115">
        <v>35.623862000000003</v>
      </c>
      <c r="V115">
        <v>50</v>
      </c>
      <c r="W115">
        <v>49.710372999999997</v>
      </c>
      <c r="X115">
        <v>33.140248999999997</v>
      </c>
      <c r="Y115">
        <v>50</v>
      </c>
      <c r="Z115">
        <v>65.410546999999994</v>
      </c>
      <c r="AA115">
        <v>47.469053000000002</v>
      </c>
      <c r="AB115">
        <v>31.646035000000001</v>
      </c>
      <c r="AC115">
        <v>50</v>
      </c>
      <c r="AD115">
        <v>50.839517000000001</v>
      </c>
      <c r="AE115">
        <v>33.893011000000001</v>
      </c>
      <c r="AF115">
        <v>50</v>
      </c>
      <c r="AG115">
        <v>48.600991999999998</v>
      </c>
      <c r="AH115">
        <v>64.247590000000002</v>
      </c>
      <c r="AI115">
        <v>32.400660999999999</v>
      </c>
      <c r="AJ115">
        <v>50</v>
      </c>
      <c r="AK115">
        <v>17.77</v>
      </c>
      <c r="AL115">
        <v>17.940000000000001</v>
      </c>
      <c r="AM115">
        <v>15.64</v>
      </c>
      <c r="AN115">
        <v>0.52061100000000005</v>
      </c>
      <c r="AO115">
        <v>52.061137000000002</v>
      </c>
      <c r="AP115">
        <v>100</v>
      </c>
      <c r="AQ115">
        <v>0.49340800000000001</v>
      </c>
      <c r="AR115">
        <v>49.340781</v>
      </c>
      <c r="AS115">
        <v>100</v>
      </c>
      <c r="AT115">
        <v>0.51438899999999999</v>
      </c>
      <c r="AU115">
        <v>0.572434</v>
      </c>
      <c r="AV115">
        <v>51.438861000000003</v>
      </c>
      <c r="AW115">
        <v>100</v>
      </c>
      <c r="AX115">
        <v>0.47722999999999999</v>
      </c>
      <c r="AY115">
        <v>0.62871500000000002</v>
      </c>
      <c r="AZ115">
        <v>47.722977</v>
      </c>
      <c r="BA115">
        <v>100</v>
      </c>
      <c r="BB115">
        <v>0.52193699999999998</v>
      </c>
      <c r="BC115">
        <v>26.096857</v>
      </c>
      <c r="BD115">
        <v>50</v>
      </c>
      <c r="BE115">
        <v>0.43596800000000002</v>
      </c>
      <c r="BF115">
        <v>21.798411000000002</v>
      </c>
      <c r="BG115">
        <v>50</v>
      </c>
      <c r="BH115">
        <v>0</v>
      </c>
      <c r="BI115">
        <v>0.98286300000000004</v>
      </c>
      <c r="BJ115">
        <v>0.98058900000000004</v>
      </c>
      <c r="BK115">
        <v>1</v>
      </c>
      <c r="BL115">
        <v>0.97956900000000002</v>
      </c>
      <c r="BM115">
        <v>0.97686099999999998</v>
      </c>
      <c r="BN115">
        <v>1</v>
      </c>
      <c r="BO115">
        <v>0.97218499999999997</v>
      </c>
      <c r="BP115">
        <v>0.96789000000000003</v>
      </c>
      <c r="BQ115">
        <v>1</v>
      </c>
      <c r="BR115">
        <v>0.15121999999999999</v>
      </c>
      <c r="BS115">
        <v>29.756098000000001</v>
      </c>
      <c r="BT115">
        <v>50</v>
      </c>
      <c r="BU115">
        <v>0.16426399999999999</v>
      </c>
      <c r="BV115">
        <v>27.147167</v>
      </c>
      <c r="BW115">
        <v>50</v>
      </c>
      <c r="BX115">
        <v>0.74844100000000002</v>
      </c>
      <c r="BY115">
        <v>49.896050000000002</v>
      </c>
      <c r="BZ115">
        <v>50</v>
      </c>
      <c r="CA115">
        <v>0.24324299999999999</v>
      </c>
      <c r="CB115">
        <v>16.216215999999999</v>
      </c>
      <c r="CC115">
        <v>50</v>
      </c>
      <c r="CD115">
        <v>0.80739300000000003</v>
      </c>
      <c r="CE115">
        <v>42.946435999999999</v>
      </c>
      <c r="CF115">
        <v>50</v>
      </c>
      <c r="CG115">
        <v>0.81609200000000004</v>
      </c>
      <c r="CH115">
        <v>86.818292999999997</v>
      </c>
      <c r="CI115">
        <v>100</v>
      </c>
      <c r="CJ115">
        <v>1</v>
      </c>
      <c r="CK115">
        <v>0.78835999999999995</v>
      </c>
      <c r="CL115">
        <v>83.868063000000006</v>
      </c>
      <c r="CM115">
        <v>100</v>
      </c>
      <c r="CN115">
        <v>0.59</v>
      </c>
      <c r="CO115">
        <v>78.678679000000002</v>
      </c>
      <c r="CP115">
        <v>100</v>
      </c>
      <c r="CQ115">
        <v>0.34801300000000002</v>
      </c>
      <c r="CR115">
        <v>0.91185099999999997</v>
      </c>
      <c r="CS115">
        <v>23.200859000000001</v>
      </c>
      <c r="CT115">
        <v>50</v>
      </c>
      <c r="CU115">
        <v>0.30155599999999999</v>
      </c>
      <c r="CV115">
        <v>25.129702000000002</v>
      </c>
      <c r="CW115">
        <v>50</v>
      </c>
      <c r="CX115">
        <v>0.78835999999999995</v>
      </c>
      <c r="CY115">
        <v>0.90196100000000001</v>
      </c>
      <c r="CZ115">
        <v>0.11360099999999999</v>
      </c>
      <c r="DA115">
        <v>15.389535</v>
      </c>
      <c r="DB115">
        <v>17.608319000000002</v>
      </c>
      <c r="DC115">
        <v>16.064022999999999</v>
      </c>
      <c r="DD115">
        <v>11.115401</v>
      </c>
      <c r="DE115" t="s">
        <v>125</v>
      </c>
      <c r="DJ115" t="s">
        <v>125</v>
      </c>
      <c r="DK115" t="s">
        <v>125</v>
      </c>
      <c r="DL115" t="s">
        <v>125</v>
      </c>
      <c r="DM115" t="s">
        <v>125</v>
      </c>
      <c r="DN115" t="s">
        <v>125</v>
      </c>
      <c r="DO115" t="s">
        <v>125</v>
      </c>
      <c r="DQ115" t="s">
        <v>126</v>
      </c>
    </row>
    <row r="116" spans="1:121" x14ac:dyDescent="0.15">
      <c r="A116">
        <v>2018</v>
      </c>
      <c r="B116" t="s">
        <v>238</v>
      </c>
      <c r="C116" t="str">
        <f>"1580011"</f>
        <v>1580011</v>
      </c>
      <c r="D116" t="s">
        <v>123</v>
      </c>
      <c r="E116" t="str">
        <f t="shared" si="0"/>
        <v>0000000</v>
      </c>
      <c r="F116" t="s">
        <v>123</v>
      </c>
      <c r="G116" t="s">
        <v>123</v>
      </c>
      <c r="H116" t="s">
        <v>123</v>
      </c>
      <c r="J116" t="s">
        <v>124</v>
      </c>
      <c r="K116">
        <v>1234.5809360000001</v>
      </c>
      <c r="L116">
        <v>1450</v>
      </c>
      <c r="M116">
        <v>85.143512999999999</v>
      </c>
      <c r="N116" t="s">
        <v>125</v>
      </c>
      <c r="O116">
        <v>0</v>
      </c>
      <c r="P116">
        <v>82.57499</v>
      </c>
      <c r="Q116">
        <v>50</v>
      </c>
      <c r="R116">
        <v>50</v>
      </c>
      <c r="S116">
        <v>63.021895000000001</v>
      </c>
      <c r="T116">
        <v>75</v>
      </c>
      <c r="U116">
        <v>42.014595999999997</v>
      </c>
      <c r="V116">
        <v>50</v>
      </c>
      <c r="W116">
        <v>81.813894000000005</v>
      </c>
      <c r="X116">
        <v>50</v>
      </c>
      <c r="Y116">
        <v>50</v>
      </c>
      <c r="Z116">
        <v>75</v>
      </c>
      <c r="AA116">
        <v>60.052402999999998</v>
      </c>
      <c r="AB116">
        <v>40.034934999999997</v>
      </c>
      <c r="AC116">
        <v>50</v>
      </c>
      <c r="AD116">
        <v>78.219037</v>
      </c>
      <c r="AE116">
        <v>50</v>
      </c>
      <c r="AF116">
        <v>50</v>
      </c>
      <c r="AG116">
        <v>60.177014</v>
      </c>
      <c r="AH116">
        <v>75</v>
      </c>
      <c r="AI116">
        <v>40.118009999999998</v>
      </c>
      <c r="AJ116">
        <v>50</v>
      </c>
      <c r="AK116">
        <v>11.97</v>
      </c>
      <c r="AL116">
        <v>14.94</v>
      </c>
      <c r="AM116">
        <v>14.82</v>
      </c>
      <c r="AN116">
        <v>0.667964</v>
      </c>
      <c r="AO116">
        <v>66.796434000000005</v>
      </c>
      <c r="AP116">
        <v>100</v>
      </c>
      <c r="AQ116">
        <v>0.81276300000000001</v>
      </c>
      <c r="AR116">
        <v>81.276266000000007</v>
      </c>
      <c r="AS116">
        <v>100</v>
      </c>
      <c r="AT116">
        <v>0.564218</v>
      </c>
      <c r="AU116">
        <v>0.68683300000000003</v>
      </c>
      <c r="AV116">
        <v>56.421816</v>
      </c>
      <c r="AW116">
        <v>100</v>
      </c>
      <c r="AX116">
        <v>0.63875800000000005</v>
      </c>
      <c r="AY116">
        <v>0.84440899999999997</v>
      </c>
      <c r="AZ116">
        <v>63.875805999999997</v>
      </c>
      <c r="BA116">
        <v>100</v>
      </c>
      <c r="BB116">
        <v>0.78539300000000001</v>
      </c>
      <c r="BC116">
        <v>39.269660000000002</v>
      </c>
      <c r="BD116">
        <v>50</v>
      </c>
      <c r="BE116">
        <v>0.76519499999999996</v>
      </c>
      <c r="BF116">
        <v>38.259748999999999</v>
      </c>
      <c r="BG116">
        <v>50</v>
      </c>
      <c r="BH116">
        <v>1</v>
      </c>
      <c r="BI116">
        <v>0.97040000000000004</v>
      </c>
      <c r="BJ116">
        <v>0.93787600000000004</v>
      </c>
      <c r="BK116">
        <v>0.97696000000000005</v>
      </c>
      <c r="BL116">
        <v>0.97107299999999996</v>
      </c>
      <c r="BM116">
        <v>0.94188400000000005</v>
      </c>
      <c r="BN116">
        <v>0.97696000000000005</v>
      </c>
      <c r="BO116">
        <v>0.97684800000000005</v>
      </c>
      <c r="BP116">
        <v>0.93953500000000001</v>
      </c>
      <c r="BQ116">
        <v>0.98398600000000003</v>
      </c>
      <c r="BR116">
        <v>4.5754000000000003E-2</v>
      </c>
      <c r="BS116">
        <v>50</v>
      </c>
      <c r="BT116">
        <v>50</v>
      </c>
      <c r="BU116">
        <v>0.115116</v>
      </c>
      <c r="BV116">
        <v>36.976743999999997</v>
      </c>
      <c r="BW116">
        <v>50</v>
      </c>
      <c r="BX116">
        <v>0.87351400000000001</v>
      </c>
      <c r="BY116">
        <v>50</v>
      </c>
      <c r="BZ116">
        <v>50</v>
      </c>
      <c r="CA116">
        <v>0.83675699999999997</v>
      </c>
      <c r="CB116">
        <v>50</v>
      </c>
      <c r="CC116">
        <v>50</v>
      </c>
      <c r="CD116">
        <v>0.98895</v>
      </c>
      <c r="CE116">
        <v>50</v>
      </c>
      <c r="CF116">
        <v>50</v>
      </c>
      <c r="CG116">
        <v>0.991228</v>
      </c>
      <c r="CH116">
        <v>100</v>
      </c>
      <c r="CI116">
        <v>100</v>
      </c>
      <c r="CJ116">
        <v>0</v>
      </c>
      <c r="CK116">
        <v>0.95744700000000005</v>
      </c>
      <c r="CL116">
        <v>100</v>
      </c>
      <c r="CM116">
        <v>100</v>
      </c>
      <c r="CN116">
        <v>0.88</v>
      </c>
      <c r="CO116">
        <v>100</v>
      </c>
      <c r="CP116">
        <v>100</v>
      </c>
      <c r="CQ116">
        <v>0.50832299999999997</v>
      </c>
      <c r="CR116">
        <v>0.97057099999999996</v>
      </c>
      <c r="CS116">
        <v>33.888227999999998</v>
      </c>
      <c r="CT116">
        <v>50</v>
      </c>
      <c r="CU116">
        <v>0.54778400000000005</v>
      </c>
      <c r="CV116">
        <v>45.648691999999997</v>
      </c>
      <c r="CW116">
        <v>50</v>
      </c>
      <c r="CX116">
        <v>0.95744700000000005</v>
      </c>
      <c r="CY116">
        <v>0.94</v>
      </c>
      <c r="CZ116">
        <v>-1.7447000000000001E-2</v>
      </c>
      <c r="DA116">
        <v>15.389535</v>
      </c>
      <c r="DB116">
        <v>17.608319000000002</v>
      </c>
      <c r="DC116">
        <v>16.064022999999999</v>
      </c>
      <c r="DD116">
        <v>11.115401</v>
      </c>
      <c r="DE116" t="s">
        <v>125</v>
      </c>
      <c r="DJ116" t="s">
        <v>125</v>
      </c>
      <c r="DK116" t="s">
        <v>125</v>
      </c>
      <c r="DL116" t="s">
        <v>125</v>
      </c>
      <c r="DM116" t="s">
        <v>125</v>
      </c>
      <c r="DN116" t="s">
        <v>125</v>
      </c>
      <c r="DO116" t="s">
        <v>125</v>
      </c>
      <c r="DQ116" t="s">
        <v>126</v>
      </c>
    </row>
    <row r="117" spans="1:121" x14ac:dyDescent="0.15">
      <c r="A117">
        <v>2018</v>
      </c>
      <c r="B117" t="s">
        <v>239</v>
      </c>
      <c r="C117" t="str">
        <f>"1600011"</f>
        <v>1600011</v>
      </c>
      <c r="D117" t="s">
        <v>123</v>
      </c>
      <c r="E117" t="str">
        <f t="shared" si="0"/>
        <v>0000000</v>
      </c>
      <c r="F117" t="s">
        <v>123</v>
      </c>
      <c r="G117" t="s">
        <v>123</v>
      </c>
      <c r="H117" t="s">
        <v>123</v>
      </c>
      <c r="J117" t="s">
        <v>124</v>
      </c>
      <c r="K117">
        <v>640.39854800000001</v>
      </c>
      <c r="L117">
        <v>900</v>
      </c>
      <c r="M117">
        <v>71.155394000000001</v>
      </c>
      <c r="N117" t="s">
        <v>125</v>
      </c>
      <c r="O117">
        <v>0</v>
      </c>
      <c r="P117">
        <v>69.921498999999997</v>
      </c>
      <c r="Q117">
        <v>46.614331999999997</v>
      </c>
      <c r="R117">
        <v>50</v>
      </c>
      <c r="S117">
        <v>63.388674000000002</v>
      </c>
      <c r="T117">
        <v>74.121172000000001</v>
      </c>
      <c r="U117">
        <v>42.259115999999999</v>
      </c>
      <c r="V117">
        <v>50</v>
      </c>
      <c r="W117">
        <v>67.358065999999994</v>
      </c>
      <c r="X117">
        <v>44.905377000000001</v>
      </c>
      <c r="Y117">
        <v>50</v>
      </c>
      <c r="Z117">
        <v>72.197824999999995</v>
      </c>
      <c r="AA117">
        <v>59.829549999999998</v>
      </c>
      <c r="AB117">
        <v>39.886367</v>
      </c>
      <c r="AC117">
        <v>50</v>
      </c>
      <c r="AD117">
        <v>66.341937000000001</v>
      </c>
      <c r="AE117">
        <v>44.227958000000001</v>
      </c>
      <c r="AF117">
        <v>50</v>
      </c>
      <c r="AG117">
        <v>57.871130000000001</v>
      </c>
      <c r="AH117">
        <v>71.989141000000004</v>
      </c>
      <c r="AI117">
        <v>38.580753999999999</v>
      </c>
      <c r="AJ117">
        <v>50</v>
      </c>
      <c r="AK117">
        <v>10.73</v>
      </c>
      <c r="AL117">
        <v>12.36</v>
      </c>
      <c r="AM117">
        <v>14.11</v>
      </c>
      <c r="AN117">
        <v>0.46561999999999998</v>
      </c>
      <c r="AO117">
        <v>46.562007999999999</v>
      </c>
      <c r="AP117">
        <v>100</v>
      </c>
      <c r="AQ117">
        <v>0.62509499999999996</v>
      </c>
      <c r="AR117">
        <v>62.509500000000003</v>
      </c>
      <c r="AS117">
        <v>100</v>
      </c>
      <c r="AT117">
        <v>0.39511800000000002</v>
      </c>
      <c r="AU117">
        <v>0.51025399999999999</v>
      </c>
      <c r="AV117">
        <v>39.511826999999997</v>
      </c>
      <c r="AW117">
        <v>100</v>
      </c>
      <c r="AX117">
        <v>0.58874499999999996</v>
      </c>
      <c r="AY117">
        <v>0.64810800000000002</v>
      </c>
      <c r="AZ117">
        <v>58.874473000000002</v>
      </c>
      <c r="BA117">
        <v>100</v>
      </c>
      <c r="BB117" t="s">
        <v>125</v>
      </c>
      <c r="BC117" t="s">
        <v>125</v>
      </c>
      <c r="BD117" t="s">
        <v>125</v>
      </c>
      <c r="BE117" t="s">
        <v>125</v>
      </c>
      <c r="BF117" t="s">
        <v>125</v>
      </c>
      <c r="BG117" t="s">
        <v>125</v>
      </c>
      <c r="BH117">
        <v>1</v>
      </c>
      <c r="BI117">
        <v>0.97231800000000002</v>
      </c>
      <c r="BJ117">
        <v>0.94736799999999999</v>
      </c>
      <c r="BK117">
        <v>0.98857099999999998</v>
      </c>
      <c r="BL117">
        <v>0.97231800000000002</v>
      </c>
      <c r="BM117">
        <v>0.94736799999999999</v>
      </c>
      <c r="BN117">
        <v>0.98857099999999998</v>
      </c>
      <c r="BO117">
        <v>0.973333</v>
      </c>
      <c r="BP117">
        <v>0.93333299999999997</v>
      </c>
      <c r="BQ117">
        <v>1</v>
      </c>
      <c r="BR117">
        <v>7.6732999999999996E-2</v>
      </c>
      <c r="BS117">
        <v>44.653464999999997</v>
      </c>
      <c r="BT117">
        <v>50</v>
      </c>
      <c r="BU117">
        <v>0.103896</v>
      </c>
      <c r="BV117">
        <v>39.220779</v>
      </c>
      <c r="BW117">
        <v>50</v>
      </c>
      <c r="BX117" t="s">
        <v>125</v>
      </c>
      <c r="BY117" t="s">
        <v>125</v>
      </c>
      <c r="BZ117" t="s">
        <v>125</v>
      </c>
      <c r="CA117" t="s">
        <v>125</v>
      </c>
      <c r="CB117" t="s">
        <v>125</v>
      </c>
      <c r="CC117" t="s">
        <v>125</v>
      </c>
      <c r="CD117">
        <v>0.95744700000000005</v>
      </c>
      <c r="CE117">
        <v>50</v>
      </c>
      <c r="CF117">
        <v>50</v>
      </c>
      <c r="CG117" t="s">
        <v>125</v>
      </c>
      <c r="CH117" t="s">
        <v>125</v>
      </c>
      <c r="CI117" t="s">
        <v>125</v>
      </c>
      <c r="CJ117" t="s">
        <v>125</v>
      </c>
      <c r="CK117" t="s">
        <v>125</v>
      </c>
      <c r="CL117" t="s">
        <v>125</v>
      </c>
      <c r="CM117" t="s">
        <v>125</v>
      </c>
      <c r="CN117" t="s">
        <v>125</v>
      </c>
      <c r="CO117" t="s">
        <v>125</v>
      </c>
      <c r="CP117" t="s">
        <v>125</v>
      </c>
      <c r="CQ117">
        <v>0.63888900000000004</v>
      </c>
      <c r="CR117">
        <v>0.97959200000000002</v>
      </c>
      <c r="CS117">
        <v>42.592593000000001</v>
      </c>
      <c r="CT117">
        <v>50</v>
      </c>
      <c r="CU117" t="s">
        <v>125</v>
      </c>
      <c r="CV117" t="s">
        <v>125</v>
      </c>
      <c r="CW117" t="s">
        <v>125</v>
      </c>
      <c r="CX117" t="s">
        <v>125</v>
      </c>
      <c r="CY117" t="s">
        <v>125</v>
      </c>
      <c r="CZ117" t="s">
        <v>125</v>
      </c>
      <c r="DA117">
        <v>15.389535</v>
      </c>
      <c r="DB117">
        <v>17.608319000000002</v>
      </c>
      <c r="DC117">
        <v>16.064022999999999</v>
      </c>
      <c r="DD117" t="s">
        <v>125</v>
      </c>
      <c r="DE117" t="s">
        <v>125</v>
      </c>
      <c r="DJ117" t="s">
        <v>125</v>
      </c>
      <c r="DK117" t="s">
        <v>125</v>
      </c>
      <c r="DL117" t="s">
        <v>125</v>
      </c>
      <c r="DM117" t="s">
        <v>125</v>
      </c>
      <c r="DN117" t="s">
        <v>125</v>
      </c>
      <c r="DO117" t="s">
        <v>125</v>
      </c>
      <c r="DQ117" t="s">
        <v>126</v>
      </c>
    </row>
    <row r="118" spans="1:121" x14ac:dyDescent="0.15">
      <c r="A118">
        <v>2018</v>
      </c>
      <c r="B118" t="s">
        <v>240</v>
      </c>
      <c r="C118" t="str">
        <f>"0500011"</f>
        <v>0500011</v>
      </c>
      <c r="D118" t="s">
        <v>123</v>
      </c>
      <c r="E118" t="str">
        <f t="shared" si="0"/>
        <v>0000000</v>
      </c>
      <c r="F118" t="s">
        <v>123</v>
      </c>
      <c r="G118" t="s">
        <v>123</v>
      </c>
      <c r="H118" t="s">
        <v>123</v>
      </c>
      <c r="J118" t="s">
        <v>124</v>
      </c>
      <c r="K118">
        <v>774.22454000000005</v>
      </c>
      <c r="L118">
        <v>850</v>
      </c>
      <c r="M118">
        <v>91.085239999999999</v>
      </c>
      <c r="N118" t="s">
        <v>125</v>
      </c>
      <c r="O118">
        <v>0</v>
      </c>
      <c r="P118">
        <v>83.090664000000004</v>
      </c>
      <c r="Q118">
        <v>50</v>
      </c>
      <c r="R118">
        <v>50</v>
      </c>
      <c r="S118">
        <v>71.818655000000007</v>
      </c>
      <c r="T118">
        <v>75</v>
      </c>
      <c r="U118">
        <v>47.879103999999998</v>
      </c>
      <c r="V118">
        <v>50</v>
      </c>
      <c r="W118">
        <v>77.879135000000005</v>
      </c>
      <c r="X118">
        <v>50</v>
      </c>
      <c r="Y118">
        <v>50</v>
      </c>
      <c r="Z118">
        <v>75</v>
      </c>
      <c r="AA118">
        <v>66.882187000000002</v>
      </c>
      <c r="AB118">
        <v>44.588124000000001</v>
      </c>
      <c r="AC118">
        <v>50</v>
      </c>
      <c r="AD118">
        <v>80.359702999999996</v>
      </c>
      <c r="AE118">
        <v>50</v>
      </c>
      <c r="AF118">
        <v>50</v>
      </c>
      <c r="AG118">
        <v>75.248947999999999</v>
      </c>
      <c r="AH118">
        <v>75</v>
      </c>
      <c r="AI118">
        <v>50</v>
      </c>
      <c r="AJ118">
        <v>50</v>
      </c>
      <c r="AK118">
        <v>3.18</v>
      </c>
      <c r="AL118">
        <v>8.11</v>
      </c>
      <c r="AM118">
        <v>-0.24</v>
      </c>
      <c r="AN118">
        <v>0.84643199999999996</v>
      </c>
      <c r="AO118">
        <v>84.643174999999999</v>
      </c>
      <c r="AP118">
        <v>100</v>
      </c>
      <c r="AQ118">
        <v>0.89670899999999998</v>
      </c>
      <c r="AR118">
        <v>89.670923000000002</v>
      </c>
      <c r="AS118">
        <v>100</v>
      </c>
      <c r="AT118">
        <v>0.83365100000000003</v>
      </c>
      <c r="AU118">
        <v>0.85162400000000005</v>
      </c>
      <c r="AV118">
        <v>83.365083999999996</v>
      </c>
      <c r="AW118">
        <v>100</v>
      </c>
      <c r="AX118">
        <v>0.80744800000000005</v>
      </c>
      <c r="AY118">
        <v>0.93297200000000002</v>
      </c>
      <c r="AZ118">
        <v>80.744797000000005</v>
      </c>
      <c r="BA118">
        <v>100</v>
      </c>
      <c r="BB118" t="s">
        <v>125</v>
      </c>
      <c r="BC118" t="s">
        <v>125</v>
      </c>
      <c r="BD118" t="s">
        <v>125</v>
      </c>
      <c r="BE118" t="s">
        <v>125</v>
      </c>
      <c r="BF118" t="s">
        <v>125</v>
      </c>
      <c r="BG118" t="s">
        <v>125</v>
      </c>
      <c r="BH118">
        <v>0</v>
      </c>
      <c r="BI118">
        <v>0.96391800000000005</v>
      </c>
      <c r="BJ118">
        <v>0.95238100000000003</v>
      </c>
      <c r="BK118">
        <v>0.96946600000000005</v>
      </c>
      <c r="BL118">
        <v>0.96391800000000005</v>
      </c>
      <c r="BM118">
        <v>0.95238100000000003</v>
      </c>
      <c r="BN118">
        <v>0.96946600000000005</v>
      </c>
      <c r="BO118">
        <v>0.984375</v>
      </c>
      <c r="BP118">
        <v>1</v>
      </c>
      <c r="BQ118">
        <v>0.97560999999999998</v>
      </c>
      <c r="BR118">
        <v>4.2763000000000002E-2</v>
      </c>
      <c r="BS118">
        <v>50</v>
      </c>
      <c r="BT118">
        <v>50</v>
      </c>
      <c r="BU118">
        <v>3.2258000000000002E-2</v>
      </c>
      <c r="BV118">
        <v>50</v>
      </c>
      <c r="BW118">
        <v>50</v>
      </c>
      <c r="BX118" t="s">
        <v>125</v>
      </c>
      <c r="BY118" t="s">
        <v>125</v>
      </c>
      <c r="BZ118" t="s">
        <v>125</v>
      </c>
      <c r="CA118" t="s">
        <v>125</v>
      </c>
      <c r="CB118" t="s">
        <v>125</v>
      </c>
      <c r="CC118" t="s">
        <v>125</v>
      </c>
      <c r="CD118" t="s">
        <v>125</v>
      </c>
      <c r="CE118" t="s">
        <v>125</v>
      </c>
      <c r="CF118" t="s">
        <v>125</v>
      </c>
      <c r="CG118" t="s">
        <v>125</v>
      </c>
      <c r="CH118" t="s">
        <v>125</v>
      </c>
      <c r="CI118" t="s">
        <v>125</v>
      </c>
      <c r="CJ118" t="s">
        <v>125</v>
      </c>
      <c r="CK118" t="s">
        <v>125</v>
      </c>
      <c r="CL118" t="s">
        <v>125</v>
      </c>
      <c r="CM118" t="s">
        <v>125</v>
      </c>
      <c r="CN118" t="s">
        <v>125</v>
      </c>
      <c r="CO118" t="s">
        <v>125</v>
      </c>
      <c r="CP118" t="s">
        <v>125</v>
      </c>
      <c r="CQ118">
        <v>0.65</v>
      </c>
      <c r="CR118">
        <v>0.93023299999999998</v>
      </c>
      <c r="CS118">
        <v>43.333333000000003</v>
      </c>
      <c r="CT118">
        <v>50</v>
      </c>
      <c r="CU118" t="s">
        <v>125</v>
      </c>
      <c r="CV118" t="s">
        <v>125</v>
      </c>
      <c r="CW118" t="s">
        <v>125</v>
      </c>
      <c r="CX118" t="s">
        <v>125</v>
      </c>
      <c r="CY118" t="s">
        <v>125</v>
      </c>
      <c r="CZ118" t="s">
        <v>125</v>
      </c>
      <c r="DA118">
        <v>15.389535</v>
      </c>
      <c r="DB118">
        <v>17.608319000000002</v>
      </c>
      <c r="DC118">
        <v>16.064022999999999</v>
      </c>
      <c r="DD118" t="s">
        <v>125</v>
      </c>
      <c r="DE118" t="s">
        <v>125</v>
      </c>
      <c r="DJ118" t="s">
        <v>125</v>
      </c>
      <c r="DK118" t="s">
        <v>125</v>
      </c>
      <c r="DL118" t="s">
        <v>125</v>
      </c>
      <c r="DM118" t="s">
        <v>125</v>
      </c>
      <c r="DN118" t="s">
        <v>125</v>
      </c>
      <c r="DO118" t="s">
        <v>125</v>
      </c>
      <c r="DQ118" t="s">
        <v>126</v>
      </c>
    </row>
    <row r="119" spans="1:121" x14ac:dyDescent="0.15">
      <c r="A119">
        <v>2018</v>
      </c>
      <c r="B119" t="s">
        <v>241</v>
      </c>
      <c r="C119" t="str">
        <f>"1040011"</f>
        <v>1040011</v>
      </c>
      <c r="D119" t="s">
        <v>123</v>
      </c>
      <c r="E119" t="str">
        <f t="shared" si="0"/>
        <v>0000000</v>
      </c>
      <c r="F119" t="s">
        <v>123</v>
      </c>
      <c r="G119" t="s">
        <v>123</v>
      </c>
      <c r="H119" t="s">
        <v>123</v>
      </c>
      <c r="J119" t="s">
        <v>124</v>
      </c>
      <c r="K119">
        <v>682.03596500000003</v>
      </c>
      <c r="L119">
        <v>1150</v>
      </c>
      <c r="M119">
        <v>59.307474999999997</v>
      </c>
      <c r="N119" t="s">
        <v>125</v>
      </c>
      <c r="O119">
        <v>1</v>
      </c>
      <c r="P119">
        <v>58.257866999999997</v>
      </c>
      <c r="Q119">
        <v>38.838577999999998</v>
      </c>
      <c r="R119">
        <v>50</v>
      </c>
      <c r="S119">
        <v>55.068933000000001</v>
      </c>
      <c r="T119">
        <v>70.477001999999999</v>
      </c>
      <c r="U119">
        <v>36.712622000000003</v>
      </c>
      <c r="V119">
        <v>50</v>
      </c>
      <c r="W119">
        <v>53.084342999999997</v>
      </c>
      <c r="X119">
        <v>35.389561999999998</v>
      </c>
      <c r="Y119">
        <v>50</v>
      </c>
      <c r="Z119">
        <v>64.626318999999995</v>
      </c>
      <c r="AA119">
        <v>50.077489</v>
      </c>
      <c r="AB119">
        <v>33.384991999999997</v>
      </c>
      <c r="AC119">
        <v>50</v>
      </c>
      <c r="AD119">
        <v>55.302593000000002</v>
      </c>
      <c r="AE119">
        <v>36.868395</v>
      </c>
      <c r="AF119">
        <v>50</v>
      </c>
      <c r="AG119">
        <v>52.339708999999999</v>
      </c>
      <c r="AH119">
        <v>66.963657999999995</v>
      </c>
      <c r="AI119">
        <v>34.893138999999998</v>
      </c>
      <c r="AJ119">
        <v>50</v>
      </c>
      <c r="AK119">
        <v>15.4</v>
      </c>
      <c r="AL119">
        <v>14.54</v>
      </c>
      <c r="AM119">
        <v>14.62</v>
      </c>
      <c r="AN119">
        <v>0.48123899999999997</v>
      </c>
      <c r="AO119">
        <v>48.123919000000001</v>
      </c>
      <c r="AP119">
        <v>100</v>
      </c>
      <c r="AQ119">
        <v>0.47567700000000002</v>
      </c>
      <c r="AR119">
        <v>47.567691000000003</v>
      </c>
      <c r="AS119">
        <v>100</v>
      </c>
      <c r="AT119">
        <v>0.47717999999999999</v>
      </c>
      <c r="AU119">
        <v>0.49481199999999997</v>
      </c>
      <c r="AV119">
        <v>47.717956000000001</v>
      </c>
      <c r="AW119">
        <v>100</v>
      </c>
      <c r="AX119">
        <v>0.47598299999999999</v>
      </c>
      <c r="AY119">
        <v>0.47465299999999999</v>
      </c>
      <c r="AZ119">
        <v>47.598286999999999</v>
      </c>
      <c r="BA119">
        <v>100</v>
      </c>
      <c r="BB119">
        <v>0.616286</v>
      </c>
      <c r="BC119">
        <v>30.814314</v>
      </c>
      <c r="BD119">
        <v>50</v>
      </c>
      <c r="BE119">
        <v>0.55088300000000001</v>
      </c>
      <c r="BF119">
        <v>27.544149000000001</v>
      </c>
      <c r="BG119">
        <v>50</v>
      </c>
      <c r="BH119">
        <v>0</v>
      </c>
      <c r="BI119">
        <v>0.98695500000000003</v>
      </c>
      <c r="BJ119">
        <v>0.98655499999999996</v>
      </c>
      <c r="BK119">
        <v>0.98858400000000002</v>
      </c>
      <c r="BL119">
        <v>0.98470500000000005</v>
      </c>
      <c r="BM119">
        <v>0.98376300000000005</v>
      </c>
      <c r="BN119">
        <v>0.98855800000000005</v>
      </c>
      <c r="BO119">
        <v>0.97916700000000001</v>
      </c>
      <c r="BP119">
        <v>0.97734600000000005</v>
      </c>
      <c r="BQ119">
        <v>0.98666699999999996</v>
      </c>
      <c r="BR119">
        <v>0.119988</v>
      </c>
      <c r="BS119">
        <v>36.002341000000001</v>
      </c>
      <c r="BT119">
        <v>50</v>
      </c>
      <c r="BU119">
        <v>0.13430700000000001</v>
      </c>
      <c r="BV119">
        <v>33.138686</v>
      </c>
      <c r="BW119">
        <v>50</v>
      </c>
      <c r="BX119">
        <v>0.61538499999999996</v>
      </c>
      <c r="BY119">
        <v>41.025641</v>
      </c>
      <c r="BZ119">
        <v>50</v>
      </c>
      <c r="CA119" t="s">
        <v>125</v>
      </c>
      <c r="CB119" t="s">
        <v>125</v>
      </c>
      <c r="CC119">
        <v>50</v>
      </c>
      <c r="CD119">
        <v>0.83714299999999997</v>
      </c>
      <c r="CE119">
        <v>44.528874999999999</v>
      </c>
      <c r="CF119">
        <v>50</v>
      </c>
      <c r="CG119" t="s">
        <v>125</v>
      </c>
      <c r="CH119" t="s">
        <v>125</v>
      </c>
      <c r="CI119" t="s">
        <v>125</v>
      </c>
      <c r="CJ119" t="s">
        <v>125</v>
      </c>
      <c r="CK119" t="s">
        <v>125</v>
      </c>
      <c r="CL119" t="s">
        <v>125</v>
      </c>
      <c r="CM119" t="s">
        <v>125</v>
      </c>
      <c r="CN119" t="s">
        <v>125</v>
      </c>
      <c r="CO119" t="s">
        <v>125</v>
      </c>
      <c r="CP119" t="s">
        <v>125</v>
      </c>
      <c r="CQ119">
        <v>0.42349500000000001</v>
      </c>
      <c r="CR119">
        <v>0.92007300000000003</v>
      </c>
      <c r="CS119">
        <v>28.232970999999999</v>
      </c>
      <c r="CT119">
        <v>50</v>
      </c>
      <c r="CU119">
        <v>0.40384599999999998</v>
      </c>
      <c r="CV119">
        <v>33.653846000000001</v>
      </c>
      <c r="CW119">
        <v>50</v>
      </c>
      <c r="CX119" t="s">
        <v>125</v>
      </c>
      <c r="CY119" t="s">
        <v>125</v>
      </c>
      <c r="CZ119" t="s">
        <v>125</v>
      </c>
      <c r="DA119">
        <v>15.389535</v>
      </c>
      <c r="DB119">
        <v>17.608319000000002</v>
      </c>
      <c r="DC119">
        <v>16.064022999999999</v>
      </c>
      <c r="DD119" t="s">
        <v>125</v>
      </c>
      <c r="DE119" t="s">
        <v>125</v>
      </c>
      <c r="DJ119" t="s">
        <v>125</v>
      </c>
      <c r="DK119" t="s">
        <v>125</v>
      </c>
      <c r="DL119" t="s">
        <v>125</v>
      </c>
      <c r="DM119" t="s">
        <v>125</v>
      </c>
      <c r="DN119" t="s">
        <v>125</v>
      </c>
      <c r="DO119" t="s">
        <v>125</v>
      </c>
      <c r="DQ119" t="s">
        <v>126</v>
      </c>
    </row>
    <row r="120" spans="1:121" x14ac:dyDescent="0.15">
      <c r="A120">
        <v>2018</v>
      </c>
      <c r="B120" t="s">
        <v>242</v>
      </c>
      <c r="C120" t="str">
        <f>"1660011"</f>
        <v>1660011</v>
      </c>
      <c r="D120" t="s">
        <v>123</v>
      </c>
      <c r="E120" t="str">
        <f t="shared" si="0"/>
        <v>0000000</v>
      </c>
      <c r="F120" t="s">
        <v>123</v>
      </c>
      <c r="G120" t="s">
        <v>123</v>
      </c>
      <c r="H120" t="s">
        <v>123</v>
      </c>
      <c r="J120" t="s">
        <v>124</v>
      </c>
      <c r="K120">
        <v>1164.5271459999999</v>
      </c>
      <c r="L120">
        <v>1450</v>
      </c>
      <c r="M120">
        <v>80.312217000000004</v>
      </c>
      <c r="N120" t="s">
        <v>125</v>
      </c>
      <c r="O120">
        <v>0</v>
      </c>
      <c r="P120">
        <v>73.035526000000004</v>
      </c>
      <c r="Q120">
        <v>48.690351</v>
      </c>
      <c r="R120">
        <v>50</v>
      </c>
      <c r="S120">
        <v>67.367192000000003</v>
      </c>
      <c r="T120">
        <v>75</v>
      </c>
      <c r="U120">
        <v>44.911461000000003</v>
      </c>
      <c r="V120">
        <v>50</v>
      </c>
      <c r="W120">
        <v>70.522902000000002</v>
      </c>
      <c r="X120">
        <v>47.015267999999999</v>
      </c>
      <c r="Y120">
        <v>50</v>
      </c>
      <c r="Z120">
        <v>74.453507999999999</v>
      </c>
      <c r="AA120">
        <v>64.099716000000001</v>
      </c>
      <c r="AB120">
        <v>42.733144000000003</v>
      </c>
      <c r="AC120">
        <v>50</v>
      </c>
      <c r="AD120">
        <v>64.827642999999995</v>
      </c>
      <c r="AE120">
        <v>43.218428000000003</v>
      </c>
      <c r="AF120">
        <v>50</v>
      </c>
      <c r="AG120">
        <v>58.913469999999997</v>
      </c>
      <c r="AH120">
        <v>68.084487999999993</v>
      </c>
      <c r="AI120">
        <v>39.275646999999999</v>
      </c>
      <c r="AJ120">
        <v>50</v>
      </c>
      <c r="AK120">
        <v>7.63</v>
      </c>
      <c r="AL120">
        <v>10.35</v>
      </c>
      <c r="AM120">
        <v>9.17</v>
      </c>
      <c r="AN120">
        <v>0.59159099999999998</v>
      </c>
      <c r="AO120">
        <v>59.159109000000001</v>
      </c>
      <c r="AP120">
        <v>100</v>
      </c>
      <c r="AQ120">
        <v>0.66158600000000001</v>
      </c>
      <c r="AR120">
        <v>66.158595000000005</v>
      </c>
      <c r="AS120">
        <v>100</v>
      </c>
      <c r="AT120">
        <v>0.56128</v>
      </c>
      <c r="AU120">
        <v>0.60938999999999999</v>
      </c>
      <c r="AV120">
        <v>56.127966999999998</v>
      </c>
      <c r="AW120">
        <v>100</v>
      </c>
      <c r="AX120">
        <v>0.60657099999999997</v>
      </c>
      <c r="AY120">
        <v>0.69389100000000004</v>
      </c>
      <c r="AZ120">
        <v>60.657108999999998</v>
      </c>
      <c r="BA120">
        <v>100</v>
      </c>
      <c r="BB120">
        <v>0.68548200000000004</v>
      </c>
      <c r="BC120">
        <v>34.274104000000001</v>
      </c>
      <c r="BD120">
        <v>50</v>
      </c>
      <c r="BE120">
        <v>0.66764299999999999</v>
      </c>
      <c r="BF120">
        <v>33.382142000000002</v>
      </c>
      <c r="BG120">
        <v>50</v>
      </c>
      <c r="BH120">
        <v>0</v>
      </c>
      <c r="BI120">
        <v>0.99504999999999999</v>
      </c>
      <c r="BJ120">
        <v>0.99141599999999996</v>
      </c>
      <c r="BK120">
        <v>0.99731899999999996</v>
      </c>
      <c r="BL120">
        <v>0.99504999999999999</v>
      </c>
      <c r="BM120">
        <v>0.99141599999999996</v>
      </c>
      <c r="BN120">
        <v>0.99731899999999996</v>
      </c>
      <c r="BO120">
        <v>0.99651000000000001</v>
      </c>
      <c r="BP120">
        <v>0.99507400000000001</v>
      </c>
      <c r="BQ120">
        <v>0.99729699999999999</v>
      </c>
      <c r="BR120">
        <v>4.3556999999999998E-2</v>
      </c>
      <c r="BS120">
        <v>50</v>
      </c>
      <c r="BT120">
        <v>50</v>
      </c>
      <c r="BU120">
        <v>6.7081000000000002E-2</v>
      </c>
      <c r="BV120">
        <v>46.583851000000003</v>
      </c>
      <c r="BW120">
        <v>50</v>
      </c>
      <c r="BX120">
        <v>0.71666700000000005</v>
      </c>
      <c r="BY120">
        <v>47.777777999999998</v>
      </c>
      <c r="BZ120">
        <v>50</v>
      </c>
      <c r="CA120">
        <v>0.5</v>
      </c>
      <c r="CB120">
        <v>33.333333000000003</v>
      </c>
      <c r="CC120">
        <v>50</v>
      </c>
      <c r="CD120">
        <v>0.99137900000000001</v>
      </c>
      <c r="CE120">
        <v>50</v>
      </c>
      <c r="CF120">
        <v>50</v>
      </c>
      <c r="CG120">
        <v>0.96703300000000003</v>
      </c>
      <c r="CH120">
        <v>100</v>
      </c>
      <c r="CI120">
        <v>100</v>
      </c>
      <c r="CJ120">
        <v>0</v>
      </c>
      <c r="CK120">
        <v>0.92592600000000003</v>
      </c>
      <c r="CL120">
        <v>98.502758</v>
      </c>
      <c r="CM120">
        <v>100</v>
      </c>
      <c r="CN120">
        <v>0.74199999999999999</v>
      </c>
      <c r="CO120">
        <v>98.876403999999994</v>
      </c>
      <c r="CP120">
        <v>100</v>
      </c>
      <c r="CQ120">
        <v>0.63905299999999998</v>
      </c>
      <c r="CR120">
        <v>0.96709599999999996</v>
      </c>
      <c r="CS120">
        <v>42.603549999999998</v>
      </c>
      <c r="CT120">
        <v>50</v>
      </c>
      <c r="CU120">
        <v>0.25495400000000001</v>
      </c>
      <c r="CV120">
        <v>21.246147000000001</v>
      </c>
      <c r="CW120">
        <v>50</v>
      </c>
      <c r="CX120">
        <v>0.92592600000000003</v>
      </c>
      <c r="CY120">
        <v>0.94</v>
      </c>
      <c r="CZ120">
        <v>1.4074E-2</v>
      </c>
      <c r="DA120">
        <v>15.389535</v>
      </c>
      <c r="DB120">
        <v>17.608319000000002</v>
      </c>
      <c r="DC120">
        <v>16.064022999999999</v>
      </c>
      <c r="DD120">
        <v>11.115401</v>
      </c>
      <c r="DE120" t="s">
        <v>125</v>
      </c>
      <c r="DJ120" t="s">
        <v>125</v>
      </c>
      <c r="DK120" t="s">
        <v>125</v>
      </c>
      <c r="DL120" t="s">
        <v>125</v>
      </c>
      <c r="DM120" t="s">
        <v>125</v>
      </c>
      <c r="DN120" t="s">
        <v>125</v>
      </c>
      <c r="DO120" t="s">
        <v>125</v>
      </c>
      <c r="DQ120" t="s">
        <v>126</v>
      </c>
    </row>
    <row r="121" spans="1:121" x14ac:dyDescent="0.15">
      <c r="A121">
        <v>2018</v>
      </c>
      <c r="B121" t="s">
        <v>243</v>
      </c>
      <c r="C121" t="str">
        <f>"2010012"</f>
        <v>2010012</v>
      </c>
      <c r="D121" t="s">
        <v>123</v>
      </c>
      <c r="E121" t="str">
        <f t="shared" si="0"/>
        <v>0000000</v>
      </c>
      <c r="F121" t="s">
        <v>123</v>
      </c>
      <c r="G121" t="s">
        <v>123</v>
      </c>
      <c r="H121" t="s">
        <v>123</v>
      </c>
      <c r="J121" t="s">
        <v>124</v>
      </c>
      <c r="K121">
        <v>1141.931591</v>
      </c>
      <c r="L121">
        <v>1450</v>
      </c>
      <c r="M121">
        <v>78.753902999999994</v>
      </c>
      <c r="N121" t="s">
        <v>125</v>
      </c>
      <c r="O121">
        <v>0</v>
      </c>
      <c r="P121">
        <v>60.779724000000002</v>
      </c>
      <c r="Q121">
        <v>121.559448</v>
      </c>
      <c r="R121">
        <v>150</v>
      </c>
      <c r="S121">
        <v>56.259501999999998</v>
      </c>
      <c r="T121">
        <v>66.402439000000001</v>
      </c>
      <c r="U121">
        <v>112.51900500000001</v>
      </c>
      <c r="V121">
        <v>150</v>
      </c>
      <c r="W121">
        <v>51.474834999999999</v>
      </c>
      <c r="X121">
        <v>102.94967</v>
      </c>
      <c r="Y121">
        <v>150</v>
      </c>
      <c r="Z121">
        <v>57.817073000000001</v>
      </c>
      <c r="AA121">
        <v>46.376173000000001</v>
      </c>
      <c r="AB121">
        <v>92.752346000000003</v>
      </c>
      <c r="AC121">
        <v>150</v>
      </c>
      <c r="AD121">
        <v>67.783638999999994</v>
      </c>
      <c r="AE121">
        <v>90.378185000000002</v>
      </c>
      <c r="AF121">
        <v>100</v>
      </c>
      <c r="AG121">
        <v>63.024892999999999</v>
      </c>
      <c r="AH121">
        <v>73.470918999999995</v>
      </c>
      <c r="AI121">
        <v>84.033191000000002</v>
      </c>
      <c r="AJ121">
        <v>100</v>
      </c>
      <c r="AK121">
        <v>10.14</v>
      </c>
      <c r="AL121">
        <v>11.44</v>
      </c>
      <c r="AM121">
        <v>10.44</v>
      </c>
      <c r="AN121" t="s">
        <v>125</v>
      </c>
      <c r="AO121" t="s">
        <v>125</v>
      </c>
      <c r="AP121" t="s">
        <v>125</v>
      </c>
      <c r="AQ121" t="s">
        <v>125</v>
      </c>
      <c r="AR121" t="s">
        <v>125</v>
      </c>
      <c r="AS121" t="s">
        <v>125</v>
      </c>
      <c r="AT121" t="s">
        <v>125</v>
      </c>
      <c r="AU121" t="s">
        <v>125</v>
      </c>
      <c r="AV121" t="s">
        <v>125</v>
      </c>
      <c r="AW121" t="s">
        <v>125</v>
      </c>
      <c r="AX121" t="s">
        <v>125</v>
      </c>
      <c r="AY121" t="s">
        <v>125</v>
      </c>
      <c r="AZ121" t="s">
        <v>125</v>
      </c>
      <c r="BA121" t="s">
        <v>125</v>
      </c>
      <c r="BB121" t="s">
        <v>125</v>
      </c>
      <c r="BC121" t="s">
        <v>125</v>
      </c>
      <c r="BD121" t="s">
        <v>125</v>
      </c>
      <c r="BE121" t="s">
        <v>125</v>
      </c>
      <c r="BF121" t="s">
        <v>125</v>
      </c>
      <c r="BG121" t="s">
        <v>125</v>
      </c>
      <c r="BH121">
        <v>1</v>
      </c>
      <c r="BI121">
        <v>0.961538</v>
      </c>
      <c r="BJ121">
        <v>0.95082</v>
      </c>
      <c r="BK121">
        <v>0.97674399999999995</v>
      </c>
      <c r="BL121">
        <v>0.95192299999999996</v>
      </c>
      <c r="BM121">
        <v>0.93442599999999998</v>
      </c>
      <c r="BN121">
        <v>0.97674399999999995</v>
      </c>
      <c r="BO121">
        <v>0.97</v>
      </c>
      <c r="BP121">
        <v>0.94736799999999999</v>
      </c>
      <c r="BQ121">
        <v>1</v>
      </c>
      <c r="BR121">
        <v>0.16161600000000001</v>
      </c>
      <c r="BS121">
        <v>27.676767999999999</v>
      </c>
      <c r="BT121">
        <v>50</v>
      </c>
      <c r="BU121">
        <v>0.243094</v>
      </c>
      <c r="BV121">
        <v>11.381214999999999</v>
      </c>
      <c r="BW121">
        <v>50</v>
      </c>
      <c r="BX121">
        <v>0.93396199999999996</v>
      </c>
      <c r="BY121">
        <v>50</v>
      </c>
      <c r="BZ121">
        <v>50</v>
      </c>
      <c r="CA121">
        <v>0.38679200000000002</v>
      </c>
      <c r="CB121">
        <v>25.786163999999999</v>
      </c>
      <c r="CC121">
        <v>50</v>
      </c>
      <c r="CD121">
        <v>0.92222199999999999</v>
      </c>
      <c r="CE121">
        <v>49.054374000000003</v>
      </c>
      <c r="CF121">
        <v>50</v>
      </c>
      <c r="CG121">
        <v>0.94565200000000005</v>
      </c>
      <c r="CH121">
        <v>100</v>
      </c>
      <c r="CI121">
        <v>100</v>
      </c>
      <c r="CJ121">
        <v>0</v>
      </c>
      <c r="CK121">
        <v>0.91891900000000004</v>
      </c>
      <c r="CL121">
        <v>97.757332000000005</v>
      </c>
      <c r="CM121">
        <v>100</v>
      </c>
      <c r="CN121">
        <v>0.67900000000000005</v>
      </c>
      <c r="CO121">
        <v>90.476190000000003</v>
      </c>
      <c r="CP121">
        <v>100</v>
      </c>
      <c r="CQ121">
        <v>0.581395</v>
      </c>
      <c r="CR121">
        <v>0.93478300000000003</v>
      </c>
      <c r="CS121">
        <v>38.759689999999999</v>
      </c>
      <c r="CT121">
        <v>50</v>
      </c>
      <c r="CU121">
        <v>0.56217600000000001</v>
      </c>
      <c r="CV121">
        <v>46.848013999999999</v>
      </c>
      <c r="CW121">
        <v>50</v>
      </c>
      <c r="CX121">
        <v>0.91891900000000004</v>
      </c>
      <c r="CY121">
        <v>0.94</v>
      </c>
      <c r="CZ121">
        <v>2.1080999999999999E-2</v>
      </c>
      <c r="DA121">
        <v>15.389535</v>
      </c>
      <c r="DB121">
        <v>17.608319000000002</v>
      </c>
      <c r="DC121">
        <v>16.064022999999999</v>
      </c>
      <c r="DD121">
        <v>11.115401</v>
      </c>
      <c r="DE121" t="s">
        <v>125</v>
      </c>
      <c r="DJ121" t="s">
        <v>125</v>
      </c>
      <c r="DK121" t="s">
        <v>125</v>
      </c>
      <c r="DL121" t="s">
        <v>125</v>
      </c>
      <c r="DM121" t="s">
        <v>125</v>
      </c>
      <c r="DN121" t="s">
        <v>125</v>
      </c>
      <c r="DO121" t="s">
        <v>125</v>
      </c>
      <c r="DQ121" t="s">
        <v>126</v>
      </c>
    </row>
    <row r="122" spans="1:121" x14ac:dyDescent="0.15">
      <c r="A122">
        <v>2018</v>
      </c>
      <c r="B122" t="s">
        <v>244</v>
      </c>
      <c r="C122" t="str">
        <f>"2040012"</f>
        <v>2040012</v>
      </c>
      <c r="D122" t="s">
        <v>123</v>
      </c>
      <c r="E122" t="str">
        <f t="shared" si="0"/>
        <v>0000000</v>
      </c>
      <c r="F122" t="s">
        <v>123</v>
      </c>
      <c r="G122" t="s">
        <v>123</v>
      </c>
      <c r="H122" t="s">
        <v>123</v>
      </c>
      <c r="J122" t="s">
        <v>124</v>
      </c>
      <c r="K122">
        <v>1040.4432670000001</v>
      </c>
      <c r="L122">
        <v>1350</v>
      </c>
      <c r="M122">
        <v>77.069872000000004</v>
      </c>
      <c r="N122" t="s">
        <v>125</v>
      </c>
      <c r="O122">
        <v>0</v>
      </c>
      <c r="P122">
        <v>72.142020000000002</v>
      </c>
      <c r="Q122">
        <v>48.094679999999997</v>
      </c>
      <c r="R122">
        <v>50</v>
      </c>
      <c r="S122">
        <v>62.465294</v>
      </c>
      <c r="T122">
        <v>75</v>
      </c>
      <c r="U122">
        <v>41.643529999999998</v>
      </c>
      <c r="V122">
        <v>50</v>
      </c>
      <c r="W122">
        <v>66.594804999999994</v>
      </c>
      <c r="X122">
        <v>44.396537000000002</v>
      </c>
      <c r="Y122">
        <v>50</v>
      </c>
      <c r="Z122">
        <v>72.764387999999997</v>
      </c>
      <c r="AA122">
        <v>55.339486000000001</v>
      </c>
      <c r="AB122">
        <v>36.892989999999998</v>
      </c>
      <c r="AC122">
        <v>50</v>
      </c>
      <c r="AD122">
        <v>68.754965999999996</v>
      </c>
      <c r="AE122">
        <v>45.836644</v>
      </c>
      <c r="AF122">
        <v>50</v>
      </c>
      <c r="AG122">
        <v>60.100901999999998</v>
      </c>
      <c r="AH122">
        <v>72.616010000000003</v>
      </c>
      <c r="AI122">
        <v>40.067267999999999</v>
      </c>
      <c r="AJ122">
        <v>50</v>
      </c>
      <c r="AK122">
        <v>12.53</v>
      </c>
      <c r="AL122">
        <v>17.420000000000002</v>
      </c>
      <c r="AM122">
        <v>12.51</v>
      </c>
      <c r="AN122">
        <v>0.487292</v>
      </c>
      <c r="AO122">
        <v>48.729247000000001</v>
      </c>
      <c r="AP122">
        <v>100</v>
      </c>
      <c r="AQ122">
        <v>0.55479000000000001</v>
      </c>
      <c r="AR122">
        <v>55.478988999999999</v>
      </c>
      <c r="AS122">
        <v>100</v>
      </c>
      <c r="AT122">
        <v>0.49782300000000002</v>
      </c>
      <c r="AU122">
        <v>0.48097400000000001</v>
      </c>
      <c r="AV122">
        <v>49.782335000000003</v>
      </c>
      <c r="AW122">
        <v>100</v>
      </c>
      <c r="AX122">
        <v>0.50785999999999998</v>
      </c>
      <c r="AY122">
        <v>0.58267199999999997</v>
      </c>
      <c r="AZ122">
        <v>50.786019000000003</v>
      </c>
      <c r="BA122">
        <v>100</v>
      </c>
      <c r="BB122" t="s">
        <v>125</v>
      </c>
      <c r="BC122" t="s">
        <v>125</v>
      </c>
      <c r="BD122" t="s">
        <v>125</v>
      </c>
      <c r="BE122" t="s">
        <v>125</v>
      </c>
      <c r="BF122" t="s">
        <v>125</v>
      </c>
      <c r="BG122" t="s">
        <v>125</v>
      </c>
      <c r="BH122">
        <v>1</v>
      </c>
      <c r="BI122">
        <v>0.97253999999999996</v>
      </c>
      <c r="BJ122">
        <v>0.93827199999999999</v>
      </c>
      <c r="BK122">
        <v>0.99272700000000003</v>
      </c>
      <c r="BL122">
        <v>0.97253999999999996</v>
      </c>
      <c r="BM122">
        <v>0.93827199999999999</v>
      </c>
      <c r="BN122">
        <v>0.99272700000000003</v>
      </c>
      <c r="BO122">
        <v>0.976109</v>
      </c>
      <c r="BP122">
        <v>0.94623699999999999</v>
      </c>
      <c r="BQ122">
        <v>0.99</v>
      </c>
      <c r="BR122">
        <v>7.4074000000000001E-2</v>
      </c>
      <c r="BS122">
        <v>45.185184999999997</v>
      </c>
      <c r="BT122">
        <v>50</v>
      </c>
      <c r="BU122">
        <v>0.12703600000000001</v>
      </c>
      <c r="BV122">
        <v>34.592834000000003</v>
      </c>
      <c r="BW122">
        <v>50</v>
      </c>
      <c r="BX122">
        <v>0.87583900000000003</v>
      </c>
      <c r="BY122">
        <v>50</v>
      </c>
      <c r="BZ122">
        <v>50</v>
      </c>
      <c r="CA122">
        <v>0.55369100000000004</v>
      </c>
      <c r="CB122">
        <v>36.912751999999998</v>
      </c>
      <c r="CC122">
        <v>50</v>
      </c>
      <c r="CD122">
        <v>0.97653999999999996</v>
      </c>
      <c r="CE122">
        <v>50</v>
      </c>
      <c r="CF122">
        <v>50</v>
      </c>
      <c r="CG122">
        <v>0.96794899999999995</v>
      </c>
      <c r="CH122">
        <v>100</v>
      </c>
      <c r="CI122">
        <v>100</v>
      </c>
      <c r="CJ122">
        <v>0</v>
      </c>
      <c r="CK122">
        <v>0.97619</v>
      </c>
      <c r="CL122">
        <v>100</v>
      </c>
      <c r="CM122">
        <v>100</v>
      </c>
      <c r="CN122">
        <v>0.78100000000000003</v>
      </c>
      <c r="CO122">
        <v>100</v>
      </c>
      <c r="CP122">
        <v>100</v>
      </c>
      <c r="CQ122">
        <v>0.51612899999999995</v>
      </c>
      <c r="CR122">
        <v>0.88888900000000004</v>
      </c>
      <c r="CS122">
        <v>17.204301000000001</v>
      </c>
      <c r="CT122">
        <v>50</v>
      </c>
      <c r="CU122">
        <v>0.53807899999999997</v>
      </c>
      <c r="CV122">
        <v>44.839956000000001</v>
      </c>
      <c r="CW122">
        <v>50</v>
      </c>
      <c r="CX122">
        <v>0.97619</v>
      </c>
      <c r="CY122">
        <v>0.94</v>
      </c>
      <c r="CZ122">
        <v>-3.619E-2</v>
      </c>
      <c r="DA122">
        <v>15.389535</v>
      </c>
      <c r="DB122">
        <v>17.608319000000002</v>
      </c>
      <c r="DC122">
        <v>16.064022999999999</v>
      </c>
      <c r="DD122">
        <v>11.115401</v>
      </c>
      <c r="DE122" t="s">
        <v>125</v>
      </c>
      <c r="DJ122" t="s">
        <v>125</v>
      </c>
      <c r="DK122" t="s">
        <v>125</v>
      </c>
      <c r="DL122" t="s">
        <v>125</v>
      </c>
      <c r="DM122" t="s">
        <v>125</v>
      </c>
      <c r="DN122" t="s">
        <v>125</v>
      </c>
      <c r="DO122" t="s">
        <v>125</v>
      </c>
      <c r="DQ122" t="s">
        <v>126</v>
      </c>
    </row>
    <row r="123" spans="1:121" x14ac:dyDescent="0.15">
      <c r="A123">
        <v>2018</v>
      </c>
      <c r="B123" t="s">
        <v>245</v>
      </c>
      <c r="C123" t="str">
        <f>"2050012"</f>
        <v>2050012</v>
      </c>
      <c r="D123" t="s">
        <v>123</v>
      </c>
      <c r="E123" t="str">
        <f t="shared" si="0"/>
        <v>0000000</v>
      </c>
      <c r="F123" t="s">
        <v>123</v>
      </c>
      <c r="G123" t="s">
        <v>123</v>
      </c>
      <c r="H123" t="s">
        <v>123</v>
      </c>
      <c r="J123" t="s">
        <v>124</v>
      </c>
      <c r="K123">
        <v>1121.1200329999999</v>
      </c>
      <c r="L123">
        <v>1350</v>
      </c>
      <c r="M123">
        <v>83.045928000000004</v>
      </c>
      <c r="N123" t="s">
        <v>125</v>
      </c>
      <c r="O123">
        <v>0</v>
      </c>
      <c r="P123">
        <v>76.765895999999998</v>
      </c>
      <c r="Q123">
        <v>50</v>
      </c>
      <c r="R123">
        <v>50</v>
      </c>
      <c r="S123">
        <v>61.746785000000003</v>
      </c>
      <c r="T123">
        <v>75</v>
      </c>
      <c r="U123">
        <v>41.164523000000003</v>
      </c>
      <c r="V123">
        <v>50</v>
      </c>
      <c r="W123">
        <v>75.265944000000005</v>
      </c>
      <c r="X123">
        <v>50</v>
      </c>
      <c r="Y123">
        <v>50</v>
      </c>
      <c r="Z123">
        <v>75</v>
      </c>
      <c r="AA123">
        <v>59.873457999999999</v>
      </c>
      <c r="AB123">
        <v>39.915638000000001</v>
      </c>
      <c r="AC123">
        <v>50</v>
      </c>
      <c r="AD123">
        <v>75.524843000000004</v>
      </c>
      <c r="AE123">
        <v>50</v>
      </c>
      <c r="AF123">
        <v>50</v>
      </c>
      <c r="AG123">
        <v>62.114283999999998</v>
      </c>
      <c r="AH123">
        <v>75</v>
      </c>
      <c r="AI123">
        <v>41.409522000000003</v>
      </c>
      <c r="AJ123">
        <v>50</v>
      </c>
      <c r="AK123">
        <v>13.25</v>
      </c>
      <c r="AL123">
        <v>15.12</v>
      </c>
      <c r="AM123">
        <v>12.88</v>
      </c>
      <c r="AN123">
        <v>0.63564399999999999</v>
      </c>
      <c r="AO123">
        <v>63.564377</v>
      </c>
      <c r="AP123">
        <v>100</v>
      </c>
      <c r="AQ123">
        <v>0.75343300000000002</v>
      </c>
      <c r="AR123">
        <v>75.343306999999996</v>
      </c>
      <c r="AS123">
        <v>100</v>
      </c>
      <c r="AT123">
        <v>0.43741799999999997</v>
      </c>
      <c r="AU123">
        <v>0.69021600000000005</v>
      </c>
      <c r="AV123">
        <v>43.741795000000003</v>
      </c>
      <c r="AW123">
        <v>100</v>
      </c>
      <c r="AX123">
        <v>0.55983899999999998</v>
      </c>
      <c r="AY123">
        <v>0.80605300000000002</v>
      </c>
      <c r="AZ123">
        <v>55.983894999999997</v>
      </c>
      <c r="BA123">
        <v>100</v>
      </c>
      <c r="BB123" t="s">
        <v>125</v>
      </c>
      <c r="BC123" t="s">
        <v>125</v>
      </c>
      <c r="BD123" t="s">
        <v>125</v>
      </c>
      <c r="BE123" t="s">
        <v>125</v>
      </c>
      <c r="BF123" t="s">
        <v>125</v>
      </c>
      <c r="BG123" t="s">
        <v>125</v>
      </c>
      <c r="BH123">
        <v>0</v>
      </c>
      <c r="BI123">
        <v>0.98295500000000002</v>
      </c>
      <c r="BJ123">
        <v>0.95719799999999999</v>
      </c>
      <c r="BK123">
        <v>0.99123899999999998</v>
      </c>
      <c r="BL123">
        <v>0.98295500000000002</v>
      </c>
      <c r="BM123">
        <v>0.95719799999999999</v>
      </c>
      <c r="BN123">
        <v>0.99123899999999998</v>
      </c>
      <c r="BO123">
        <v>0.99011300000000002</v>
      </c>
      <c r="BP123">
        <v>0.970414</v>
      </c>
      <c r="BQ123">
        <v>0.99628899999999998</v>
      </c>
      <c r="BR123">
        <v>5.5045999999999998E-2</v>
      </c>
      <c r="BS123">
        <v>48.990825999999998</v>
      </c>
      <c r="BT123">
        <v>50</v>
      </c>
      <c r="BU123">
        <v>0.119522</v>
      </c>
      <c r="BV123">
        <v>36.095618000000002</v>
      </c>
      <c r="BW123">
        <v>50</v>
      </c>
      <c r="BX123">
        <v>0.64026799999999995</v>
      </c>
      <c r="BY123">
        <v>42.684564000000002</v>
      </c>
      <c r="BZ123">
        <v>50</v>
      </c>
      <c r="CA123">
        <v>0.67382600000000004</v>
      </c>
      <c r="CB123">
        <v>44.921700000000001</v>
      </c>
      <c r="CC123">
        <v>50</v>
      </c>
      <c r="CD123">
        <v>0.97772000000000003</v>
      </c>
      <c r="CE123">
        <v>50</v>
      </c>
      <c r="CF123">
        <v>50</v>
      </c>
      <c r="CG123">
        <v>0.95342499999999997</v>
      </c>
      <c r="CH123">
        <v>100</v>
      </c>
      <c r="CI123">
        <v>100</v>
      </c>
      <c r="CJ123">
        <v>0</v>
      </c>
      <c r="CK123">
        <v>0.86075900000000005</v>
      </c>
      <c r="CL123">
        <v>91.570159000000004</v>
      </c>
      <c r="CM123">
        <v>100</v>
      </c>
      <c r="CN123">
        <v>0.877</v>
      </c>
      <c r="CO123">
        <v>100</v>
      </c>
      <c r="CP123">
        <v>100</v>
      </c>
      <c r="CQ123">
        <v>0.69684500000000005</v>
      </c>
      <c r="CR123">
        <v>1.0369839999999999</v>
      </c>
      <c r="CS123">
        <v>46.456333000000001</v>
      </c>
      <c r="CT123">
        <v>50</v>
      </c>
      <c r="CU123">
        <v>0.591333</v>
      </c>
      <c r="CV123">
        <v>49.277777999999998</v>
      </c>
      <c r="CW123">
        <v>50</v>
      </c>
      <c r="CX123">
        <v>0.86075900000000005</v>
      </c>
      <c r="CY123">
        <v>0.94</v>
      </c>
      <c r="CZ123">
        <v>7.9241000000000006E-2</v>
      </c>
      <c r="DA123">
        <v>15.389535</v>
      </c>
      <c r="DB123">
        <v>17.608319000000002</v>
      </c>
      <c r="DC123">
        <v>16.064022999999999</v>
      </c>
      <c r="DD123">
        <v>11.115401</v>
      </c>
      <c r="DE123" t="s">
        <v>125</v>
      </c>
      <c r="DJ123" t="s">
        <v>125</v>
      </c>
      <c r="DK123" t="s">
        <v>125</v>
      </c>
      <c r="DL123" t="s">
        <v>125</v>
      </c>
      <c r="DM123" t="s">
        <v>125</v>
      </c>
      <c r="DN123" t="s">
        <v>125</v>
      </c>
      <c r="DO123" t="s">
        <v>125</v>
      </c>
      <c r="DQ123" t="s">
        <v>126</v>
      </c>
    </row>
    <row r="124" spans="1:121" x14ac:dyDescent="0.15">
      <c r="A124">
        <v>2018</v>
      </c>
      <c r="B124" t="s">
        <v>246</v>
      </c>
      <c r="C124" t="str">
        <f>"1170011"</f>
        <v>1170011</v>
      </c>
      <c r="D124" t="s">
        <v>123</v>
      </c>
      <c r="E124" t="str">
        <f t="shared" si="0"/>
        <v>0000000</v>
      </c>
      <c r="F124" t="s">
        <v>123</v>
      </c>
      <c r="G124" t="s">
        <v>123</v>
      </c>
      <c r="H124" t="s">
        <v>123</v>
      </c>
      <c r="J124" t="s">
        <v>124</v>
      </c>
      <c r="K124">
        <v>739.64365899999996</v>
      </c>
      <c r="L124">
        <v>900</v>
      </c>
      <c r="M124">
        <v>82.182629000000006</v>
      </c>
      <c r="N124" t="s">
        <v>125</v>
      </c>
      <c r="O124">
        <v>0</v>
      </c>
      <c r="P124">
        <v>81.720511999999999</v>
      </c>
      <c r="Q124">
        <v>50</v>
      </c>
      <c r="R124">
        <v>50</v>
      </c>
      <c r="S124">
        <v>67.701622999999998</v>
      </c>
      <c r="T124">
        <v>75</v>
      </c>
      <c r="U124">
        <v>45.134414999999997</v>
      </c>
      <c r="V124">
        <v>50</v>
      </c>
      <c r="W124">
        <v>79.827216000000007</v>
      </c>
      <c r="X124">
        <v>50</v>
      </c>
      <c r="Y124">
        <v>50</v>
      </c>
      <c r="Z124">
        <v>75</v>
      </c>
      <c r="AA124">
        <v>64.147234999999995</v>
      </c>
      <c r="AB124">
        <v>42.764823</v>
      </c>
      <c r="AC124">
        <v>50</v>
      </c>
      <c r="AD124">
        <v>74.978127999999998</v>
      </c>
      <c r="AE124">
        <v>49.985418000000003</v>
      </c>
      <c r="AF124">
        <v>50</v>
      </c>
      <c r="AG124">
        <v>64.171619000000007</v>
      </c>
      <c r="AH124">
        <v>75</v>
      </c>
      <c r="AI124">
        <v>42.781080000000003</v>
      </c>
      <c r="AJ124">
        <v>50</v>
      </c>
      <c r="AK124">
        <v>7.29</v>
      </c>
      <c r="AL124">
        <v>10.85</v>
      </c>
      <c r="AM124">
        <v>10.82</v>
      </c>
      <c r="AN124">
        <v>0.65562100000000001</v>
      </c>
      <c r="AO124">
        <v>65.562064000000007</v>
      </c>
      <c r="AP124">
        <v>100</v>
      </c>
      <c r="AQ124">
        <v>0.74085100000000004</v>
      </c>
      <c r="AR124">
        <v>74.085053000000002</v>
      </c>
      <c r="AS124">
        <v>100</v>
      </c>
      <c r="AT124">
        <v>0.56956700000000005</v>
      </c>
      <c r="AU124">
        <v>0.68113699999999999</v>
      </c>
      <c r="AV124">
        <v>56.956682000000001</v>
      </c>
      <c r="AW124">
        <v>100</v>
      </c>
      <c r="AX124">
        <v>0.63158400000000003</v>
      </c>
      <c r="AY124">
        <v>0.77261400000000002</v>
      </c>
      <c r="AZ124">
        <v>63.158437999999997</v>
      </c>
      <c r="BA124">
        <v>100</v>
      </c>
      <c r="BB124" t="s">
        <v>125</v>
      </c>
      <c r="BC124" t="s">
        <v>125</v>
      </c>
      <c r="BD124" t="s">
        <v>125</v>
      </c>
      <c r="BE124" t="s">
        <v>125</v>
      </c>
      <c r="BF124" t="s">
        <v>125</v>
      </c>
      <c r="BG124" t="s">
        <v>125</v>
      </c>
      <c r="BH124">
        <v>0</v>
      </c>
      <c r="BI124">
        <v>0.98890900000000004</v>
      </c>
      <c r="BJ124">
        <v>0.984962</v>
      </c>
      <c r="BK124">
        <v>0.99019599999999997</v>
      </c>
      <c r="BL124">
        <v>0.98706099999999997</v>
      </c>
      <c r="BM124">
        <v>0.97744399999999998</v>
      </c>
      <c r="BN124">
        <v>0.99019599999999997</v>
      </c>
      <c r="BO124">
        <v>0.99484499999999998</v>
      </c>
      <c r="BP124">
        <v>1</v>
      </c>
      <c r="BQ124">
        <v>0.99337699999999995</v>
      </c>
      <c r="BR124">
        <v>3.4956000000000001E-2</v>
      </c>
      <c r="BS124">
        <v>50</v>
      </c>
      <c r="BT124">
        <v>50</v>
      </c>
      <c r="BU124">
        <v>5.3921999999999998E-2</v>
      </c>
      <c r="BV124">
        <v>49.215685999999998</v>
      </c>
      <c r="BW124">
        <v>50</v>
      </c>
      <c r="BX124" t="s">
        <v>125</v>
      </c>
      <c r="BY124" t="s">
        <v>125</v>
      </c>
      <c r="BZ124" t="s">
        <v>125</v>
      </c>
      <c r="CA124" t="s">
        <v>125</v>
      </c>
      <c r="CB124" t="s">
        <v>125</v>
      </c>
      <c r="CC124" t="s">
        <v>125</v>
      </c>
      <c r="CD124">
        <v>1</v>
      </c>
      <c r="CE124">
        <v>50</v>
      </c>
      <c r="CF124">
        <v>50</v>
      </c>
      <c r="CG124" t="s">
        <v>125</v>
      </c>
      <c r="CH124" t="s">
        <v>125</v>
      </c>
      <c r="CI124" t="s">
        <v>125</v>
      </c>
      <c r="CJ124" t="s">
        <v>125</v>
      </c>
      <c r="CK124" t="s">
        <v>125</v>
      </c>
      <c r="CL124" t="s">
        <v>125</v>
      </c>
      <c r="CM124" t="s">
        <v>125</v>
      </c>
      <c r="CN124" t="s">
        <v>125</v>
      </c>
      <c r="CO124" t="s">
        <v>125</v>
      </c>
      <c r="CP124" t="s">
        <v>125</v>
      </c>
      <c r="CQ124">
        <v>0.75645799999999996</v>
      </c>
      <c r="CR124">
        <v>0.94097200000000003</v>
      </c>
      <c r="CS124">
        <v>50</v>
      </c>
      <c r="CT124">
        <v>50</v>
      </c>
      <c r="CU124" t="s">
        <v>125</v>
      </c>
      <c r="CV124" t="s">
        <v>125</v>
      </c>
      <c r="CW124" t="s">
        <v>125</v>
      </c>
      <c r="CX124" t="s">
        <v>125</v>
      </c>
      <c r="CY124" t="s">
        <v>125</v>
      </c>
      <c r="CZ124" t="s">
        <v>125</v>
      </c>
      <c r="DA124">
        <v>15.389535</v>
      </c>
      <c r="DB124">
        <v>17.608319000000002</v>
      </c>
      <c r="DC124">
        <v>16.064022999999999</v>
      </c>
      <c r="DD124" t="s">
        <v>125</v>
      </c>
      <c r="DE124" t="s">
        <v>125</v>
      </c>
      <c r="DJ124" t="s">
        <v>125</v>
      </c>
      <c r="DK124" t="s">
        <v>125</v>
      </c>
      <c r="DL124" t="s">
        <v>125</v>
      </c>
      <c r="DM124" t="s">
        <v>125</v>
      </c>
      <c r="DN124" t="s">
        <v>125</v>
      </c>
      <c r="DO124" t="s">
        <v>125</v>
      </c>
      <c r="DQ124" t="s">
        <v>126</v>
      </c>
    </row>
    <row r="125" spans="1:121" x14ac:dyDescent="0.15">
      <c r="A125">
        <v>2018</v>
      </c>
      <c r="B125" t="s">
        <v>247</v>
      </c>
      <c r="C125" t="str">
        <f>"1180011"</f>
        <v>1180011</v>
      </c>
      <c r="D125" t="s">
        <v>123</v>
      </c>
      <c r="E125" t="str">
        <f t="shared" si="0"/>
        <v>0000000</v>
      </c>
      <c r="F125" t="s">
        <v>123</v>
      </c>
      <c r="G125" t="s">
        <v>123</v>
      </c>
      <c r="H125" t="s">
        <v>123</v>
      </c>
      <c r="J125" t="s">
        <v>124</v>
      </c>
      <c r="K125">
        <v>1251.168694</v>
      </c>
      <c r="L125">
        <v>1450</v>
      </c>
      <c r="M125">
        <v>86.287496000000004</v>
      </c>
      <c r="N125" t="s">
        <v>125</v>
      </c>
      <c r="O125">
        <v>0</v>
      </c>
      <c r="P125">
        <v>81.893349000000001</v>
      </c>
      <c r="Q125">
        <v>50</v>
      </c>
      <c r="R125">
        <v>50</v>
      </c>
      <c r="S125">
        <v>67.803685999999999</v>
      </c>
      <c r="T125">
        <v>75</v>
      </c>
      <c r="U125">
        <v>45.202457000000003</v>
      </c>
      <c r="V125">
        <v>50</v>
      </c>
      <c r="W125">
        <v>78.835890000000006</v>
      </c>
      <c r="X125">
        <v>50</v>
      </c>
      <c r="Y125">
        <v>50</v>
      </c>
      <c r="Z125">
        <v>75</v>
      </c>
      <c r="AA125">
        <v>63.008555999999999</v>
      </c>
      <c r="AB125">
        <v>42.005704000000001</v>
      </c>
      <c r="AC125">
        <v>50</v>
      </c>
      <c r="AD125">
        <v>75.952878999999996</v>
      </c>
      <c r="AE125">
        <v>50</v>
      </c>
      <c r="AF125">
        <v>50</v>
      </c>
      <c r="AG125">
        <v>61.021886000000002</v>
      </c>
      <c r="AH125">
        <v>75</v>
      </c>
      <c r="AI125">
        <v>40.681258</v>
      </c>
      <c r="AJ125">
        <v>50</v>
      </c>
      <c r="AK125">
        <v>7.19</v>
      </c>
      <c r="AL125">
        <v>11.99</v>
      </c>
      <c r="AM125">
        <v>13.97</v>
      </c>
      <c r="AN125">
        <v>0.69052500000000006</v>
      </c>
      <c r="AO125">
        <v>69.052498999999997</v>
      </c>
      <c r="AP125">
        <v>100</v>
      </c>
      <c r="AQ125">
        <v>0.77992700000000004</v>
      </c>
      <c r="AR125">
        <v>77.992699999999999</v>
      </c>
      <c r="AS125">
        <v>100</v>
      </c>
      <c r="AT125">
        <v>0.61250899999999997</v>
      </c>
      <c r="AU125">
        <v>0.70771600000000001</v>
      </c>
      <c r="AV125">
        <v>61.250886000000001</v>
      </c>
      <c r="AW125">
        <v>100</v>
      </c>
      <c r="AX125">
        <v>0.63203799999999999</v>
      </c>
      <c r="AY125">
        <v>0.81265200000000004</v>
      </c>
      <c r="AZ125">
        <v>63.203809999999997</v>
      </c>
      <c r="BA125">
        <v>100</v>
      </c>
      <c r="BB125">
        <v>0.84111499999999995</v>
      </c>
      <c r="BC125">
        <v>42.055770000000003</v>
      </c>
      <c r="BD125">
        <v>50</v>
      </c>
      <c r="BE125">
        <v>0.7258</v>
      </c>
      <c r="BF125">
        <v>36.289994</v>
      </c>
      <c r="BG125">
        <v>50</v>
      </c>
      <c r="BH125">
        <v>1</v>
      </c>
      <c r="BI125">
        <v>0.97782899999999995</v>
      </c>
      <c r="BJ125">
        <v>0.94807699999999995</v>
      </c>
      <c r="BK125">
        <v>0.98521000000000003</v>
      </c>
      <c r="BL125">
        <v>0.97514299999999998</v>
      </c>
      <c r="BM125">
        <v>0.94807699999999995</v>
      </c>
      <c r="BN125">
        <v>0.98186200000000001</v>
      </c>
      <c r="BO125">
        <v>0.96264899999999998</v>
      </c>
      <c r="BP125">
        <v>0.90950200000000003</v>
      </c>
      <c r="BQ125">
        <v>0.97492199999999996</v>
      </c>
      <c r="BR125">
        <v>5.9056999999999998E-2</v>
      </c>
      <c r="BS125">
        <v>48.188648000000001</v>
      </c>
      <c r="BT125">
        <v>50</v>
      </c>
      <c r="BU125">
        <v>0.132961</v>
      </c>
      <c r="BV125">
        <v>33.407820999999998</v>
      </c>
      <c r="BW125">
        <v>50</v>
      </c>
      <c r="BX125">
        <v>0.82732899999999998</v>
      </c>
      <c r="BY125">
        <v>50</v>
      </c>
      <c r="BZ125">
        <v>50</v>
      </c>
      <c r="CA125">
        <v>0.81614900000000001</v>
      </c>
      <c r="CB125">
        <v>50</v>
      </c>
      <c r="CC125">
        <v>50</v>
      </c>
      <c r="CD125">
        <v>0.98443599999999998</v>
      </c>
      <c r="CE125">
        <v>50</v>
      </c>
      <c r="CF125">
        <v>50</v>
      </c>
      <c r="CG125">
        <v>0.95550400000000002</v>
      </c>
      <c r="CH125">
        <v>100</v>
      </c>
      <c r="CI125">
        <v>100</v>
      </c>
      <c r="CJ125">
        <v>0</v>
      </c>
      <c r="CK125">
        <v>0.96825399999999995</v>
      </c>
      <c r="CL125">
        <v>100</v>
      </c>
      <c r="CM125">
        <v>100</v>
      </c>
      <c r="CN125">
        <v>0.90800000000000003</v>
      </c>
      <c r="CO125">
        <v>100</v>
      </c>
      <c r="CP125">
        <v>100</v>
      </c>
      <c r="CQ125">
        <v>0.695739</v>
      </c>
      <c r="CR125">
        <v>0.94287500000000002</v>
      </c>
      <c r="CS125">
        <v>46.382601000000001</v>
      </c>
      <c r="CT125">
        <v>50</v>
      </c>
      <c r="CU125">
        <v>0.54545500000000002</v>
      </c>
      <c r="CV125">
        <v>45.454545000000003</v>
      </c>
      <c r="CW125">
        <v>50</v>
      </c>
      <c r="CX125">
        <v>0.96825399999999995</v>
      </c>
      <c r="CY125">
        <v>0.94</v>
      </c>
      <c r="CZ125">
        <v>-2.8254000000000001E-2</v>
      </c>
      <c r="DA125">
        <v>15.389535</v>
      </c>
      <c r="DB125">
        <v>17.608319000000002</v>
      </c>
      <c r="DC125">
        <v>16.064022999999999</v>
      </c>
      <c r="DD125">
        <v>11.115401</v>
      </c>
      <c r="DE125" t="s">
        <v>125</v>
      </c>
      <c r="DJ125" t="s">
        <v>125</v>
      </c>
      <c r="DK125" t="s">
        <v>125</v>
      </c>
      <c r="DL125" t="s">
        <v>125</v>
      </c>
      <c r="DM125" t="s">
        <v>125</v>
      </c>
      <c r="DN125" t="s">
        <v>125</v>
      </c>
      <c r="DO125" t="s">
        <v>125</v>
      </c>
      <c r="DQ125" t="s">
        <v>126</v>
      </c>
    </row>
    <row r="126" spans="1:121" x14ac:dyDescent="0.15">
      <c r="A126">
        <v>2018</v>
      </c>
      <c r="B126" t="s">
        <v>248</v>
      </c>
      <c r="C126" t="str">
        <f>"2190012"</f>
        <v>2190012</v>
      </c>
      <c r="D126" t="s">
        <v>123</v>
      </c>
      <c r="E126" t="str">
        <f t="shared" si="0"/>
        <v>0000000</v>
      </c>
      <c r="F126" t="s">
        <v>123</v>
      </c>
      <c r="G126" t="s">
        <v>123</v>
      </c>
      <c r="H126" t="s">
        <v>123</v>
      </c>
      <c r="J126" t="s">
        <v>124</v>
      </c>
      <c r="K126">
        <v>1235.6654960000001</v>
      </c>
      <c r="L126">
        <v>1450</v>
      </c>
      <c r="M126">
        <v>85.218310000000002</v>
      </c>
      <c r="N126" t="s">
        <v>125</v>
      </c>
      <c r="O126">
        <v>1</v>
      </c>
      <c r="P126">
        <v>65.369658000000001</v>
      </c>
      <c r="Q126">
        <v>130.739316</v>
      </c>
      <c r="R126">
        <v>150</v>
      </c>
      <c r="S126">
        <v>55.240324999999999</v>
      </c>
      <c r="T126">
        <v>69.945853999999997</v>
      </c>
      <c r="U126">
        <v>110.480649</v>
      </c>
      <c r="V126">
        <v>150</v>
      </c>
      <c r="W126">
        <v>68.202990999999997</v>
      </c>
      <c r="X126">
        <v>136.40598299999999</v>
      </c>
      <c r="Y126">
        <v>150</v>
      </c>
      <c r="Z126">
        <v>73.826565000000002</v>
      </c>
      <c r="AA126">
        <v>55.755305999999997</v>
      </c>
      <c r="AB126">
        <v>111.51061199999999</v>
      </c>
      <c r="AC126">
        <v>150</v>
      </c>
      <c r="AD126">
        <v>65.468582999999995</v>
      </c>
      <c r="AE126">
        <v>87.291443999999998</v>
      </c>
      <c r="AF126">
        <v>100</v>
      </c>
      <c r="AG126">
        <v>56.846316999999999</v>
      </c>
      <c r="AH126">
        <v>69.427785999999998</v>
      </c>
      <c r="AI126">
        <v>75.795089000000004</v>
      </c>
      <c r="AJ126">
        <v>100</v>
      </c>
      <c r="AK126">
        <v>14.7</v>
      </c>
      <c r="AL126">
        <v>18.07</v>
      </c>
      <c r="AM126">
        <v>12.58</v>
      </c>
      <c r="AN126" t="s">
        <v>125</v>
      </c>
      <c r="AO126" t="s">
        <v>125</v>
      </c>
      <c r="AP126" t="s">
        <v>125</v>
      </c>
      <c r="AQ126" t="s">
        <v>125</v>
      </c>
      <c r="AR126" t="s">
        <v>125</v>
      </c>
      <c r="AS126" t="s">
        <v>125</v>
      </c>
      <c r="AT126" t="s">
        <v>125</v>
      </c>
      <c r="AU126" t="s">
        <v>125</v>
      </c>
      <c r="AV126" t="s">
        <v>125</v>
      </c>
      <c r="AW126" t="s">
        <v>125</v>
      </c>
      <c r="AX126" t="s">
        <v>125</v>
      </c>
      <c r="AY126" t="s">
        <v>125</v>
      </c>
      <c r="AZ126" t="s">
        <v>125</v>
      </c>
      <c r="BA126" t="s">
        <v>125</v>
      </c>
      <c r="BB126" t="s">
        <v>125</v>
      </c>
      <c r="BC126" t="s">
        <v>125</v>
      </c>
      <c r="BD126" t="s">
        <v>125</v>
      </c>
      <c r="BE126" t="s">
        <v>125</v>
      </c>
      <c r="BF126" t="s">
        <v>125</v>
      </c>
      <c r="BG126" t="s">
        <v>125</v>
      </c>
      <c r="BH126">
        <v>1</v>
      </c>
      <c r="BI126">
        <v>0.98316499999999996</v>
      </c>
      <c r="BJ126">
        <v>0.95918400000000004</v>
      </c>
      <c r="BK126">
        <v>0.99497500000000005</v>
      </c>
      <c r="BL126">
        <v>0.98316499999999996</v>
      </c>
      <c r="BM126">
        <v>0.95918400000000004</v>
      </c>
      <c r="BN126">
        <v>0.99497500000000005</v>
      </c>
      <c r="BO126">
        <v>0.97306400000000004</v>
      </c>
      <c r="BP126">
        <v>0.93877600000000005</v>
      </c>
      <c r="BQ126">
        <v>0.98995</v>
      </c>
      <c r="BR126">
        <v>2.8094999999999998E-2</v>
      </c>
      <c r="BS126">
        <v>50</v>
      </c>
      <c r="BT126">
        <v>50</v>
      </c>
      <c r="BU126">
        <v>6.3570000000000002E-2</v>
      </c>
      <c r="BV126">
        <v>47.286064000000003</v>
      </c>
      <c r="BW126">
        <v>50</v>
      </c>
      <c r="BX126">
        <v>0.720661</v>
      </c>
      <c r="BY126">
        <v>48.044077000000001</v>
      </c>
      <c r="BZ126">
        <v>50</v>
      </c>
      <c r="CA126">
        <v>0.59338800000000003</v>
      </c>
      <c r="CB126">
        <v>39.559229000000002</v>
      </c>
      <c r="CC126">
        <v>50</v>
      </c>
      <c r="CD126">
        <v>0.89682499999999998</v>
      </c>
      <c r="CE126">
        <v>47.703479000000002</v>
      </c>
      <c r="CF126">
        <v>50</v>
      </c>
      <c r="CG126">
        <v>0.92207799999999995</v>
      </c>
      <c r="CH126">
        <v>98.093395999999998</v>
      </c>
      <c r="CI126">
        <v>100</v>
      </c>
      <c r="CJ126">
        <v>0</v>
      </c>
      <c r="CK126">
        <v>0.87755099999999997</v>
      </c>
      <c r="CL126">
        <v>93.356492000000003</v>
      </c>
      <c r="CM126">
        <v>100</v>
      </c>
      <c r="CN126">
        <v>0.73299999999999998</v>
      </c>
      <c r="CO126">
        <v>97.777777999999998</v>
      </c>
      <c r="CP126">
        <v>100</v>
      </c>
      <c r="CQ126">
        <v>0.57999999999999996</v>
      </c>
      <c r="CR126">
        <v>0.88652500000000001</v>
      </c>
      <c r="CS126">
        <v>19.333333</v>
      </c>
      <c r="CT126">
        <v>50</v>
      </c>
      <c r="CU126">
        <v>0.507463</v>
      </c>
      <c r="CV126">
        <v>42.288556999999997</v>
      </c>
      <c r="CW126">
        <v>50</v>
      </c>
      <c r="CX126">
        <v>0.87755099999999997</v>
      </c>
      <c r="CY126">
        <v>0.94</v>
      </c>
      <c r="CZ126">
        <v>6.2448999999999998E-2</v>
      </c>
      <c r="DA126">
        <v>15.389535</v>
      </c>
      <c r="DB126">
        <v>17.608319000000002</v>
      </c>
      <c r="DC126">
        <v>16.064022999999999</v>
      </c>
      <c r="DD126">
        <v>11.115401</v>
      </c>
      <c r="DE126" t="s">
        <v>125</v>
      </c>
      <c r="DJ126" t="s">
        <v>125</v>
      </c>
      <c r="DK126" t="s">
        <v>125</v>
      </c>
      <c r="DL126" t="s">
        <v>125</v>
      </c>
      <c r="DM126" t="s">
        <v>125</v>
      </c>
      <c r="DN126" t="s">
        <v>125</v>
      </c>
      <c r="DO126" t="s">
        <v>125</v>
      </c>
      <c r="DQ126" t="s">
        <v>126</v>
      </c>
    </row>
    <row r="127" spans="1:121" x14ac:dyDescent="0.15">
      <c r="A127">
        <v>2018</v>
      </c>
      <c r="B127" t="s">
        <v>249</v>
      </c>
      <c r="C127" t="str">
        <f>"2410014"</f>
        <v>2410014</v>
      </c>
      <c r="D127" t="s">
        <v>123</v>
      </c>
      <c r="E127" t="str">
        <f t="shared" si="0"/>
        <v>0000000</v>
      </c>
      <c r="F127" t="s">
        <v>123</v>
      </c>
      <c r="G127" t="s">
        <v>123</v>
      </c>
      <c r="H127" t="s">
        <v>123</v>
      </c>
      <c r="J127" t="s">
        <v>124</v>
      </c>
      <c r="K127">
        <v>987.56496400000003</v>
      </c>
      <c r="L127">
        <v>1450</v>
      </c>
      <c r="M127">
        <v>68.107928999999999</v>
      </c>
      <c r="N127" t="s">
        <v>125</v>
      </c>
      <c r="O127">
        <v>1</v>
      </c>
      <c r="P127">
        <v>63.038331999999997</v>
      </c>
      <c r="Q127">
        <v>42.025554</v>
      </c>
      <c r="R127">
        <v>50</v>
      </c>
      <c r="S127">
        <v>57.217655999999998</v>
      </c>
      <c r="T127">
        <v>75</v>
      </c>
      <c r="U127">
        <v>38.145104000000003</v>
      </c>
      <c r="V127">
        <v>50</v>
      </c>
      <c r="W127">
        <v>55.175876000000002</v>
      </c>
      <c r="X127">
        <v>36.783917000000002</v>
      </c>
      <c r="Y127">
        <v>50</v>
      </c>
      <c r="Z127">
        <v>67.724350999999999</v>
      </c>
      <c r="AA127">
        <v>49.149900000000002</v>
      </c>
      <c r="AB127">
        <v>32.766599999999997</v>
      </c>
      <c r="AC127">
        <v>50</v>
      </c>
      <c r="AD127">
        <v>56.133358000000001</v>
      </c>
      <c r="AE127">
        <v>37.422238999999998</v>
      </c>
      <c r="AF127">
        <v>50</v>
      </c>
      <c r="AG127">
        <v>50.706839000000002</v>
      </c>
      <c r="AH127">
        <v>67.073920000000001</v>
      </c>
      <c r="AI127">
        <v>33.804558999999998</v>
      </c>
      <c r="AJ127">
        <v>50</v>
      </c>
      <c r="AK127">
        <v>17.78</v>
      </c>
      <c r="AL127">
        <v>18.57</v>
      </c>
      <c r="AM127">
        <v>16.36</v>
      </c>
      <c r="AN127">
        <v>0.56592200000000004</v>
      </c>
      <c r="AO127">
        <v>56.592153000000003</v>
      </c>
      <c r="AP127">
        <v>100</v>
      </c>
      <c r="AQ127">
        <v>0.49390000000000001</v>
      </c>
      <c r="AR127">
        <v>49.389986999999998</v>
      </c>
      <c r="AS127">
        <v>100</v>
      </c>
      <c r="AT127">
        <v>0.53659400000000002</v>
      </c>
      <c r="AU127">
        <v>0.62415799999999999</v>
      </c>
      <c r="AV127">
        <v>53.659385999999998</v>
      </c>
      <c r="AW127">
        <v>100</v>
      </c>
      <c r="AX127">
        <v>0.453044</v>
      </c>
      <c r="AY127">
        <v>0.57423599999999997</v>
      </c>
      <c r="AZ127">
        <v>45.304395</v>
      </c>
      <c r="BA127">
        <v>100</v>
      </c>
      <c r="BB127">
        <v>0.63317900000000005</v>
      </c>
      <c r="BC127">
        <v>31.658939</v>
      </c>
      <c r="BD127">
        <v>50</v>
      </c>
      <c r="BE127">
        <v>0.53334599999999999</v>
      </c>
      <c r="BF127">
        <v>26.667318000000002</v>
      </c>
      <c r="BG127">
        <v>50</v>
      </c>
      <c r="BH127">
        <v>0</v>
      </c>
      <c r="BI127">
        <v>0.98066500000000001</v>
      </c>
      <c r="BJ127">
        <v>0.97814000000000001</v>
      </c>
      <c r="BK127">
        <v>0.98601899999999998</v>
      </c>
      <c r="BL127">
        <v>0.97548299999999999</v>
      </c>
      <c r="BM127">
        <v>0.97189499999999995</v>
      </c>
      <c r="BN127">
        <v>0.98308799999999996</v>
      </c>
      <c r="BO127">
        <v>0.96746600000000005</v>
      </c>
      <c r="BP127">
        <v>0.96346600000000004</v>
      </c>
      <c r="BQ127">
        <v>0.97565199999999996</v>
      </c>
      <c r="BR127">
        <v>0.186416</v>
      </c>
      <c r="BS127">
        <v>22.716763</v>
      </c>
      <c r="BT127">
        <v>50</v>
      </c>
      <c r="BU127">
        <v>0.237093</v>
      </c>
      <c r="BV127">
        <v>12.581336</v>
      </c>
      <c r="BW127">
        <v>50</v>
      </c>
      <c r="BX127">
        <v>0.75139699999999998</v>
      </c>
      <c r="BY127">
        <v>50</v>
      </c>
      <c r="BZ127">
        <v>50</v>
      </c>
      <c r="CA127">
        <v>0.28677799999999998</v>
      </c>
      <c r="CB127">
        <v>19.118559999999999</v>
      </c>
      <c r="CC127">
        <v>50</v>
      </c>
      <c r="CD127">
        <v>0.89324999999999999</v>
      </c>
      <c r="CE127">
        <v>47.513277000000002</v>
      </c>
      <c r="CF127">
        <v>50</v>
      </c>
      <c r="CG127">
        <v>0.949438</v>
      </c>
      <c r="CH127">
        <v>100</v>
      </c>
      <c r="CI127">
        <v>100</v>
      </c>
      <c r="CJ127">
        <v>0</v>
      </c>
      <c r="CK127">
        <v>0.94217700000000004</v>
      </c>
      <c r="CL127">
        <v>100</v>
      </c>
      <c r="CM127">
        <v>100</v>
      </c>
      <c r="CN127">
        <v>0.65800000000000003</v>
      </c>
      <c r="CO127">
        <v>87.725857000000005</v>
      </c>
      <c r="CP127">
        <v>100</v>
      </c>
      <c r="CQ127">
        <v>0.41067100000000001</v>
      </c>
      <c r="CR127">
        <v>0.84351799999999999</v>
      </c>
      <c r="CS127">
        <v>13.689019</v>
      </c>
      <c r="CT127">
        <v>50</v>
      </c>
      <c r="CU127">
        <v>0.62133700000000003</v>
      </c>
      <c r="CV127">
        <v>50</v>
      </c>
      <c r="CW127">
        <v>50</v>
      </c>
      <c r="CX127">
        <v>0.94217700000000004</v>
      </c>
      <c r="CY127">
        <v>0.94</v>
      </c>
      <c r="CZ127">
        <v>-2.1770000000000001E-3</v>
      </c>
      <c r="DA127">
        <v>15.389535</v>
      </c>
      <c r="DB127">
        <v>17.608319000000002</v>
      </c>
      <c r="DC127">
        <v>16.064022999999999</v>
      </c>
      <c r="DD127">
        <v>11.115401</v>
      </c>
      <c r="DE127" t="s">
        <v>125</v>
      </c>
      <c r="DJ127" t="s">
        <v>125</v>
      </c>
      <c r="DK127" t="s">
        <v>125</v>
      </c>
      <c r="DL127" t="s">
        <v>125</v>
      </c>
      <c r="DM127" t="s">
        <v>125</v>
      </c>
      <c r="DN127" t="s">
        <v>125</v>
      </c>
      <c r="DO127" t="s">
        <v>125</v>
      </c>
      <c r="DQ127" t="s">
        <v>126</v>
      </c>
    </row>
    <row r="128" spans="1:121" x14ac:dyDescent="0.15">
      <c r="A128">
        <v>2018</v>
      </c>
      <c r="B128" t="s">
        <v>250</v>
      </c>
      <c r="C128" t="str">
        <f>"1190011"</f>
        <v>1190011</v>
      </c>
      <c r="D128" t="s">
        <v>123</v>
      </c>
      <c r="E128" t="str">
        <f t="shared" si="0"/>
        <v>0000000</v>
      </c>
      <c r="F128" t="s">
        <v>123</v>
      </c>
      <c r="G128" t="s">
        <v>123</v>
      </c>
      <c r="H128" t="s">
        <v>123</v>
      </c>
      <c r="J128" t="s">
        <v>124</v>
      </c>
      <c r="K128">
        <v>1205.2658759999999</v>
      </c>
      <c r="L128">
        <v>1450</v>
      </c>
      <c r="M128">
        <v>83.121785000000003</v>
      </c>
      <c r="N128" t="s">
        <v>125</v>
      </c>
      <c r="O128">
        <v>0</v>
      </c>
      <c r="P128">
        <v>77.190727999999993</v>
      </c>
      <c r="Q128">
        <v>50</v>
      </c>
      <c r="R128">
        <v>50</v>
      </c>
      <c r="S128">
        <v>66.284619000000006</v>
      </c>
      <c r="T128">
        <v>75</v>
      </c>
      <c r="U128">
        <v>44.189746</v>
      </c>
      <c r="V128">
        <v>50</v>
      </c>
      <c r="W128">
        <v>73.491461000000001</v>
      </c>
      <c r="X128">
        <v>48.994307999999997</v>
      </c>
      <c r="Y128">
        <v>50</v>
      </c>
      <c r="Z128">
        <v>75</v>
      </c>
      <c r="AA128">
        <v>62.301589</v>
      </c>
      <c r="AB128">
        <v>41.534393000000001</v>
      </c>
      <c r="AC128">
        <v>50</v>
      </c>
      <c r="AD128">
        <v>71.012904000000006</v>
      </c>
      <c r="AE128">
        <v>47.341935999999997</v>
      </c>
      <c r="AF128">
        <v>50</v>
      </c>
      <c r="AG128">
        <v>61.892524000000002</v>
      </c>
      <c r="AH128">
        <v>75</v>
      </c>
      <c r="AI128">
        <v>41.261682999999998</v>
      </c>
      <c r="AJ128">
        <v>50</v>
      </c>
      <c r="AK128">
        <v>8.7100000000000009</v>
      </c>
      <c r="AL128">
        <v>12.69</v>
      </c>
      <c r="AM128">
        <v>13.1</v>
      </c>
      <c r="AN128">
        <v>0.71248500000000003</v>
      </c>
      <c r="AO128">
        <v>71.248484000000005</v>
      </c>
      <c r="AP128">
        <v>100</v>
      </c>
      <c r="AQ128">
        <v>0.73856699999999997</v>
      </c>
      <c r="AR128">
        <v>73.856650999999999</v>
      </c>
      <c r="AS128">
        <v>100</v>
      </c>
      <c r="AT128">
        <v>0.649092</v>
      </c>
      <c r="AU128">
        <v>0.73590699999999998</v>
      </c>
      <c r="AV128">
        <v>64.909199000000001</v>
      </c>
      <c r="AW128">
        <v>100</v>
      </c>
      <c r="AX128">
        <v>0.63461800000000002</v>
      </c>
      <c r="AY128">
        <v>0.77667600000000003</v>
      </c>
      <c r="AZ128">
        <v>63.461765999999997</v>
      </c>
      <c r="BA128">
        <v>100</v>
      </c>
      <c r="BB128">
        <v>0.81129099999999998</v>
      </c>
      <c r="BC128">
        <v>40.564539000000003</v>
      </c>
      <c r="BD128">
        <v>50</v>
      </c>
      <c r="BE128">
        <v>0.61476600000000003</v>
      </c>
      <c r="BF128">
        <v>30.738306999999999</v>
      </c>
      <c r="BG128">
        <v>50</v>
      </c>
      <c r="BH128">
        <v>0</v>
      </c>
      <c r="BI128">
        <v>0.99458000000000002</v>
      </c>
      <c r="BJ128">
        <v>0.99087599999999998</v>
      </c>
      <c r="BK128">
        <v>0.99676699999999996</v>
      </c>
      <c r="BL128">
        <v>0.99457600000000002</v>
      </c>
      <c r="BM128">
        <v>0.99085900000000005</v>
      </c>
      <c r="BN128">
        <v>0.99676699999999996</v>
      </c>
      <c r="BO128">
        <v>0.98673299999999997</v>
      </c>
      <c r="BP128">
        <v>0.97737600000000002</v>
      </c>
      <c r="BQ128">
        <v>0.992147</v>
      </c>
      <c r="BR128">
        <v>6.0767000000000002E-2</v>
      </c>
      <c r="BS128">
        <v>47.846563000000003</v>
      </c>
      <c r="BT128">
        <v>50</v>
      </c>
      <c r="BU128">
        <v>9.5991999999999994E-2</v>
      </c>
      <c r="BV128">
        <v>40.801687999999999</v>
      </c>
      <c r="BW128">
        <v>50</v>
      </c>
      <c r="BX128">
        <v>0.790323</v>
      </c>
      <c r="BY128">
        <v>50</v>
      </c>
      <c r="BZ128">
        <v>50</v>
      </c>
      <c r="CA128">
        <v>0.483871</v>
      </c>
      <c r="CB128">
        <v>32.258065000000002</v>
      </c>
      <c r="CC128">
        <v>50</v>
      </c>
      <c r="CD128">
        <v>0.97647099999999998</v>
      </c>
      <c r="CE128">
        <v>50</v>
      </c>
      <c r="CF128">
        <v>50</v>
      </c>
      <c r="CG128">
        <v>0.96089400000000003</v>
      </c>
      <c r="CH128">
        <v>100</v>
      </c>
      <c r="CI128">
        <v>100</v>
      </c>
      <c r="CJ128">
        <v>0</v>
      </c>
      <c r="CK128">
        <v>0.85714299999999999</v>
      </c>
      <c r="CL128">
        <v>91.185410000000005</v>
      </c>
      <c r="CM128">
        <v>100</v>
      </c>
      <c r="CN128">
        <v>0.85499999999999998</v>
      </c>
      <c r="CO128">
        <v>100</v>
      </c>
      <c r="CP128">
        <v>100</v>
      </c>
      <c r="CQ128">
        <v>0.53994799999999998</v>
      </c>
      <c r="CR128">
        <v>0.96039600000000003</v>
      </c>
      <c r="CS128">
        <v>35.996563999999999</v>
      </c>
      <c r="CT128">
        <v>50</v>
      </c>
      <c r="CU128">
        <v>0.46891899999999997</v>
      </c>
      <c r="CV128">
        <v>39.076577</v>
      </c>
      <c r="CW128">
        <v>50</v>
      </c>
      <c r="CX128">
        <v>0.85714299999999999</v>
      </c>
      <c r="CY128">
        <v>0.94</v>
      </c>
      <c r="CZ128">
        <v>8.2857E-2</v>
      </c>
      <c r="DA128">
        <v>15.389535</v>
      </c>
      <c r="DB128">
        <v>17.608319000000002</v>
      </c>
      <c r="DC128">
        <v>16.064022999999999</v>
      </c>
      <c r="DD128">
        <v>11.115401</v>
      </c>
      <c r="DE128" t="s">
        <v>125</v>
      </c>
      <c r="DJ128" t="s">
        <v>125</v>
      </c>
      <c r="DK128" t="s">
        <v>125</v>
      </c>
      <c r="DL128" t="s">
        <v>125</v>
      </c>
      <c r="DM128" t="s">
        <v>125</v>
      </c>
      <c r="DN128" t="s">
        <v>125</v>
      </c>
      <c r="DO128" t="s">
        <v>125</v>
      </c>
      <c r="DQ128" t="s">
        <v>126</v>
      </c>
    </row>
    <row r="129" spans="1:121" x14ac:dyDescent="0.15">
      <c r="A129">
        <v>2018</v>
      </c>
      <c r="B129" t="s">
        <v>251</v>
      </c>
      <c r="C129" t="str">
        <f>"0690011"</f>
        <v>0690011</v>
      </c>
      <c r="D129" t="s">
        <v>123</v>
      </c>
      <c r="E129" t="str">
        <f t="shared" si="0"/>
        <v>0000000</v>
      </c>
      <c r="F129" t="s">
        <v>123</v>
      </c>
      <c r="G129" t="s">
        <v>123</v>
      </c>
      <c r="H129" t="s">
        <v>123</v>
      </c>
      <c r="J129" t="s">
        <v>124</v>
      </c>
      <c r="K129">
        <v>1012.989638</v>
      </c>
      <c r="L129">
        <v>1450</v>
      </c>
      <c r="M129">
        <v>69.861354000000006</v>
      </c>
      <c r="N129" t="s">
        <v>125</v>
      </c>
      <c r="O129">
        <v>0</v>
      </c>
      <c r="P129">
        <v>67.861788000000004</v>
      </c>
      <c r="Q129">
        <v>45.241191999999998</v>
      </c>
      <c r="R129">
        <v>50</v>
      </c>
      <c r="S129">
        <v>63.834598</v>
      </c>
      <c r="T129">
        <v>73.547233000000006</v>
      </c>
      <c r="U129">
        <v>42.556398000000002</v>
      </c>
      <c r="V129">
        <v>50</v>
      </c>
      <c r="W129">
        <v>60.754415999999999</v>
      </c>
      <c r="X129">
        <v>40.502943999999999</v>
      </c>
      <c r="Y129">
        <v>50</v>
      </c>
      <c r="Z129">
        <v>66.585537000000002</v>
      </c>
      <c r="AA129">
        <v>56.638331000000001</v>
      </c>
      <c r="AB129">
        <v>37.758887999999999</v>
      </c>
      <c r="AC129">
        <v>50</v>
      </c>
      <c r="AD129">
        <v>61.905518999999998</v>
      </c>
      <c r="AE129">
        <v>41.270346000000004</v>
      </c>
      <c r="AF129">
        <v>50</v>
      </c>
      <c r="AG129">
        <v>57.192098000000001</v>
      </c>
      <c r="AH129">
        <v>67.630497000000005</v>
      </c>
      <c r="AI129">
        <v>38.128064999999999</v>
      </c>
      <c r="AJ129">
        <v>50</v>
      </c>
      <c r="AK129">
        <v>9.7100000000000009</v>
      </c>
      <c r="AL129">
        <v>9.94</v>
      </c>
      <c r="AM129">
        <v>10.43</v>
      </c>
      <c r="AN129">
        <v>0.62876799999999999</v>
      </c>
      <c r="AO129">
        <v>62.876756</v>
      </c>
      <c r="AP129">
        <v>100</v>
      </c>
      <c r="AQ129">
        <v>0.55970699999999995</v>
      </c>
      <c r="AR129">
        <v>55.970734</v>
      </c>
      <c r="AS129">
        <v>100</v>
      </c>
      <c r="AT129">
        <v>0.60307699999999997</v>
      </c>
      <c r="AU129">
        <v>0.66578499999999996</v>
      </c>
      <c r="AV129">
        <v>60.307692000000003</v>
      </c>
      <c r="AW129">
        <v>100</v>
      </c>
      <c r="AX129">
        <v>0.58493300000000004</v>
      </c>
      <c r="AY129">
        <v>0.52317100000000005</v>
      </c>
      <c r="AZ129">
        <v>58.493282999999998</v>
      </c>
      <c r="BA129">
        <v>100</v>
      </c>
      <c r="BB129">
        <v>0.57317200000000001</v>
      </c>
      <c r="BC129">
        <v>28.658601000000001</v>
      </c>
      <c r="BD129">
        <v>50</v>
      </c>
      <c r="BE129">
        <v>0.34833199999999997</v>
      </c>
      <c r="BF129">
        <v>17.416599000000001</v>
      </c>
      <c r="BG129">
        <v>50</v>
      </c>
      <c r="BH129">
        <v>0</v>
      </c>
      <c r="BI129">
        <v>0.98118000000000005</v>
      </c>
      <c r="BJ129">
        <v>0.97134699999999996</v>
      </c>
      <c r="BK129">
        <v>0.99575400000000003</v>
      </c>
      <c r="BL129">
        <v>0.97772099999999995</v>
      </c>
      <c r="BM129">
        <v>0.96982800000000002</v>
      </c>
      <c r="BN129">
        <v>0.98938400000000004</v>
      </c>
      <c r="BO129">
        <v>0.97851600000000005</v>
      </c>
      <c r="BP129">
        <v>0.96551699999999996</v>
      </c>
      <c r="BQ129">
        <v>0.99549500000000002</v>
      </c>
      <c r="BR129">
        <v>0.13167999999999999</v>
      </c>
      <c r="BS129">
        <v>33.663958999999998</v>
      </c>
      <c r="BT129">
        <v>50</v>
      </c>
      <c r="BU129">
        <v>0.18562899999999999</v>
      </c>
      <c r="BV129">
        <v>22.874251000000001</v>
      </c>
      <c r="BW129">
        <v>50</v>
      </c>
      <c r="BX129">
        <v>0.92428200000000005</v>
      </c>
      <c r="BY129">
        <v>50</v>
      </c>
      <c r="BZ129">
        <v>50</v>
      </c>
      <c r="CA129">
        <v>0.26631899999999997</v>
      </c>
      <c r="CB129">
        <v>17.754569</v>
      </c>
      <c r="CC129">
        <v>50</v>
      </c>
      <c r="CD129">
        <v>0.87437200000000004</v>
      </c>
      <c r="CE129">
        <v>46.509141</v>
      </c>
      <c r="CF129">
        <v>50</v>
      </c>
      <c r="CG129">
        <v>0.85499999999999998</v>
      </c>
      <c r="CH129">
        <v>90.957447000000002</v>
      </c>
      <c r="CI129">
        <v>100</v>
      </c>
      <c r="CJ129">
        <v>1</v>
      </c>
      <c r="CK129">
        <v>0.78070200000000001</v>
      </c>
      <c r="CL129">
        <v>83.053377999999995</v>
      </c>
      <c r="CM129">
        <v>100</v>
      </c>
      <c r="CN129">
        <v>0.57699999999999996</v>
      </c>
      <c r="CO129">
        <v>76.952381000000003</v>
      </c>
      <c r="CP129">
        <v>100</v>
      </c>
      <c r="CQ129">
        <v>0.36129</v>
      </c>
      <c r="CR129">
        <v>0.89208600000000005</v>
      </c>
      <c r="CS129">
        <v>12.043011</v>
      </c>
      <c r="CT129">
        <v>50</v>
      </c>
      <c r="CU129">
        <v>0.60864200000000002</v>
      </c>
      <c r="CV129">
        <v>50</v>
      </c>
      <c r="CW129">
        <v>50</v>
      </c>
      <c r="CX129">
        <v>0.78070200000000001</v>
      </c>
      <c r="CY129">
        <v>0.94</v>
      </c>
      <c r="CZ129">
        <v>0.159298</v>
      </c>
      <c r="DA129">
        <v>15.389535</v>
      </c>
      <c r="DB129">
        <v>17.608319000000002</v>
      </c>
      <c r="DC129">
        <v>16.064022999999999</v>
      </c>
      <c r="DD129">
        <v>11.115401</v>
      </c>
      <c r="DE129" t="s">
        <v>125</v>
      </c>
      <c r="DJ129" t="s">
        <v>125</v>
      </c>
      <c r="DK129" t="s">
        <v>125</v>
      </c>
      <c r="DL129" t="s">
        <v>125</v>
      </c>
      <c r="DM129" t="s">
        <v>125</v>
      </c>
      <c r="DN129" t="s">
        <v>125</v>
      </c>
      <c r="DO129" t="s">
        <v>125</v>
      </c>
      <c r="DQ129" t="s">
        <v>126</v>
      </c>
    </row>
    <row r="130" spans="1:121" x14ac:dyDescent="0.15">
      <c r="A130">
        <v>2018</v>
      </c>
      <c r="B130" t="s">
        <v>252</v>
      </c>
      <c r="C130" t="str">
        <f>"0710011"</f>
        <v>0710011</v>
      </c>
      <c r="D130" t="s">
        <v>123</v>
      </c>
      <c r="E130" t="str">
        <f t="shared" si="0"/>
        <v>0000000</v>
      </c>
      <c r="F130" t="s">
        <v>123</v>
      </c>
      <c r="G130" t="s">
        <v>123</v>
      </c>
      <c r="H130" t="s">
        <v>123</v>
      </c>
      <c r="J130" t="s">
        <v>124</v>
      </c>
      <c r="K130">
        <v>1071.794637</v>
      </c>
      <c r="L130">
        <v>1350</v>
      </c>
      <c r="M130">
        <v>79.392195000000001</v>
      </c>
      <c r="N130" t="s">
        <v>125</v>
      </c>
      <c r="O130">
        <v>0</v>
      </c>
      <c r="P130">
        <v>70.109331999999995</v>
      </c>
      <c r="Q130">
        <v>46.739555000000003</v>
      </c>
      <c r="R130">
        <v>50</v>
      </c>
      <c r="S130">
        <v>62.303798999999998</v>
      </c>
      <c r="T130">
        <v>75</v>
      </c>
      <c r="U130">
        <v>41.535865999999999</v>
      </c>
      <c r="V130">
        <v>50</v>
      </c>
      <c r="W130">
        <v>66.244763000000006</v>
      </c>
      <c r="X130">
        <v>44.163175000000003</v>
      </c>
      <c r="Y130">
        <v>50</v>
      </c>
      <c r="Z130">
        <v>71.773336</v>
      </c>
      <c r="AA130">
        <v>57.853679</v>
      </c>
      <c r="AB130">
        <v>38.569119999999998</v>
      </c>
      <c r="AC130">
        <v>50</v>
      </c>
      <c r="AD130">
        <v>66.407455999999996</v>
      </c>
      <c r="AE130">
        <v>44.271638000000003</v>
      </c>
      <c r="AF130">
        <v>50</v>
      </c>
      <c r="AG130">
        <v>62.454723999999999</v>
      </c>
      <c r="AH130">
        <v>68.979870000000005</v>
      </c>
      <c r="AI130">
        <v>41.636482000000001</v>
      </c>
      <c r="AJ130">
        <v>50</v>
      </c>
      <c r="AK130">
        <v>12.69</v>
      </c>
      <c r="AL130">
        <v>13.91</v>
      </c>
      <c r="AM130">
        <v>6.52</v>
      </c>
      <c r="AN130">
        <v>0.51449100000000003</v>
      </c>
      <c r="AO130">
        <v>51.449119000000003</v>
      </c>
      <c r="AP130">
        <v>100</v>
      </c>
      <c r="AQ130">
        <v>0.64624999999999999</v>
      </c>
      <c r="AR130">
        <v>64.625021000000004</v>
      </c>
      <c r="AS130">
        <v>100</v>
      </c>
      <c r="AT130">
        <v>0.50889300000000004</v>
      </c>
      <c r="AU130">
        <v>0.51833499999999999</v>
      </c>
      <c r="AV130">
        <v>50.889271000000001</v>
      </c>
      <c r="AW130">
        <v>100</v>
      </c>
      <c r="AX130">
        <v>0.61452399999999996</v>
      </c>
      <c r="AY130">
        <v>0.66771599999999998</v>
      </c>
      <c r="AZ130">
        <v>61.452446999999999</v>
      </c>
      <c r="BA130">
        <v>100</v>
      </c>
      <c r="BB130" t="s">
        <v>125</v>
      </c>
      <c r="BC130" t="s">
        <v>125</v>
      </c>
      <c r="BD130" t="s">
        <v>125</v>
      </c>
      <c r="BE130" t="s">
        <v>125</v>
      </c>
      <c r="BF130" t="s">
        <v>125</v>
      </c>
      <c r="BG130" t="s">
        <v>125</v>
      </c>
      <c r="BH130">
        <v>0</v>
      </c>
      <c r="BI130">
        <v>0.97104199999999996</v>
      </c>
      <c r="BJ130">
        <v>0.97142899999999999</v>
      </c>
      <c r="BK130">
        <v>0.97077899999999995</v>
      </c>
      <c r="BL130">
        <v>0.97104199999999996</v>
      </c>
      <c r="BM130">
        <v>0.97142899999999999</v>
      </c>
      <c r="BN130">
        <v>0.97077899999999995</v>
      </c>
      <c r="BO130">
        <v>0.97674399999999995</v>
      </c>
      <c r="BP130">
        <v>0.97674399999999995</v>
      </c>
      <c r="BQ130">
        <v>0.97674399999999995</v>
      </c>
      <c r="BR130">
        <v>7.1653999999999995E-2</v>
      </c>
      <c r="BS130">
        <v>45.669125000000001</v>
      </c>
      <c r="BT130">
        <v>50</v>
      </c>
      <c r="BU130">
        <v>0.116095</v>
      </c>
      <c r="BV130">
        <v>36.781002999999998</v>
      </c>
      <c r="BW130">
        <v>50</v>
      </c>
      <c r="BX130">
        <v>0.89080499999999996</v>
      </c>
      <c r="BY130">
        <v>50</v>
      </c>
      <c r="BZ130">
        <v>50</v>
      </c>
      <c r="CA130">
        <v>0.45402300000000001</v>
      </c>
      <c r="CB130">
        <v>30.268198999999999</v>
      </c>
      <c r="CC130">
        <v>50</v>
      </c>
      <c r="CD130">
        <v>0.980769</v>
      </c>
      <c r="CE130">
        <v>50</v>
      </c>
      <c r="CF130">
        <v>50</v>
      </c>
      <c r="CG130">
        <v>0.93258399999999997</v>
      </c>
      <c r="CH130">
        <v>99.211093000000005</v>
      </c>
      <c r="CI130">
        <v>100</v>
      </c>
      <c r="CJ130">
        <v>0</v>
      </c>
      <c r="CK130">
        <v>0.89285700000000001</v>
      </c>
      <c r="CL130">
        <v>94.984802000000002</v>
      </c>
      <c r="CM130">
        <v>100</v>
      </c>
      <c r="CN130">
        <v>0.627</v>
      </c>
      <c r="CO130">
        <v>83.534137000000001</v>
      </c>
      <c r="CP130">
        <v>100</v>
      </c>
      <c r="CQ130">
        <v>0.69473700000000005</v>
      </c>
      <c r="CR130">
        <v>0.91935500000000003</v>
      </c>
      <c r="CS130">
        <v>46.315789000000002</v>
      </c>
      <c r="CT130">
        <v>50</v>
      </c>
      <c r="CU130">
        <v>0.59638599999999997</v>
      </c>
      <c r="CV130">
        <v>49.698794999999997</v>
      </c>
      <c r="CW130">
        <v>50</v>
      </c>
      <c r="CX130">
        <v>0.89285700000000001</v>
      </c>
      <c r="CY130">
        <v>0.94</v>
      </c>
      <c r="CZ130">
        <v>4.7142999999999997E-2</v>
      </c>
      <c r="DA130">
        <v>15.389535</v>
      </c>
      <c r="DB130">
        <v>17.608319000000002</v>
      </c>
      <c r="DC130">
        <v>16.064022999999999</v>
      </c>
      <c r="DD130">
        <v>11.115401</v>
      </c>
      <c r="DE130" t="s">
        <v>125</v>
      </c>
      <c r="DJ130" t="s">
        <v>125</v>
      </c>
      <c r="DK130" t="s">
        <v>125</v>
      </c>
      <c r="DL130" t="s">
        <v>125</v>
      </c>
      <c r="DM130" t="s">
        <v>125</v>
      </c>
      <c r="DN130" t="s">
        <v>125</v>
      </c>
      <c r="DO130" t="s">
        <v>125</v>
      </c>
      <c r="DQ130" t="s">
        <v>126</v>
      </c>
    </row>
    <row r="131" spans="1:121" x14ac:dyDescent="0.15">
      <c r="A131">
        <v>2018</v>
      </c>
      <c r="B131" t="s">
        <v>253</v>
      </c>
      <c r="C131" t="str">
        <f>"0720011"</f>
        <v>0720011</v>
      </c>
      <c r="D131" t="s">
        <v>123</v>
      </c>
      <c r="E131" t="str">
        <f t="shared" si="0"/>
        <v>0000000</v>
      </c>
      <c r="F131" t="s">
        <v>123</v>
      </c>
      <c r="G131" t="s">
        <v>123</v>
      </c>
      <c r="H131" t="s">
        <v>123</v>
      </c>
      <c r="J131" t="s">
        <v>124</v>
      </c>
      <c r="K131">
        <v>1103.6620439999999</v>
      </c>
      <c r="L131">
        <v>1450</v>
      </c>
      <c r="M131">
        <v>76.114624000000006</v>
      </c>
      <c r="N131" t="s">
        <v>125</v>
      </c>
      <c r="O131">
        <v>1</v>
      </c>
      <c r="P131">
        <v>65.681892000000005</v>
      </c>
      <c r="Q131">
        <v>43.787928000000001</v>
      </c>
      <c r="R131">
        <v>50</v>
      </c>
      <c r="S131">
        <v>56.590730000000001</v>
      </c>
      <c r="T131">
        <v>72.639281999999994</v>
      </c>
      <c r="U131">
        <v>37.727153000000001</v>
      </c>
      <c r="V131">
        <v>50</v>
      </c>
      <c r="W131">
        <v>62.869819</v>
      </c>
      <c r="X131">
        <v>41.913212000000001</v>
      </c>
      <c r="Y131">
        <v>50</v>
      </c>
      <c r="Z131">
        <v>70.476844999999997</v>
      </c>
      <c r="AA131">
        <v>52.925438</v>
      </c>
      <c r="AB131">
        <v>35.283625000000001</v>
      </c>
      <c r="AC131">
        <v>50</v>
      </c>
      <c r="AD131">
        <v>65.389388999999994</v>
      </c>
      <c r="AE131">
        <v>43.592925999999999</v>
      </c>
      <c r="AF131">
        <v>50</v>
      </c>
      <c r="AG131">
        <v>56.877834999999997</v>
      </c>
      <c r="AH131">
        <v>71.719183999999998</v>
      </c>
      <c r="AI131">
        <v>37.918556000000002</v>
      </c>
      <c r="AJ131">
        <v>50</v>
      </c>
      <c r="AK131">
        <v>16.04</v>
      </c>
      <c r="AL131">
        <v>17.55</v>
      </c>
      <c r="AM131">
        <v>14.84</v>
      </c>
      <c r="AN131">
        <v>0.53212499999999996</v>
      </c>
      <c r="AO131">
        <v>53.212485000000001</v>
      </c>
      <c r="AP131">
        <v>100</v>
      </c>
      <c r="AQ131">
        <v>0.60417600000000005</v>
      </c>
      <c r="AR131">
        <v>60.417574999999999</v>
      </c>
      <c r="AS131">
        <v>100</v>
      </c>
      <c r="AT131">
        <v>0.485564</v>
      </c>
      <c r="AU131">
        <v>0.563998</v>
      </c>
      <c r="AV131">
        <v>48.556376</v>
      </c>
      <c r="AW131">
        <v>100</v>
      </c>
      <c r="AX131">
        <v>0.57972400000000002</v>
      </c>
      <c r="AY131">
        <v>0.62081299999999995</v>
      </c>
      <c r="AZ131">
        <v>57.972445999999998</v>
      </c>
      <c r="BA131">
        <v>100</v>
      </c>
      <c r="BB131">
        <v>0.56820999999999999</v>
      </c>
      <c r="BC131">
        <v>28.410516999999999</v>
      </c>
      <c r="BD131">
        <v>50</v>
      </c>
      <c r="BE131">
        <v>0.540825</v>
      </c>
      <c r="BF131">
        <v>27.041267999999999</v>
      </c>
      <c r="BG131">
        <v>50</v>
      </c>
      <c r="BH131">
        <v>0</v>
      </c>
      <c r="BI131">
        <v>0.99062499999999998</v>
      </c>
      <c r="BJ131">
        <v>0.98909100000000005</v>
      </c>
      <c r="BK131">
        <v>0.99178100000000002</v>
      </c>
      <c r="BL131">
        <v>0.98983600000000005</v>
      </c>
      <c r="BM131">
        <v>0.98907100000000003</v>
      </c>
      <c r="BN131">
        <v>0.99041100000000004</v>
      </c>
      <c r="BO131">
        <v>0.98409899999999995</v>
      </c>
      <c r="BP131">
        <v>0.97541</v>
      </c>
      <c r="BQ131">
        <v>0.99068299999999998</v>
      </c>
      <c r="BR131">
        <v>1.9264E-2</v>
      </c>
      <c r="BS131">
        <v>50</v>
      </c>
      <c r="BT131">
        <v>50</v>
      </c>
      <c r="BU131">
        <v>2.3736E-2</v>
      </c>
      <c r="BV131">
        <v>50</v>
      </c>
      <c r="BW131">
        <v>50</v>
      </c>
      <c r="BX131">
        <v>0.79743600000000003</v>
      </c>
      <c r="BY131">
        <v>50</v>
      </c>
      <c r="BZ131">
        <v>50</v>
      </c>
      <c r="CA131">
        <v>0.44871800000000001</v>
      </c>
      <c r="CB131">
        <v>29.914529999999999</v>
      </c>
      <c r="CC131">
        <v>50</v>
      </c>
      <c r="CD131">
        <v>0.96256699999999995</v>
      </c>
      <c r="CE131">
        <v>50</v>
      </c>
      <c r="CF131">
        <v>50</v>
      </c>
      <c r="CG131">
        <v>0.93333299999999997</v>
      </c>
      <c r="CH131">
        <v>99.290779999999998</v>
      </c>
      <c r="CI131">
        <v>100</v>
      </c>
      <c r="CJ131">
        <v>0</v>
      </c>
      <c r="CK131">
        <v>0.85714299999999999</v>
      </c>
      <c r="CL131">
        <v>91.185410000000005</v>
      </c>
      <c r="CM131">
        <v>100</v>
      </c>
      <c r="CN131">
        <v>0.67700000000000005</v>
      </c>
      <c r="CO131">
        <v>90.277777999999998</v>
      </c>
      <c r="CP131">
        <v>100</v>
      </c>
      <c r="CQ131">
        <v>0.51355200000000001</v>
      </c>
      <c r="CR131">
        <v>0.96957099999999996</v>
      </c>
      <c r="CS131">
        <v>34.236804999999997</v>
      </c>
      <c r="CT131">
        <v>50</v>
      </c>
      <c r="CU131">
        <v>0.51507199999999997</v>
      </c>
      <c r="CV131">
        <v>42.922674000000001</v>
      </c>
      <c r="CW131">
        <v>50</v>
      </c>
      <c r="CX131">
        <v>0.85714299999999999</v>
      </c>
      <c r="CY131">
        <v>0.94</v>
      </c>
      <c r="CZ131">
        <v>8.2857E-2</v>
      </c>
      <c r="DA131">
        <v>15.389535</v>
      </c>
      <c r="DB131">
        <v>17.608319000000002</v>
      </c>
      <c r="DC131">
        <v>16.064022999999999</v>
      </c>
      <c r="DD131">
        <v>11.115401</v>
      </c>
      <c r="DE131" t="s">
        <v>125</v>
      </c>
      <c r="DJ131" t="s">
        <v>125</v>
      </c>
      <c r="DK131" t="s">
        <v>125</v>
      </c>
      <c r="DL131" t="s">
        <v>125</v>
      </c>
      <c r="DM131" t="s">
        <v>125</v>
      </c>
      <c r="DN131" t="s">
        <v>125</v>
      </c>
      <c r="DO131" t="s">
        <v>125</v>
      </c>
      <c r="DQ131" t="s">
        <v>126</v>
      </c>
    </row>
    <row r="132" spans="1:121" x14ac:dyDescent="0.15">
      <c r="A132">
        <v>2018</v>
      </c>
      <c r="B132" t="s">
        <v>254</v>
      </c>
      <c r="C132" t="str">
        <f>"0730011"</f>
        <v>0730011</v>
      </c>
      <c r="D132" t="s">
        <v>123</v>
      </c>
      <c r="E132" t="str">
        <f t="shared" si="0"/>
        <v>0000000</v>
      </c>
      <c r="F132" t="s">
        <v>123</v>
      </c>
      <c r="G132" t="s">
        <v>123</v>
      </c>
      <c r="H132" t="s">
        <v>123</v>
      </c>
      <c r="J132" t="s">
        <v>124</v>
      </c>
      <c r="K132">
        <v>636.98511399999995</v>
      </c>
      <c r="L132">
        <v>900</v>
      </c>
      <c r="M132">
        <v>70.776123999999996</v>
      </c>
      <c r="N132" t="s">
        <v>125</v>
      </c>
      <c r="O132">
        <v>1</v>
      </c>
      <c r="P132">
        <v>69.669803000000002</v>
      </c>
      <c r="Q132">
        <v>46.446536000000002</v>
      </c>
      <c r="R132">
        <v>50</v>
      </c>
      <c r="S132">
        <v>61.047167000000002</v>
      </c>
      <c r="T132">
        <v>75</v>
      </c>
      <c r="U132">
        <v>40.698112000000002</v>
      </c>
      <c r="V132">
        <v>50</v>
      </c>
      <c r="W132">
        <v>62.883881000000002</v>
      </c>
      <c r="X132">
        <v>41.922587</v>
      </c>
      <c r="Y132">
        <v>50</v>
      </c>
      <c r="Z132">
        <v>69.594078999999994</v>
      </c>
      <c r="AA132">
        <v>55.150094000000003</v>
      </c>
      <c r="AB132">
        <v>36.766728999999998</v>
      </c>
      <c r="AC132">
        <v>50</v>
      </c>
      <c r="AD132">
        <v>66.269651999999994</v>
      </c>
      <c r="AE132">
        <v>44.179768000000003</v>
      </c>
      <c r="AF132">
        <v>50</v>
      </c>
      <c r="AG132">
        <v>57.803410999999997</v>
      </c>
      <c r="AH132">
        <v>75</v>
      </c>
      <c r="AI132">
        <v>38.535608000000003</v>
      </c>
      <c r="AJ132">
        <v>50</v>
      </c>
      <c r="AK132">
        <v>13.95</v>
      </c>
      <c r="AL132">
        <v>14.44</v>
      </c>
      <c r="AM132">
        <v>17.190000000000001</v>
      </c>
      <c r="AN132">
        <v>0.55115199999999998</v>
      </c>
      <c r="AO132">
        <v>55.115226999999997</v>
      </c>
      <c r="AP132">
        <v>100</v>
      </c>
      <c r="AQ132">
        <v>0.61548000000000003</v>
      </c>
      <c r="AR132">
        <v>61.548001999999997</v>
      </c>
      <c r="AS132">
        <v>100</v>
      </c>
      <c r="AT132">
        <v>0.45304299999999997</v>
      </c>
      <c r="AU132">
        <v>0.62727100000000002</v>
      </c>
      <c r="AV132">
        <v>45.304335999999999</v>
      </c>
      <c r="AW132">
        <v>100</v>
      </c>
      <c r="AX132">
        <v>0.57526600000000006</v>
      </c>
      <c r="AY132">
        <v>0.64625200000000005</v>
      </c>
      <c r="AZ132">
        <v>57.526629999999997</v>
      </c>
      <c r="BA132">
        <v>100</v>
      </c>
      <c r="BB132" t="s">
        <v>125</v>
      </c>
      <c r="BC132" t="s">
        <v>125</v>
      </c>
      <c r="BD132" t="s">
        <v>125</v>
      </c>
      <c r="BE132" t="s">
        <v>125</v>
      </c>
      <c r="BF132" t="s">
        <v>125</v>
      </c>
      <c r="BG132" t="s">
        <v>125</v>
      </c>
      <c r="BH132">
        <v>0</v>
      </c>
      <c r="BI132">
        <v>1</v>
      </c>
      <c r="BJ132">
        <v>1</v>
      </c>
      <c r="BK132">
        <v>1</v>
      </c>
      <c r="BL132">
        <v>0.99248099999999995</v>
      </c>
      <c r="BM132">
        <v>0.99206300000000003</v>
      </c>
      <c r="BN132">
        <v>0.99285699999999999</v>
      </c>
      <c r="BO132">
        <v>0.99019599999999997</v>
      </c>
      <c r="BP132">
        <v>0.98148100000000005</v>
      </c>
      <c r="BQ132">
        <v>1</v>
      </c>
      <c r="BR132">
        <v>4.6875E-2</v>
      </c>
      <c r="BS132">
        <v>50</v>
      </c>
      <c r="BT132">
        <v>50</v>
      </c>
      <c r="BU132">
        <v>7.8652E-2</v>
      </c>
      <c r="BV132">
        <v>44.269663000000001</v>
      </c>
      <c r="BW132">
        <v>50</v>
      </c>
      <c r="BX132" t="s">
        <v>125</v>
      </c>
      <c r="BY132" t="s">
        <v>125</v>
      </c>
      <c r="BZ132" t="s">
        <v>125</v>
      </c>
      <c r="CA132" t="s">
        <v>125</v>
      </c>
      <c r="CB132" t="s">
        <v>125</v>
      </c>
      <c r="CC132" t="s">
        <v>125</v>
      </c>
      <c r="CD132">
        <v>0.97916700000000001</v>
      </c>
      <c r="CE132">
        <v>50</v>
      </c>
      <c r="CF132">
        <v>50</v>
      </c>
      <c r="CG132" t="s">
        <v>125</v>
      </c>
      <c r="CH132" t="s">
        <v>125</v>
      </c>
      <c r="CI132" t="s">
        <v>125</v>
      </c>
      <c r="CJ132" t="s">
        <v>125</v>
      </c>
      <c r="CK132" t="s">
        <v>125</v>
      </c>
      <c r="CL132" t="s">
        <v>125</v>
      </c>
      <c r="CM132" t="s">
        <v>125</v>
      </c>
      <c r="CN132" t="s">
        <v>125</v>
      </c>
      <c r="CO132" t="s">
        <v>125</v>
      </c>
      <c r="CP132" t="s">
        <v>125</v>
      </c>
      <c r="CQ132">
        <v>0.37007899999999999</v>
      </c>
      <c r="CR132">
        <v>0.98449600000000004</v>
      </c>
      <c r="CS132">
        <v>24.671916</v>
      </c>
      <c r="CT132">
        <v>50</v>
      </c>
      <c r="CU132" t="s">
        <v>125</v>
      </c>
      <c r="CV132" t="s">
        <v>125</v>
      </c>
      <c r="CW132" t="s">
        <v>125</v>
      </c>
      <c r="CX132" t="s">
        <v>125</v>
      </c>
      <c r="CY132" t="s">
        <v>125</v>
      </c>
      <c r="CZ132" t="s">
        <v>125</v>
      </c>
      <c r="DA132">
        <v>15.389535</v>
      </c>
      <c r="DB132">
        <v>17.608319000000002</v>
      </c>
      <c r="DC132">
        <v>16.064022999999999</v>
      </c>
      <c r="DD132" t="s">
        <v>125</v>
      </c>
      <c r="DE132" t="s">
        <v>125</v>
      </c>
      <c r="DJ132" t="s">
        <v>125</v>
      </c>
      <c r="DK132" t="s">
        <v>125</v>
      </c>
      <c r="DL132" t="s">
        <v>125</v>
      </c>
      <c r="DM132" t="s">
        <v>125</v>
      </c>
      <c r="DN132" t="s">
        <v>125</v>
      </c>
      <c r="DO132" t="s">
        <v>125</v>
      </c>
      <c r="DQ132" t="s">
        <v>126</v>
      </c>
    </row>
    <row r="133" spans="1:121" x14ac:dyDescent="0.15">
      <c r="A133">
        <v>2018</v>
      </c>
      <c r="B133" t="s">
        <v>255</v>
      </c>
      <c r="C133" t="str">
        <f>"0740011"</f>
        <v>0740011</v>
      </c>
      <c r="D133" t="s">
        <v>123</v>
      </c>
      <c r="E133" t="str">
        <f t="shared" si="0"/>
        <v>0000000</v>
      </c>
      <c r="F133" t="s">
        <v>123</v>
      </c>
      <c r="G133" t="s">
        <v>123</v>
      </c>
      <c r="H133" t="s">
        <v>123</v>
      </c>
      <c r="J133" t="s">
        <v>124</v>
      </c>
      <c r="K133">
        <v>1132.3146830000001</v>
      </c>
      <c r="L133">
        <v>1350</v>
      </c>
      <c r="M133">
        <v>83.875162000000003</v>
      </c>
      <c r="N133" t="s">
        <v>125</v>
      </c>
      <c r="O133">
        <v>0</v>
      </c>
      <c r="P133">
        <v>75.529557999999994</v>
      </c>
      <c r="Q133">
        <v>50</v>
      </c>
      <c r="R133">
        <v>50</v>
      </c>
      <c r="S133">
        <v>66.045843000000005</v>
      </c>
      <c r="T133">
        <v>75</v>
      </c>
      <c r="U133">
        <v>44.030562000000003</v>
      </c>
      <c r="V133">
        <v>50</v>
      </c>
      <c r="W133">
        <v>73.323490000000007</v>
      </c>
      <c r="X133">
        <v>48.882325999999999</v>
      </c>
      <c r="Y133">
        <v>50</v>
      </c>
      <c r="Z133">
        <v>75</v>
      </c>
      <c r="AA133">
        <v>63.370843000000001</v>
      </c>
      <c r="AB133">
        <v>42.247228999999997</v>
      </c>
      <c r="AC133">
        <v>50</v>
      </c>
      <c r="AD133">
        <v>74.219859999999997</v>
      </c>
      <c r="AE133">
        <v>49.479906</v>
      </c>
      <c r="AF133">
        <v>50</v>
      </c>
      <c r="AG133">
        <v>66.717866999999998</v>
      </c>
      <c r="AH133">
        <v>75</v>
      </c>
      <c r="AI133">
        <v>44.478577999999999</v>
      </c>
      <c r="AJ133">
        <v>50</v>
      </c>
      <c r="AK133">
        <v>8.9499999999999993</v>
      </c>
      <c r="AL133">
        <v>11.62</v>
      </c>
      <c r="AM133">
        <v>8.2799999999999994</v>
      </c>
      <c r="AN133">
        <v>0.629027</v>
      </c>
      <c r="AO133">
        <v>62.902659</v>
      </c>
      <c r="AP133">
        <v>100</v>
      </c>
      <c r="AQ133">
        <v>0.72093499999999999</v>
      </c>
      <c r="AR133">
        <v>72.093485999999999</v>
      </c>
      <c r="AS133">
        <v>100</v>
      </c>
      <c r="AT133">
        <v>0.58462400000000003</v>
      </c>
      <c r="AU133">
        <v>0.65391900000000003</v>
      </c>
      <c r="AV133">
        <v>58.462387</v>
      </c>
      <c r="AW133">
        <v>100</v>
      </c>
      <c r="AX133">
        <v>0.63910400000000001</v>
      </c>
      <c r="AY133">
        <v>0.76680999999999999</v>
      </c>
      <c r="AZ133">
        <v>63.910417000000002</v>
      </c>
      <c r="BA133">
        <v>100</v>
      </c>
      <c r="BB133" t="s">
        <v>125</v>
      </c>
      <c r="BC133" t="s">
        <v>125</v>
      </c>
      <c r="BD133" t="s">
        <v>125</v>
      </c>
      <c r="BE133" t="s">
        <v>125</v>
      </c>
      <c r="BF133" t="s">
        <v>125</v>
      </c>
      <c r="BG133" t="s">
        <v>125</v>
      </c>
      <c r="BH133">
        <v>0</v>
      </c>
      <c r="BI133">
        <v>0.97894700000000001</v>
      </c>
      <c r="BJ133">
        <v>0.97560999999999998</v>
      </c>
      <c r="BK133">
        <v>0.980707</v>
      </c>
      <c r="BL133">
        <v>0.97894700000000001</v>
      </c>
      <c r="BM133">
        <v>0.97560999999999998</v>
      </c>
      <c r="BN133">
        <v>0.980707</v>
      </c>
      <c r="BO133">
        <v>0.95774599999999999</v>
      </c>
      <c r="BP133">
        <v>0.95121999999999995</v>
      </c>
      <c r="BQ133">
        <v>0.96183200000000002</v>
      </c>
      <c r="BR133">
        <v>5.2264999999999999E-2</v>
      </c>
      <c r="BS133">
        <v>49.547038000000001</v>
      </c>
      <c r="BT133">
        <v>50</v>
      </c>
      <c r="BU133">
        <v>0.11379300000000001</v>
      </c>
      <c r="BV133">
        <v>37.241379000000002</v>
      </c>
      <c r="BW133">
        <v>50</v>
      </c>
      <c r="BX133">
        <v>0.94117600000000001</v>
      </c>
      <c r="BY133">
        <v>50</v>
      </c>
      <c r="BZ133">
        <v>50</v>
      </c>
      <c r="CA133">
        <v>0.54901999999999995</v>
      </c>
      <c r="CB133">
        <v>36.601306999999998</v>
      </c>
      <c r="CC133">
        <v>50</v>
      </c>
      <c r="CD133">
        <v>1</v>
      </c>
      <c r="CE133">
        <v>50</v>
      </c>
      <c r="CF133">
        <v>50</v>
      </c>
      <c r="CG133">
        <v>0.984375</v>
      </c>
      <c r="CH133">
        <v>100</v>
      </c>
      <c r="CI133">
        <v>100</v>
      </c>
      <c r="CJ133">
        <v>0</v>
      </c>
      <c r="CK133">
        <v>1</v>
      </c>
      <c r="CL133">
        <v>100</v>
      </c>
      <c r="CM133">
        <v>100</v>
      </c>
      <c r="CN133">
        <v>0.746</v>
      </c>
      <c r="CO133">
        <v>99.470899000000003</v>
      </c>
      <c r="CP133">
        <v>100</v>
      </c>
      <c r="CQ133">
        <v>0.68899500000000002</v>
      </c>
      <c r="CR133">
        <v>0.79467699999999997</v>
      </c>
      <c r="CS133">
        <v>22.966507</v>
      </c>
      <c r="CT133">
        <v>50</v>
      </c>
      <c r="CU133">
        <v>0.72438199999999997</v>
      </c>
      <c r="CV133">
        <v>50</v>
      </c>
      <c r="CW133">
        <v>50</v>
      </c>
      <c r="CX133">
        <v>1</v>
      </c>
      <c r="CY133">
        <v>0.94</v>
      </c>
      <c r="CZ133">
        <v>-0.06</v>
      </c>
      <c r="DA133">
        <v>15.389535</v>
      </c>
      <c r="DB133">
        <v>17.608319000000002</v>
      </c>
      <c r="DC133">
        <v>16.064022999999999</v>
      </c>
      <c r="DD133">
        <v>11.115401</v>
      </c>
      <c r="DE133" t="s">
        <v>125</v>
      </c>
      <c r="DJ133" t="s">
        <v>125</v>
      </c>
      <c r="DK133" t="s">
        <v>125</v>
      </c>
      <c r="DL133" t="s">
        <v>125</v>
      </c>
      <c r="DM133" t="s">
        <v>125</v>
      </c>
      <c r="DN133" t="s">
        <v>125</v>
      </c>
      <c r="DO133" t="s">
        <v>125</v>
      </c>
      <c r="DQ133" t="s">
        <v>126</v>
      </c>
    </row>
    <row r="134" spans="1:121" x14ac:dyDescent="0.15">
      <c r="A134">
        <v>2018</v>
      </c>
      <c r="B134" t="s">
        <v>256</v>
      </c>
      <c r="C134" t="str">
        <f>"0760011"</f>
        <v>0760011</v>
      </c>
      <c r="D134" t="s">
        <v>123</v>
      </c>
      <c r="E134" t="str">
        <f t="shared" si="0"/>
        <v>0000000</v>
      </c>
      <c r="F134" t="s">
        <v>123</v>
      </c>
      <c r="G134" t="s">
        <v>123</v>
      </c>
      <c r="H134" t="s">
        <v>123</v>
      </c>
      <c r="J134" t="s">
        <v>124</v>
      </c>
      <c r="K134">
        <v>1180.2180020000001</v>
      </c>
      <c r="L134">
        <v>1450</v>
      </c>
      <c r="M134">
        <v>81.394345000000001</v>
      </c>
      <c r="N134" t="s">
        <v>125</v>
      </c>
      <c r="O134">
        <v>1</v>
      </c>
      <c r="P134">
        <v>74.046139999999994</v>
      </c>
      <c r="Q134">
        <v>49.364094000000001</v>
      </c>
      <c r="R134">
        <v>50</v>
      </c>
      <c r="S134">
        <v>58.999158999999999</v>
      </c>
      <c r="T134">
        <v>75</v>
      </c>
      <c r="U134">
        <v>39.332771999999999</v>
      </c>
      <c r="V134">
        <v>50</v>
      </c>
      <c r="W134">
        <v>72.052569000000005</v>
      </c>
      <c r="X134">
        <v>48.035046000000001</v>
      </c>
      <c r="Y134">
        <v>50</v>
      </c>
      <c r="Z134">
        <v>75</v>
      </c>
      <c r="AA134">
        <v>56.871521000000001</v>
      </c>
      <c r="AB134">
        <v>37.914346999999999</v>
      </c>
      <c r="AC134">
        <v>50</v>
      </c>
      <c r="AD134">
        <v>66.686895000000007</v>
      </c>
      <c r="AE134">
        <v>44.457929999999998</v>
      </c>
      <c r="AF134">
        <v>50</v>
      </c>
      <c r="AG134">
        <v>51.817214</v>
      </c>
      <c r="AH134">
        <v>69.894081</v>
      </c>
      <c r="AI134">
        <v>34.544809000000001</v>
      </c>
      <c r="AJ134">
        <v>50</v>
      </c>
      <c r="AK134">
        <v>16</v>
      </c>
      <c r="AL134">
        <v>18.12</v>
      </c>
      <c r="AM134">
        <v>18.07</v>
      </c>
      <c r="AN134">
        <v>0.57787900000000003</v>
      </c>
      <c r="AO134">
        <v>57.787927000000003</v>
      </c>
      <c r="AP134">
        <v>100</v>
      </c>
      <c r="AQ134">
        <v>0.62851100000000004</v>
      </c>
      <c r="AR134">
        <v>62.851069000000003</v>
      </c>
      <c r="AS134">
        <v>100</v>
      </c>
      <c r="AT134">
        <v>0.51982899999999999</v>
      </c>
      <c r="AU134">
        <v>0.59106400000000003</v>
      </c>
      <c r="AV134">
        <v>51.982939000000002</v>
      </c>
      <c r="AW134">
        <v>100</v>
      </c>
      <c r="AX134">
        <v>0.57552099999999995</v>
      </c>
      <c r="AY134">
        <v>0.640602</v>
      </c>
      <c r="AZ134">
        <v>57.552132999999998</v>
      </c>
      <c r="BA134">
        <v>100</v>
      </c>
      <c r="BB134">
        <v>0.69694999999999996</v>
      </c>
      <c r="BC134">
        <v>34.847493999999998</v>
      </c>
      <c r="BD134">
        <v>50</v>
      </c>
      <c r="BE134">
        <v>0.50473199999999996</v>
      </c>
      <c r="BF134">
        <v>25.236592000000002</v>
      </c>
      <c r="BG134">
        <v>50</v>
      </c>
      <c r="BH134">
        <v>1</v>
      </c>
      <c r="BI134">
        <v>0.92155500000000001</v>
      </c>
      <c r="BJ134">
        <v>0.89530699999999996</v>
      </c>
      <c r="BK134">
        <v>0.92794399999999999</v>
      </c>
      <c r="BL134">
        <v>0.91872799999999999</v>
      </c>
      <c r="BM134">
        <v>0.89169699999999996</v>
      </c>
      <c r="BN134">
        <v>0.92530800000000002</v>
      </c>
      <c r="BO134">
        <v>0.89813500000000002</v>
      </c>
      <c r="BP134">
        <v>0.89843799999999996</v>
      </c>
      <c r="BQ134">
        <v>0.89806699999999995</v>
      </c>
      <c r="BR134">
        <v>2.3569E-2</v>
      </c>
      <c r="BS134">
        <v>50</v>
      </c>
      <c r="BT134">
        <v>50</v>
      </c>
      <c r="BU134">
        <v>6.4378000000000005E-2</v>
      </c>
      <c r="BV134">
        <v>47.124464000000003</v>
      </c>
      <c r="BW134">
        <v>50</v>
      </c>
      <c r="BX134">
        <v>0.87678599999999995</v>
      </c>
      <c r="BY134">
        <v>50</v>
      </c>
      <c r="BZ134">
        <v>50</v>
      </c>
      <c r="CA134">
        <v>0.75</v>
      </c>
      <c r="CB134">
        <v>50</v>
      </c>
      <c r="CC134">
        <v>50</v>
      </c>
      <c r="CD134">
        <v>0.99540200000000001</v>
      </c>
      <c r="CE134">
        <v>50</v>
      </c>
      <c r="CF134">
        <v>50</v>
      </c>
      <c r="CG134">
        <v>0.972603</v>
      </c>
      <c r="CH134">
        <v>100</v>
      </c>
      <c r="CI134">
        <v>100</v>
      </c>
      <c r="CJ134">
        <v>0</v>
      </c>
      <c r="CK134">
        <v>0.94444399999999995</v>
      </c>
      <c r="CL134">
        <v>100</v>
      </c>
      <c r="CM134">
        <v>100</v>
      </c>
      <c r="CN134">
        <v>0.88400000000000001</v>
      </c>
      <c r="CO134">
        <v>100</v>
      </c>
      <c r="CP134">
        <v>100</v>
      </c>
      <c r="CQ134">
        <v>0.58779599999999999</v>
      </c>
      <c r="CR134">
        <v>0.93589699999999998</v>
      </c>
      <c r="CS134">
        <v>39.186383999999997</v>
      </c>
      <c r="CT134">
        <v>50</v>
      </c>
      <c r="CU134">
        <v>0.67718</v>
      </c>
      <c r="CV134">
        <v>50</v>
      </c>
      <c r="CW134">
        <v>50</v>
      </c>
      <c r="CX134">
        <v>0.94444399999999995</v>
      </c>
      <c r="CY134">
        <v>0.94</v>
      </c>
      <c r="CZ134">
        <v>-4.444E-3</v>
      </c>
      <c r="DA134">
        <v>15.389535</v>
      </c>
      <c r="DB134">
        <v>17.608319000000002</v>
      </c>
      <c r="DC134">
        <v>16.064022999999999</v>
      </c>
      <c r="DD134">
        <v>11.115401</v>
      </c>
      <c r="DE134" t="s">
        <v>125</v>
      </c>
      <c r="DJ134" t="s">
        <v>125</v>
      </c>
      <c r="DK134" t="s">
        <v>125</v>
      </c>
      <c r="DL134" t="s">
        <v>125</v>
      </c>
      <c r="DM134" t="s">
        <v>125</v>
      </c>
      <c r="DN134" t="s">
        <v>125</v>
      </c>
      <c r="DO134" t="s">
        <v>125</v>
      </c>
      <c r="DQ134" t="s">
        <v>126</v>
      </c>
    </row>
    <row r="135" spans="1:121" x14ac:dyDescent="0.15">
      <c r="A135">
        <v>2018</v>
      </c>
      <c r="B135" t="s">
        <v>257</v>
      </c>
      <c r="C135" t="str">
        <f>"0770011"</f>
        <v>0770011</v>
      </c>
      <c r="D135" t="s">
        <v>123</v>
      </c>
      <c r="E135" t="str">
        <f t="shared" si="0"/>
        <v>0000000</v>
      </c>
      <c r="F135" t="s">
        <v>123</v>
      </c>
      <c r="G135" t="s">
        <v>123</v>
      </c>
      <c r="H135" t="s">
        <v>123</v>
      </c>
      <c r="J135" t="s">
        <v>124</v>
      </c>
      <c r="K135">
        <v>940.927097</v>
      </c>
      <c r="L135">
        <v>1450</v>
      </c>
      <c r="M135">
        <v>64.891524000000004</v>
      </c>
      <c r="N135" t="s">
        <v>125</v>
      </c>
      <c r="O135">
        <v>1</v>
      </c>
      <c r="P135">
        <v>57.966051999999998</v>
      </c>
      <c r="Q135">
        <v>38.644035000000002</v>
      </c>
      <c r="R135">
        <v>50</v>
      </c>
      <c r="S135">
        <v>52.748379</v>
      </c>
      <c r="T135">
        <v>68.819264000000004</v>
      </c>
      <c r="U135">
        <v>35.165585999999998</v>
      </c>
      <c r="V135">
        <v>50</v>
      </c>
      <c r="W135">
        <v>53.52214</v>
      </c>
      <c r="X135">
        <v>35.681426999999999</v>
      </c>
      <c r="Y135">
        <v>50</v>
      </c>
      <c r="Z135">
        <v>65.459070999999994</v>
      </c>
      <c r="AA135">
        <v>47.711737999999997</v>
      </c>
      <c r="AB135">
        <v>31.807825000000001</v>
      </c>
      <c r="AC135">
        <v>50</v>
      </c>
      <c r="AD135">
        <v>52.367185999999997</v>
      </c>
      <c r="AE135">
        <v>34.911456999999999</v>
      </c>
      <c r="AF135">
        <v>50</v>
      </c>
      <c r="AG135">
        <v>47.784320000000001</v>
      </c>
      <c r="AH135">
        <v>60.759768000000001</v>
      </c>
      <c r="AI135">
        <v>31.856214000000001</v>
      </c>
      <c r="AJ135">
        <v>50</v>
      </c>
      <c r="AK135">
        <v>16.07</v>
      </c>
      <c r="AL135">
        <v>17.739999999999998</v>
      </c>
      <c r="AM135">
        <v>12.97</v>
      </c>
      <c r="AN135">
        <v>0.50038000000000005</v>
      </c>
      <c r="AO135">
        <v>50.037998999999999</v>
      </c>
      <c r="AP135">
        <v>100</v>
      </c>
      <c r="AQ135">
        <v>0.54435999999999996</v>
      </c>
      <c r="AR135">
        <v>54.435957999999999</v>
      </c>
      <c r="AS135">
        <v>100</v>
      </c>
      <c r="AT135">
        <v>0.48312899999999998</v>
      </c>
      <c r="AU135">
        <v>0.53650799999999998</v>
      </c>
      <c r="AV135">
        <v>48.312927999999999</v>
      </c>
      <c r="AW135">
        <v>100</v>
      </c>
      <c r="AX135">
        <v>0.52042500000000003</v>
      </c>
      <c r="AY135">
        <v>0.59345599999999998</v>
      </c>
      <c r="AZ135">
        <v>52.042476000000001</v>
      </c>
      <c r="BA135">
        <v>100</v>
      </c>
      <c r="BB135">
        <v>0.61674899999999999</v>
      </c>
      <c r="BC135">
        <v>30.837444000000001</v>
      </c>
      <c r="BD135">
        <v>50</v>
      </c>
      <c r="BE135">
        <v>0.553508</v>
      </c>
      <c r="BF135">
        <v>27.675405000000001</v>
      </c>
      <c r="BG135">
        <v>50</v>
      </c>
      <c r="BH135">
        <v>1</v>
      </c>
      <c r="BI135">
        <v>0.96408099999999997</v>
      </c>
      <c r="BJ135">
        <v>0.96022200000000002</v>
      </c>
      <c r="BK135">
        <v>0.97256100000000001</v>
      </c>
      <c r="BL135">
        <v>0.95194100000000004</v>
      </c>
      <c r="BM135">
        <v>0.944882</v>
      </c>
      <c r="BN135">
        <v>0.96744699999999995</v>
      </c>
      <c r="BO135">
        <v>0.94834200000000002</v>
      </c>
      <c r="BP135">
        <v>0.94097200000000003</v>
      </c>
      <c r="BQ135">
        <v>0.96304800000000002</v>
      </c>
      <c r="BR135">
        <v>0.17754700000000001</v>
      </c>
      <c r="BS135">
        <v>24.490686</v>
      </c>
      <c r="BT135">
        <v>50</v>
      </c>
      <c r="BU135">
        <v>0.23030500000000001</v>
      </c>
      <c r="BV135">
        <v>13.939088999999999</v>
      </c>
      <c r="BW135">
        <v>50</v>
      </c>
      <c r="BX135">
        <v>0.90760200000000002</v>
      </c>
      <c r="BY135">
        <v>50</v>
      </c>
      <c r="BZ135">
        <v>50</v>
      </c>
      <c r="CA135">
        <v>0.28538000000000002</v>
      </c>
      <c r="CB135">
        <v>19.025341000000001</v>
      </c>
      <c r="CC135">
        <v>50</v>
      </c>
      <c r="CD135">
        <v>0.850163</v>
      </c>
      <c r="CE135">
        <v>45.221429000000001</v>
      </c>
      <c r="CF135">
        <v>50</v>
      </c>
      <c r="CG135">
        <v>0.82195099999999999</v>
      </c>
      <c r="CH135">
        <v>87.441619000000003</v>
      </c>
      <c r="CI135">
        <v>100</v>
      </c>
      <c r="CJ135">
        <v>0</v>
      </c>
      <c r="CK135">
        <v>0.86090199999999995</v>
      </c>
      <c r="CL135">
        <v>91.585346000000001</v>
      </c>
      <c r="CM135">
        <v>100</v>
      </c>
      <c r="CN135">
        <v>0.56299999999999994</v>
      </c>
      <c r="CO135">
        <v>75.045536999999996</v>
      </c>
      <c r="CP135">
        <v>100</v>
      </c>
      <c r="CQ135">
        <v>0.37406299999999998</v>
      </c>
      <c r="CR135">
        <v>0.95962400000000003</v>
      </c>
      <c r="CS135">
        <v>24.937560000000001</v>
      </c>
      <c r="CT135">
        <v>50</v>
      </c>
      <c r="CU135">
        <v>0.45398100000000002</v>
      </c>
      <c r="CV135">
        <v>37.831733</v>
      </c>
      <c r="CW135">
        <v>50</v>
      </c>
      <c r="CX135">
        <v>0.86090199999999995</v>
      </c>
      <c r="CY135">
        <v>0.94</v>
      </c>
      <c r="CZ135">
        <v>7.9098000000000002E-2</v>
      </c>
      <c r="DA135">
        <v>15.389535</v>
      </c>
      <c r="DB135">
        <v>17.608319000000002</v>
      </c>
      <c r="DC135">
        <v>16.064022999999999</v>
      </c>
      <c r="DD135">
        <v>11.115401</v>
      </c>
      <c r="DE135" t="s">
        <v>125</v>
      </c>
      <c r="DJ135" t="s">
        <v>125</v>
      </c>
      <c r="DK135" t="s">
        <v>125</v>
      </c>
      <c r="DL135" t="s">
        <v>125</v>
      </c>
      <c r="DM135" t="s">
        <v>125</v>
      </c>
      <c r="DN135" t="s">
        <v>125</v>
      </c>
      <c r="DO135" t="s">
        <v>125</v>
      </c>
      <c r="DQ135" t="s">
        <v>126</v>
      </c>
    </row>
    <row r="136" spans="1:121" x14ac:dyDescent="0.15">
      <c r="A136">
        <v>2018</v>
      </c>
      <c r="B136" t="s">
        <v>258</v>
      </c>
      <c r="C136" t="str">
        <f>"1320011"</f>
        <v>1320011</v>
      </c>
      <c r="D136" t="s">
        <v>123</v>
      </c>
      <c r="E136" t="str">
        <f t="shared" si="0"/>
        <v>0000000</v>
      </c>
      <c r="F136" t="s">
        <v>123</v>
      </c>
      <c r="G136" t="s">
        <v>123</v>
      </c>
      <c r="H136" t="s">
        <v>123</v>
      </c>
      <c r="J136" t="s">
        <v>124</v>
      </c>
      <c r="K136">
        <v>1204.8162440000001</v>
      </c>
      <c r="L136">
        <v>1450</v>
      </c>
      <c r="M136">
        <v>83.090774999999994</v>
      </c>
      <c r="N136" t="s">
        <v>125</v>
      </c>
      <c r="O136">
        <v>0</v>
      </c>
      <c r="P136">
        <v>76.918811000000005</v>
      </c>
      <c r="Q136">
        <v>50</v>
      </c>
      <c r="R136">
        <v>50</v>
      </c>
      <c r="S136">
        <v>65.479921000000004</v>
      </c>
      <c r="T136">
        <v>75</v>
      </c>
      <c r="U136">
        <v>43.653280000000002</v>
      </c>
      <c r="V136">
        <v>50</v>
      </c>
      <c r="W136">
        <v>75.260763999999995</v>
      </c>
      <c r="X136">
        <v>50</v>
      </c>
      <c r="Y136">
        <v>50</v>
      </c>
      <c r="Z136">
        <v>75</v>
      </c>
      <c r="AA136">
        <v>63.799433000000001</v>
      </c>
      <c r="AB136">
        <v>42.532955999999999</v>
      </c>
      <c r="AC136">
        <v>50</v>
      </c>
      <c r="AD136">
        <v>71.214135999999996</v>
      </c>
      <c r="AE136">
        <v>47.476090999999997</v>
      </c>
      <c r="AF136">
        <v>50</v>
      </c>
      <c r="AG136">
        <v>59.027597999999998</v>
      </c>
      <c r="AH136">
        <v>75</v>
      </c>
      <c r="AI136">
        <v>39.351731999999998</v>
      </c>
      <c r="AJ136">
        <v>50</v>
      </c>
      <c r="AK136">
        <v>9.52</v>
      </c>
      <c r="AL136">
        <v>11.2</v>
      </c>
      <c r="AM136">
        <v>15.97</v>
      </c>
      <c r="AN136">
        <v>0.61489300000000002</v>
      </c>
      <c r="AO136">
        <v>61.489342000000001</v>
      </c>
      <c r="AP136">
        <v>100</v>
      </c>
      <c r="AQ136">
        <v>0.71540499999999996</v>
      </c>
      <c r="AR136">
        <v>71.540503000000001</v>
      </c>
      <c r="AS136">
        <v>100</v>
      </c>
      <c r="AT136">
        <v>0.553867</v>
      </c>
      <c r="AU136">
        <v>0.636625</v>
      </c>
      <c r="AV136">
        <v>55.386668</v>
      </c>
      <c r="AW136">
        <v>100</v>
      </c>
      <c r="AX136">
        <v>0.61177700000000002</v>
      </c>
      <c r="AY136">
        <v>0.75221700000000002</v>
      </c>
      <c r="AZ136">
        <v>61.177726</v>
      </c>
      <c r="BA136">
        <v>100</v>
      </c>
      <c r="BB136">
        <v>0.76693800000000001</v>
      </c>
      <c r="BC136">
        <v>38.346893999999999</v>
      </c>
      <c r="BD136">
        <v>50</v>
      </c>
      <c r="BE136">
        <v>0.63308299999999995</v>
      </c>
      <c r="BF136">
        <v>31.654156</v>
      </c>
      <c r="BG136">
        <v>50</v>
      </c>
      <c r="BH136">
        <v>0</v>
      </c>
      <c r="BI136">
        <v>0.98848599999999998</v>
      </c>
      <c r="BJ136">
        <v>0.97809299999999999</v>
      </c>
      <c r="BK136">
        <v>0.99362700000000004</v>
      </c>
      <c r="BL136">
        <v>0.98806000000000005</v>
      </c>
      <c r="BM136">
        <v>0.97680400000000001</v>
      </c>
      <c r="BN136">
        <v>0.99362700000000004</v>
      </c>
      <c r="BO136">
        <v>0.98938199999999998</v>
      </c>
      <c r="BP136">
        <v>0.97891600000000001</v>
      </c>
      <c r="BQ136">
        <v>0.99431800000000004</v>
      </c>
      <c r="BR136">
        <v>5.1720000000000002E-2</v>
      </c>
      <c r="BS136">
        <v>49.655968999999999</v>
      </c>
      <c r="BT136">
        <v>50</v>
      </c>
      <c r="BU136">
        <v>0.101115</v>
      </c>
      <c r="BV136">
        <v>39.776952000000001</v>
      </c>
      <c r="BW136">
        <v>50</v>
      </c>
      <c r="BX136">
        <v>0.93072299999999997</v>
      </c>
      <c r="BY136">
        <v>50</v>
      </c>
      <c r="BZ136">
        <v>50</v>
      </c>
      <c r="CA136">
        <v>0.584337</v>
      </c>
      <c r="CB136">
        <v>38.955823000000002</v>
      </c>
      <c r="CC136">
        <v>50</v>
      </c>
      <c r="CD136">
        <v>0.98101300000000002</v>
      </c>
      <c r="CE136">
        <v>50</v>
      </c>
      <c r="CF136">
        <v>50</v>
      </c>
      <c r="CG136">
        <v>0.945245</v>
      </c>
      <c r="CH136">
        <v>100</v>
      </c>
      <c r="CI136">
        <v>100</v>
      </c>
      <c r="CJ136">
        <v>0</v>
      </c>
      <c r="CK136">
        <v>0.84285699999999997</v>
      </c>
      <c r="CL136">
        <v>89.665653000000006</v>
      </c>
      <c r="CM136">
        <v>100</v>
      </c>
      <c r="CN136">
        <v>0.85299999999999998</v>
      </c>
      <c r="CO136">
        <v>100</v>
      </c>
      <c r="CP136">
        <v>100</v>
      </c>
      <c r="CQ136">
        <v>0.66228699999999996</v>
      </c>
      <c r="CR136">
        <v>0.96783799999999998</v>
      </c>
      <c r="CS136">
        <v>44.152498999999999</v>
      </c>
      <c r="CT136">
        <v>50</v>
      </c>
      <c r="CU136">
        <v>0.62394499999999997</v>
      </c>
      <c r="CV136">
        <v>50</v>
      </c>
      <c r="CW136">
        <v>50</v>
      </c>
      <c r="CX136">
        <v>0.84285699999999997</v>
      </c>
      <c r="CY136">
        <v>0.94</v>
      </c>
      <c r="CZ136">
        <v>9.7142999999999993E-2</v>
      </c>
      <c r="DA136">
        <v>15.389535</v>
      </c>
      <c r="DB136">
        <v>17.608319000000002</v>
      </c>
      <c r="DC136">
        <v>16.064022999999999</v>
      </c>
      <c r="DD136">
        <v>11.115401</v>
      </c>
      <c r="DE136" t="s">
        <v>125</v>
      </c>
      <c r="DJ136" t="s">
        <v>125</v>
      </c>
      <c r="DK136" t="s">
        <v>125</v>
      </c>
      <c r="DL136" t="s">
        <v>125</v>
      </c>
      <c r="DM136" t="s">
        <v>125</v>
      </c>
      <c r="DN136" t="s">
        <v>125</v>
      </c>
      <c r="DO136" t="s">
        <v>125</v>
      </c>
      <c r="DQ136" t="s">
        <v>126</v>
      </c>
    </row>
    <row r="137" spans="1:121" x14ac:dyDescent="0.15">
      <c r="A137">
        <v>2018</v>
      </c>
      <c r="B137" t="s">
        <v>259</v>
      </c>
      <c r="C137" t="str">
        <f>"1330011"</f>
        <v>1330011</v>
      </c>
      <c r="D137" t="s">
        <v>123</v>
      </c>
      <c r="E137" t="str">
        <f t="shared" si="0"/>
        <v>0000000</v>
      </c>
      <c r="F137" t="s">
        <v>123</v>
      </c>
      <c r="G137" t="s">
        <v>123</v>
      </c>
      <c r="H137" t="s">
        <v>123</v>
      </c>
      <c r="J137" t="s">
        <v>124</v>
      </c>
      <c r="K137">
        <v>505.47992900000003</v>
      </c>
      <c r="L137">
        <v>900</v>
      </c>
      <c r="M137">
        <v>56.164437</v>
      </c>
      <c r="N137" t="s">
        <v>125</v>
      </c>
      <c r="O137">
        <v>0</v>
      </c>
      <c r="P137">
        <v>61.723145000000002</v>
      </c>
      <c r="Q137">
        <v>41.148764</v>
      </c>
      <c r="R137">
        <v>50</v>
      </c>
      <c r="S137">
        <v>58.144199999999998</v>
      </c>
      <c r="T137">
        <v>68.517076000000003</v>
      </c>
      <c r="U137">
        <v>38.762799999999999</v>
      </c>
      <c r="V137">
        <v>50</v>
      </c>
      <c r="W137">
        <v>54.166778999999998</v>
      </c>
      <c r="X137">
        <v>36.111185999999996</v>
      </c>
      <c r="Y137">
        <v>50</v>
      </c>
      <c r="Z137">
        <v>62.308976999999999</v>
      </c>
      <c r="AA137">
        <v>49.877586000000001</v>
      </c>
      <c r="AB137">
        <v>33.251724000000003</v>
      </c>
      <c r="AC137">
        <v>50</v>
      </c>
      <c r="AD137">
        <v>66.014117999999996</v>
      </c>
      <c r="AE137">
        <v>44.009411999999998</v>
      </c>
      <c r="AF137">
        <v>50</v>
      </c>
      <c r="AG137">
        <v>64.654825000000002</v>
      </c>
      <c r="AH137">
        <v>68.188987999999995</v>
      </c>
      <c r="AI137">
        <v>43.103217000000001</v>
      </c>
      <c r="AJ137">
        <v>50</v>
      </c>
      <c r="AK137">
        <v>10.37</v>
      </c>
      <c r="AL137">
        <v>12.43</v>
      </c>
      <c r="AM137">
        <v>3.53</v>
      </c>
      <c r="AN137">
        <v>0.41800399999999999</v>
      </c>
      <c r="AO137">
        <v>41.800437000000002</v>
      </c>
      <c r="AP137">
        <v>100</v>
      </c>
      <c r="AQ137">
        <v>0.29147299999999998</v>
      </c>
      <c r="AR137">
        <v>29.14733</v>
      </c>
      <c r="AS137">
        <v>100</v>
      </c>
      <c r="AT137">
        <v>0.37352800000000003</v>
      </c>
      <c r="AU137">
        <v>0.49649199999999999</v>
      </c>
      <c r="AV137">
        <v>37.352800999999999</v>
      </c>
      <c r="AW137">
        <v>100</v>
      </c>
      <c r="AX137">
        <v>0.26574799999999998</v>
      </c>
      <c r="AY137">
        <v>0.33687099999999998</v>
      </c>
      <c r="AZ137">
        <v>26.574776</v>
      </c>
      <c r="BA137">
        <v>100</v>
      </c>
      <c r="BB137" t="s">
        <v>125</v>
      </c>
      <c r="BC137" t="s">
        <v>125</v>
      </c>
      <c r="BD137" t="s">
        <v>125</v>
      </c>
      <c r="BE137" t="s">
        <v>125</v>
      </c>
      <c r="BF137" t="s">
        <v>125</v>
      </c>
      <c r="BG137" t="s">
        <v>125</v>
      </c>
      <c r="BH137">
        <v>0</v>
      </c>
      <c r="BI137">
        <v>0.99450499999999997</v>
      </c>
      <c r="BJ137">
        <v>0.99159699999999995</v>
      </c>
      <c r="BK137">
        <v>1</v>
      </c>
      <c r="BL137">
        <v>0.99450499999999997</v>
      </c>
      <c r="BM137">
        <v>0.99159699999999995</v>
      </c>
      <c r="BN137">
        <v>1</v>
      </c>
      <c r="BO137">
        <v>0.98148100000000005</v>
      </c>
      <c r="BP137">
        <v>0.97058800000000001</v>
      </c>
      <c r="BQ137">
        <v>1</v>
      </c>
      <c r="BR137">
        <v>0.137184</v>
      </c>
      <c r="BS137">
        <v>32.563177000000003</v>
      </c>
      <c r="BT137">
        <v>50</v>
      </c>
      <c r="BU137">
        <v>0.19459499999999999</v>
      </c>
      <c r="BV137">
        <v>21.081081000000001</v>
      </c>
      <c r="BW137">
        <v>50</v>
      </c>
      <c r="BX137" t="s">
        <v>125</v>
      </c>
      <c r="BY137" t="s">
        <v>125</v>
      </c>
      <c r="BZ137" t="s">
        <v>125</v>
      </c>
      <c r="CA137" t="s">
        <v>125</v>
      </c>
      <c r="CB137" t="s">
        <v>125</v>
      </c>
      <c r="CC137" t="s">
        <v>125</v>
      </c>
      <c r="CD137">
        <v>0.93333299999999997</v>
      </c>
      <c r="CE137">
        <v>49.645389999999999</v>
      </c>
      <c r="CF137">
        <v>50</v>
      </c>
      <c r="CG137" t="s">
        <v>125</v>
      </c>
      <c r="CH137" t="s">
        <v>125</v>
      </c>
      <c r="CI137" t="s">
        <v>125</v>
      </c>
      <c r="CJ137" t="s">
        <v>125</v>
      </c>
      <c r="CK137" t="s">
        <v>125</v>
      </c>
      <c r="CL137" t="s">
        <v>125</v>
      </c>
      <c r="CM137" t="s">
        <v>125</v>
      </c>
      <c r="CN137" t="s">
        <v>125</v>
      </c>
      <c r="CO137" t="s">
        <v>125</v>
      </c>
      <c r="CP137" t="s">
        <v>125</v>
      </c>
      <c r="CQ137">
        <v>0.463918</v>
      </c>
      <c r="CR137">
        <v>0.98979600000000001</v>
      </c>
      <c r="CS137">
        <v>30.927835000000002</v>
      </c>
      <c r="CT137">
        <v>50</v>
      </c>
      <c r="CU137" t="s">
        <v>125</v>
      </c>
      <c r="CV137" t="s">
        <v>125</v>
      </c>
      <c r="CW137" t="s">
        <v>125</v>
      </c>
      <c r="CX137" t="s">
        <v>125</v>
      </c>
      <c r="CY137" t="s">
        <v>125</v>
      </c>
      <c r="CZ137" t="s">
        <v>125</v>
      </c>
      <c r="DA137">
        <v>15.389535</v>
      </c>
      <c r="DB137">
        <v>17.608319000000002</v>
      </c>
      <c r="DC137">
        <v>16.064022999999999</v>
      </c>
      <c r="DD137" t="s">
        <v>125</v>
      </c>
      <c r="DE137" t="s">
        <v>125</v>
      </c>
      <c r="DJ137" t="s">
        <v>125</v>
      </c>
      <c r="DK137" t="s">
        <v>125</v>
      </c>
      <c r="DL137" t="s">
        <v>125</v>
      </c>
      <c r="DM137" t="s">
        <v>125</v>
      </c>
      <c r="DN137" t="s">
        <v>125</v>
      </c>
      <c r="DO137" t="s">
        <v>125</v>
      </c>
      <c r="DQ137" t="s">
        <v>126</v>
      </c>
    </row>
    <row r="138" spans="1:121" x14ac:dyDescent="0.15">
      <c r="A138">
        <v>2018</v>
      </c>
      <c r="B138" t="s">
        <v>260</v>
      </c>
      <c r="C138" t="str">
        <f>"1340011"</f>
        <v>1340011</v>
      </c>
      <c r="D138" t="s">
        <v>123</v>
      </c>
      <c r="E138" t="str">
        <f t="shared" si="0"/>
        <v>0000000</v>
      </c>
      <c r="F138" t="s">
        <v>123</v>
      </c>
      <c r="G138" t="s">
        <v>123</v>
      </c>
      <c r="H138" t="s">
        <v>123</v>
      </c>
      <c r="J138" t="s">
        <v>124</v>
      </c>
      <c r="K138">
        <v>1024.1624059999999</v>
      </c>
      <c r="L138">
        <v>1350</v>
      </c>
      <c r="M138">
        <v>75.863882000000004</v>
      </c>
      <c r="N138" t="s">
        <v>125</v>
      </c>
      <c r="O138">
        <v>0</v>
      </c>
      <c r="P138">
        <v>67.041021999999998</v>
      </c>
      <c r="Q138">
        <v>44.694015</v>
      </c>
      <c r="R138">
        <v>50</v>
      </c>
      <c r="S138">
        <v>60.442981000000003</v>
      </c>
      <c r="T138">
        <v>72.712194999999994</v>
      </c>
      <c r="U138">
        <v>40.295321000000001</v>
      </c>
      <c r="V138">
        <v>50</v>
      </c>
      <c r="W138">
        <v>63.121597000000001</v>
      </c>
      <c r="X138">
        <v>42.081065000000002</v>
      </c>
      <c r="Y138">
        <v>50</v>
      </c>
      <c r="Z138">
        <v>68.898094</v>
      </c>
      <c r="AA138">
        <v>56.401018999999998</v>
      </c>
      <c r="AB138">
        <v>37.600679</v>
      </c>
      <c r="AC138">
        <v>50</v>
      </c>
      <c r="AD138">
        <v>65.969357000000002</v>
      </c>
      <c r="AE138">
        <v>43.979571</v>
      </c>
      <c r="AF138">
        <v>50</v>
      </c>
      <c r="AG138">
        <v>57.597833000000001</v>
      </c>
      <c r="AH138">
        <v>71.345187999999993</v>
      </c>
      <c r="AI138">
        <v>38.398555000000002</v>
      </c>
      <c r="AJ138">
        <v>50</v>
      </c>
      <c r="AK138">
        <v>12.26</v>
      </c>
      <c r="AL138">
        <v>12.49</v>
      </c>
      <c r="AM138">
        <v>13.74</v>
      </c>
      <c r="AN138">
        <v>0.53428200000000003</v>
      </c>
      <c r="AO138">
        <v>53.428215999999999</v>
      </c>
      <c r="AP138">
        <v>100</v>
      </c>
      <c r="AQ138">
        <v>0.64325200000000005</v>
      </c>
      <c r="AR138">
        <v>64.325231000000002</v>
      </c>
      <c r="AS138">
        <v>100</v>
      </c>
      <c r="AT138">
        <v>0.48397200000000001</v>
      </c>
      <c r="AU138">
        <v>0.574986</v>
      </c>
      <c r="AV138">
        <v>48.397230999999998</v>
      </c>
      <c r="AW138">
        <v>100</v>
      </c>
      <c r="AX138">
        <v>0.63510999999999995</v>
      </c>
      <c r="AY138">
        <v>0.64983999999999997</v>
      </c>
      <c r="AZ138">
        <v>63.511017000000002</v>
      </c>
      <c r="BA138">
        <v>100</v>
      </c>
      <c r="BB138" t="s">
        <v>125</v>
      </c>
      <c r="BC138" t="s">
        <v>125</v>
      </c>
      <c r="BD138" t="s">
        <v>125</v>
      </c>
      <c r="BE138" t="s">
        <v>125</v>
      </c>
      <c r="BF138" t="s">
        <v>125</v>
      </c>
      <c r="BG138" t="s">
        <v>125</v>
      </c>
      <c r="BH138">
        <v>0</v>
      </c>
      <c r="BI138">
        <v>0.98640300000000003</v>
      </c>
      <c r="BJ138">
        <v>0.97382199999999997</v>
      </c>
      <c r="BK138">
        <v>0.99765800000000004</v>
      </c>
      <c r="BL138">
        <v>0.98640300000000003</v>
      </c>
      <c r="BM138">
        <v>0.97382199999999997</v>
      </c>
      <c r="BN138">
        <v>0.99765800000000004</v>
      </c>
      <c r="BO138">
        <v>0.979769</v>
      </c>
      <c r="BP138">
        <v>0.97080299999999997</v>
      </c>
      <c r="BQ138">
        <v>0.98564600000000002</v>
      </c>
      <c r="BR138">
        <v>7.7856999999999996E-2</v>
      </c>
      <c r="BS138">
        <v>44.428570999999998</v>
      </c>
      <c r="BT138">
        <v>50</v>
      </c>
      <c r="BU138">
        <v>0.115269</v>
      </c>
      <c r="BV138">
        <v>36.946108000000002</v>
      </c>
      <c r="BW138">
        <v>50</v>
      </c>
      <c r="BX138">
        <v>0.68500000000000005</v>
      </c>
      <c r="BY138">
        <v>45.666666999999997</v>
      </c>
      <c r="BZ138">
        <v>50</v>
      </c>
      <c r="CA138">
        <v>0.44</v>
      </c>
      <c r="CB138">
        <v>29.333333</v>
      </c>
      <c r="CC138">
        <v>50</v>
      </c>
      <c r="CD138">
        <v>0.95263200000000003</v>
      </c>
      <c r="CE138">
        <v>50</v>
      </c>
      <c r="CF138">
        <v>50</v>
      </c>
      <c r="CG138">
        <v>0.90816300000000005</v>
      </c>
      <c r="CH138">
        <v>96.613112999999998</v>
      </c>
      <c r="CI138">
        <v>100</v>
      </c>
      <c r="CJ138">
        <v>0</v>
      </c>
      <c r="CK138">
        <v>0.88095199999999996</v>
      </c>
      <c r="CL138">
        <v>93.718338000000003</v>
      </c>
      <c r="CM138">
        <v>100</v>
      </c>
      <c r="CN138">
        <v>0.61499999999999999</v>
      </c>
      <c r="CO138">
        <v>82.051282</v>
      </c>
      <c r="CP138">
        <v>100</v>
      </c>
      <c r="CQ138">
        <v>0.46938800000000003</v>
      </c>
      <c r="CR138">
        <v>1.004556</v>
      </c>
      <c r="CS138">
        <v>31.292517</v>
      </c>
      <c r="CT138">
        <v>50</v>
      </c>
      <c r="CU138">
        <v>0.44881900000000002</v>
      </c>
      <c r="CV138">
        <v>37.401575000000001</v>
      </c>
      <c r="CW138">
        <v>50</v>
      </c>
      <c r="CX138">
        <v>0.88095199999999996</v>
      </c>
      <c r="CY138">
        <v>0.94</v>
      </c>
      <c r="CZ138">
        <v>5.9048000000000003E-2</v>
      </c>
      <c r="DA138">
        <v>15.389535</v>
      </c>
      <c r="DB138">
        <v>17.608319000000002</v>
      </c>
      <c r="DC138">
        <v>16.064022999999999</v>
      </c>
      <c r="DD138">
        <v>11.115401</v>
      </c>
      <c r="DE138" t="s">
        <v>125</v>
      </c>
      <c r="DJ138" t="s">
        <v>125</v>
      </c>
      <c r="DK138" t="s">
        <v>125</v>
      </c>
      <c r="DL138" t="s">
        <v>125</v>
      </c>
      <c r="DM138" t="s">
        <v>125</v>
      </c>
      <c r="DN138" t="s">
        <v>125</v>
      </c>
      <c r="DO138" t="s">
        <v>125</v>
      </c>
      <c r="DQ138" t="s">
        <v>126</v>
      </c>
    </row>
    <row r="139" spans="1:121" x14ac:dyDescent="0.15">
      <c r="A139">
        <v>2018</v>
      </c>
      <c r="B139" t="s">
        <v>261</v>
      </c>
      <c r="C139" t="str">
        <f>"2420014"</f>
        <v>2420014</v>
      </c>
      <c r="D139" t="s">
        <v>123</v>
      </c>
      <c r="E139" t="str">
        <f t="shared" si="0"/>
        <v>0000000</v>
      </c>
      <c r="F139" t="s">
        <v>123</v>
      </c>
      <c r="G139" t="s">
        <v>123</v>
      </c>
      <c r="H139" t="s">
        <v>123</v>
      </c>
      <c r="J139" t="s">
        <v>124</v>
      </c>
      <c r="K139">
        <v>122.642944</v>
      </c>
      <c r="L139">
        <v>550</v>
      </c>
      <c r="M139">
        <v>22.298717</v>
      </c>
      <c r="N139" t="s">
        <v>125</v>
      </c>
      <c r="O139">
        <v>0</v>
      </c>
      <c r="P139" t="s">
        <v>125</v>
      </c>
      <c r="Q139" t="s">
        <v>125</v>
      </c>
      <c r="R139" t="s">
        <v>125</v>
      </c>
      <c r="S139" t="s">
        <v>125</v>
      </c>
      <c r="T139" t="s">
        <v>125</v>
      </c>
      <c r="U139" t="s">
        <v>125</v>
      </c>
      <c r="V139" t="s">
        <v>125</v>
      </c>
      <c r="W139">
        <v>23.620602999999999</v>
      </c>
      <c r="X139">
        <v>47.241205999999998</v>
      </c>
      <c r="Y139">
        <v>150</v>
      </c>
      <c r="Z139" t="s">
        <v>125</v>
      </c>
      <c r="AA139">
        <v>23.620602999999999</v>
      </c>
      <c r="AB139">
        <v>47.241205999999998</v>
      </c>
      <c r="AC139">
        <v>150</v>
      </c>
      <c r="AD139" t="s">
        <v>125</v>
      </c>
      <c r="AE139" t="s">
        <v>125</v>
      </c>
      <c r="AF139" t="s">
        <v>125</v>
      </c>
      <c r="AG139" t="s">
        <v>125</v>
      </c>
      <c r="AH139" t="s">
        <v>125</v>
      </c>
      <c r="AI139" t="s">
        <v>125</v>
      </c>
      <c r="AJ139" t="s">
        <v>125</v>
      </c>
      <c r="AK139" t="s">
        <v>125</v>
      </c>
      <c r="AL139" t="s">
        <v>125</v>
      </c>
      <c r="AM139" t="s">
        <v>125</v>
      </c>
      <c r="AN139" t="s">
        <v>125</v>
      </c>
      <c r="AO139" t="s">
        <v>125</v>
      </c>
      <c r="AP139" t="s">
        <v>125</v>
      </c>
      <c r="AQ139" t="s">
        <v>125</v>
      </c>
      <c r="AR139" t="s">
        <v>125</v>
      </c>
      <c r="AS139" t="s">
        <v>125</v>
      </c>
      <c r="AT139" t="s">
        <v>125</v>
      </c>
      <c r="AU139" t="s">
        <v>125</v>
      </c>
      <c r="AV139" t="s">
        <v>125</v>
      </c>
      <c r="AW139" t="s">
        <v>125</v>
      </c>
      <c r="AX139" t="s">
        <v>125</v>
      </c>
      <c r="AY139" t="s">
        <v>125</v>
      </c>
      <c r="AZ139" t="s">
        <v>125</v>
      </c>
      <c r="BA139" t="s">
        <v>125</v>
      </c>
      <c r="BB139" t="s">
        <v>125</v>
      </c>
      <c r="BC139" t="s">
        <v>125</v>
      </c>
      <c r="BD139" t="s">
        <v>125</v>
      </c>
      <c r="BE139" t="s">
        <v>125</v>
      </c>
      <c r="BF139" t="s">
        <v>125</v>
      </c>
      <c r="BG139" t="s">
        <v>125</v>
      </c>
      <c r="BH139">
        <v>1</v>
      </c>
      <c r="BI139">
        <v>0.764706</v>
      </c>
      <c r="BJ139">
        <v>0.75757600000000003</v>
      </c>
      <c r="BK139" t="s">
        <v>125</v>
      </c>
      <c r="BL139">
        <v>0.85294099999999995</v>
      </c>
      <c r="BM139">
        <v>0.84848500000000004</v>
      </c>
      <c r="BN139" t="s">
        <v>125</v>
      </c>
      <c r="BO139">
        <v>0.76190500000000005</v>
      </c>
      <c r="BP139">
        <v>0.76190500000000005</v>
      </c>
      <c r="BQ139" t="s">
        <v>125</v>
      </c>
      <c r="BR139">
        <v>0.56756799999999996</v>
      </c>
      <c r="BS139">
        <v>0</v>
      </c>
      <c r="BT139">
        <v>50</v>
      </c>
      <c r="BU139">
        <v>0.62686600000000003</v>
      </c>
      <c r="BV139">
        <v>0</v>
      </c>
      <c r="BW139">
        <v>50</v>
      </c>
      <c r="BX139" t="s">
        <v>125</v>
      </c>
      <c r="BY139" t="s">
        <v>125</v>
      </c>
      <c r="BZ139" t="s">
        <v>125</v>
      </c>
      <c r="CA139" t="s">
        <v>125</v>
      </c>
      <c r="CB139" t="s">
        <v>125</v>
      </c>
      <c r="CC139" t="s">
        <v>125</v>
      </c>
      <c r="CD139">
        <v>0.28571400000000002</v>
      </c>
      <c r="CE139">
        <v>15.197568</v>
      </c>
      <c r="CF139">
        <v>50</v>
      </c>
      <c r="CG139" t="s">
        <v>125</v>
      </c>
      <c r="CH139" t="s">
        <v>125</v>
      </c>
      <c r="CI139" t="s">
        <v>125</v>
      </c>
      <c r="CJ139" t="s">
        <v>125</v>
      </c>
      <c r="CK139" t="s">
        <v>125</v>
      </c>
      <c r="CL139" t="s">
        <v>125</v>
      </c>
      <c r="CM139" t="s">
        <v>125</v>
      </c>
      <c r="CN139" t="s">
        <v>125</v>
      </c>
      <c r="CO139" t="s">
        <v>125</v>
      </c>
      <c r="CP139" t="s">
        <v>125</v>
      </c>
      <c r="CQ139" t="s">
        <v>125</v>
      </c>
      <c r="CR139">
        <v>0</v>
      </c>
      <c r="CS139">
        <v>0</v>
      </c>
      <c r="CT139">
        <v>50</v>
      </c>
      <c r="CU139">
        <v>0.155556</v>
      </c>
      <c r="CV139">
        <v>12.962963</v>
      </c>
      <c r="CW139">
        <v>50</v>
      </c>
      <c r="CX139" t="s">
        <v>125</v>
      </c>
      <c r="CY139" t="s">
        <v>125</v>
      </c>
      <c r="CZ139" t="s">
        <v>125</v>
      </c>
      <c r="DA139">
        <v>15.389535</v>
      </c>
      <c r="DB139">
        <v>17.608319000000002</v>
      </c>
      <c r="DC139">
        <v>16.064022999999999</v>
      </c>
      <c r="DD139" t="s">
        <v>125</v>
      </c>
      <c r="DE139" t="s">
        <v>125</v>
      </c>
      <c r="DJ139" t="s">
        <v>125</v>
      </c>
      <c r="DK139" t="s">
        <v>125</v>
      </c>
      <c r="DL139" t="s">
        <v>125</v>
      </c>
      <c r="DM139" t="s">
        <v>125</v>
      </c>
      <c r="DN139" t="s">
        <v>125</v>
      </c>
      <c r="DO139" t="s">
        <v>125</v>
      </c>
      <c r="DQ139" t="s">
        <v>126</v>
      </c>
    </row>
    <row r="140" spans="1:121" x14ac:dyDescent="0.15">
      <c r="A140">
        <v>2018</v>
      </c>
      <c r="B140" t="s">
        <v>262</v>
      </c>
      <c r="C140" t="str">
        <f>"2430014"</f>
        <v>2430014</v>
      </c>
      <c r="D140" t="s">
        <v>123</v>
      </c>
      <c r="E140" t="str">
        <f t="shared" si="0"/>
        <v>0000000</v>
      </c>
      <c r="F140" t="s">
        <v>123</v>
      </c>
      <c r="G140" t="s">
        <v>123</v>
      </c>
      <c r="H140" t="s">
        <v>123</v>
      </c>
      <c r="J140" t="s">
        <v>124</v>
      </c>
      <c r="K140">
        <v>548.518733</v>
      </c>
      <c r="L140">
        <v>1050</v>
      </c>
      <c r="M140">
        <v>52.239879000000002</v>
      </c>
      <c r="N140" t="s">
        <v>125</v>
      </c>
      <c r="O140">
        <v>1</v>
      </c>
      <c r="P140">
        <v>58.947499999999998</v>
      </c>
      <c r="Q140">
        <v>39.298333</v>
      </c>
      <c r="R140">
        <v>50</v>
      </c>
      <c r="S140">
        <v>49.549211999999997</v>
      </c>
      <c r="T140">
        <v>73.108433000000005</v>
      </c>
      <c r="U140">
        <v>33.032808000000003</v>
      </c>
      <c r="V140">
        <v>50</v>
      </c>
      <c r="W140">
        <v>52.403393000000001</v>
      </c>
      <c r="X140">
        <v>34.935594999999999</v>
      </c>
      <c r="Y140">
        <v>50</v>
      </c>
      <c r="Z140">
        <v>66.325841999999994</v>
      </c>
      <c r="AA140">
        <v>43.163381999999999</v>
      </c>
      <c r="AB140">
        <v>28.775587999999999</v>
      </c>
      <c r="AC140">
        <v>50</v>
      </c>
      <c r="AD140">
        <v>51.617007999999998</v>
      </c>
      <c r="AE140">
        <v>34.411338999999998</v>
      </c>
      <c r="AF140">
        <v>50</v>
      </c>
      <c r="AG140">
        <v>43.419967999999997</v>
      </c>
      <c r="AH140">
        <v>68.557558</v>
      </c>
      <c r="AI140">
        <v>28.946645</v>
      </c>
      <c r="AJ140">
        <v>50</v>
      </c>
      <c r="AK140">
        <v>23.55</v>
      </c>
      <c r="AL140">
        <v>23.16</v>
      </c>
      <c r="AM140">
        <v>25.13</v>
      </c>
      <c r="AN140">
        <v>0.60217100000000001</v>
      </c>
      <c r="AO140">
        <v>60.217067</v>
      </c>
      <c r="AP140">
        <v>100</v>
      </c>
      <c r="AQ140">
        <v>0.61252600000000001</v>
      </c>
      <c r="AR140">
        <v>61.252645999999999</v>
      </c>
      <c r="AS140">
        <v>100</v>
      </c>
      <c r="AT140">
        <v>0.57681499999999997</v>
      </c>
      <c r="AU140">
        <v>0.63039199999999995</v>
      </c>
      <c r="AV140">
        <v>57.681541000000003</v>
      </c>
      <c r="AW140">
        <v>100</v>
      </c>
      <c r="AX140">
        <v>0.59908399999999995</v>
      </c>
      <c r="AY140">
        <v>0.627606</v>
      </c>
      <c r="AZ140">
        <v>59.908372999999997</v>
      </c>
      <c r="BA140">
        <v>100</v>
      </c>
      <c r="BB140" t="s">
        <v>125</v>
      </c>
      <c r="BC140" t="s">
        <v>125</v>
      </c>
      <c r="BD140" t="s">
        <v>125</v>
      </c>
      <c r="BE140" t="s">
        <v>125</v>
      </c>
      <c r="BF140" t="s">
        <v>125</v>
      </c>
      <c r="BG140" t="s">
        <v>125</v>
      </c>
      <c r="BH140">
        <v>0</v>
      </c>
      <c r="BI140">
        <v>0.995</v>
      </c>
      <c r="BJ140">
        <v>0.99206300000000003</v>
      </c>
      <c r="BK140">
        <v>1</v>
      </c>
      <c r="BL140">
        <v>0.99250000000000005</v>
      </c>
      <c r="BM140">
        <v>0.98809499999999995</v>
      </c>
      <c r="BN140">
        <v>1</v>
      </c>
      <c r="BO140">
        <v>1</v>
      </c>
      <c r="BP140">
        <v>1</v>
      </c>
      <c r="BQ140">
        <v>1</v>
      </c>
      <c r="BR140">
        <v>0.18550700000000001</v>
      </c>
      <c r="BS140">
        <v>22.898551000000001</v>
      </c>
      <c r="BT140">
        <v>50</v>
      </c>
      <c r="BU140">
        <v>0.24735699999999999</v>
      </c>
      <c r="BV140">
        <v>10.528541000000001</v>
      </c>
      <c r="BW140">
        <v>50</v>
      </c>
      <c r="BX140">
        <v>0.52631600000000001</v>
      </c>
      <c r="BY140">
        <v>35.087719</v>
      </c>
      <c r="BZ140">
        <v>50</v>
      </c>
      <c r="CA140">
        <v>3.1579000000000003E-2</v>
      </c>
      <c r="CB140">
        <v>2.1052629999999999</v>
      </c>
      <c r="CC140">
        <v>50</v>
      </c>
      <c r="CD140">
        <v>0.49504999999999999</v>
      </c>
      <c r="CE140">
        <v>26.332419999999999</v>
      </c>
      <c r="CF140">
        <v>50</v>
      </c>
      <c r="CG140" t="s">
        <v>125</v>
      </c>
      <c r="CH140" t="s">
        <v>125</v>
      </c>
      <c r="CI140" t="s">
        <v>125</v>
      </c>
      <c r="CJ140" t="s">
        <v>125</v>
      </c>
      <c r="CK140" t="s">
        <v>125</v>
      </c>
      <c r="CL140" t="s">
        <v>125</v>
      </c>
      <c r="CM140" t="s">
        <v>125</v>
      </c>
      <c r="CN140" t="s">
        <v>125</v>
      </c>
      <c r="CO140" t="s">
        <v>125</v>
      </c>
      <c r="CP140" t="s">
        <v>125</v>
      </c>
      <c r="CQ140">
        <v>0.33146100000000001</v>
      </c>
      <c r="CR140">
        <v>0.89</v>
      </c>
      <c r="CS140">
        <v>11.048689</v>
      </c>
      <c r="CT140">
        <v>50</v>
      </c>
      <c r="CU140">
        <v>2.4691000000000001E-2</v>
      </c>
      <c r="CV140">
        <v>2.0576129999999999</v>
      </c>
      <c r="CW140">
        <v>50</v>
      </c>
      <c r="CX140" t="s">
        <v>125</v>
      </c>
      <c r="CY140" t="s">
        <v>125</v>
      </c>
      <c r="CZ140" t="s">
        <v>125</v>
      </c>
      <c r="DA140">
        <v>15.389535</v>
      </c>
      <c r="DB140">
        <v>17.608319000000002</v>
      </c>
      <c r="DC140">
        <v>16.064022999999999</v>
      </c>
      <c r="DD140" t="s">
        <v>125</v>
      </c>
      <c r="DE140" t="s">
        <v>125</v>
      </c>
      <c r="DJ140" t="s">
        <v>125</v>
      </c>
      <c r="DK140" t="s">
        <v>125</v>
      </c>
      <c r="DL140" t="s">
        <v>125</v>
      </c>
      <c r="DM140" t="s">
        <v>125</v>
      </c>
      <c r="DN140" t="s">
        <v>125</v>
      </c>
      <c r="DO140" t="s">
        <v>125</v>
      </c>
      <c r="DQ140" t="s">
        <v>126</v>
      </c>
    </row>
    <row r="141" spans="1:121" x14ac:dyDescent="0.15">
      <c r="A141">
        <v>2018</v>
      </c>
      <c r="B141" t="s">
        <v>263</v>
      </c>
      <c r="C141" t="str">
        <f>"2440014"</f>
        <v>2440014</v>
      </c>
      <c r="D141" t="s">
        <v>123</v>
      </c>
      <c r="E141" t="str">
        <f t="shared" si="0"/>
        <v>0000000</v>
      </c>
      <c r="F141" t="s">
        <v>123</v>
      </c>
      <c r="G141" t="s">
        <v>123</v>
      </c>
      <c r="H141" t="s">
        <v>123</v>
      </c>
      <c r="J141" t="s">
        <v>124</v>
      </c>
      <c r="K141">
        <v>577.52153299999998</v>
      </c>
      <c r="L141">
        <v>1250</v>
      </c>
      <c r="M141">
        <v>46.201723000000001</v>
      </c>
      <c r="N141" t="s">
        <v>125</v>
      </c>
      <c r="O141">
        <v>1</v>
      </c>
      <c r="P141">
        <v>57.743718000000001</v>
      </c>
      <c r="Q141">
        <v>38.495812000000001</v>
      </c>
      <c r="R141">
        <v>50</v>
      </c>
      <c r="S141">
        <v>50.272601000000002</v>
      </c>
      <c r="T141">
        <v>71.549041000000003</v>
      </c>
      <c r="U141">
        <v>33.515067000000002</v>
      </c>
      <c r="V141">
        <v>50</v>
      </c>
      <c r="W141">
        <v>52.330728999999998</v>
      </c>
      <c r="X141">
        <v>34.887152999999998</v>
      </c>
      <c r="Y141">
        <v>50</v>
      </c>
      <c r="Z141">
        <v>65.932167000000007</v>
      </c>
      <c r="AA141">
        <v>44.897007000000002</v>
      </c>
      <c r="AB141">
        <v>29.931338</v>
      </c>
      <c r="AC141">
        <v>50</v>
      </c>
      <c r="AD141">
        <v>54.735480000000003</v>
      </c>
      <c r="AE141">
        <v>36.490319999999997</v>
      </c>
      <c r="AF141">
        <v>50</v>
      </c>
      <c r="AG141">
        <v>50.108621999999997</v>
      </c>
      <c r="AH141">
        <v>69.120801</v>
      </c>
      <c r="AI141">
        <v>33.405748000000003</v>
      </c>
      <c r="AJ141">
        <v>50</v>
      </c>
      <c r="AK141">
        <v>21.27</v>
      </c>
      <c r="AL141">
        <v>21.03</v>
      </c>
      <c r="AM141">
        <v>19.010000000000002</v>
      </c>
      <c r="AN141">
        <v>0.53350600000000004</v>
      </c>
      <c r="AO141">
        <v>53.350633999999999</v>
      </c>
      <c r="AP141">
        <v>100</v>
      </c>
      <c r="AQ141">
        <v>0.56888300000000003</v>
      </c>
      <c r="AR141">
        <v>56.888294000000002</v>
      </c>
      <c r="AS141">
        <v>100</v>
      </c>
      <c r="AT141">
        <v>0.50740799999999997</v>
      </c>
      <c r="AU141">
        <v>0.56862599999999996</v>
      </c>
      <c r="AV141">
        <v>50.7408</v>
      </c>
      <c r="AW141">
        <v>100</v>
      </c>
      <c r="AX141">
        <v>0.52749999999999997</v>
      </c>
      <c r="AY141">
        <v>0.62369699999999995</v>
      </c>
      <c r="AZ141">
        <v>52.749980000000001</v>
      </c>
      <c r="BA141">
        <v>100</v>
      </c>
      <c r="BB141">
        <v>0.44960299999999997</v>
      </c>
      <c r="BC141">
        <v>22.480155</v>
      </c>
      <c r="BD141">
        <v>50</v>
      </c>
      <c r="BE141">
        <v>0.45798899999999998</v>
      </c>
      <c r="BF141">
        <v>22.899449000000001</v>
      </c>
      <c r="BG141">
        <v>50</v>
      </c>
      <c r="BH141">
        <v>0</v>
      </c>
      <c r="BI141">
        <v>0.98267099999999996</v>
      </c>
      <c r="BJ141">
        <v>0.97382800000000003</v>
      </c>
      <c r="BK141">
        <v>1</v>
      </c>
      <c r="BL141">
        <v>0.97256299999999996</v>
      </c>
      <c r="BM141">
        <v>0.95969499999999996</v>
      </c>
      <c r="BN141">
        <v>0.99785900000000005</v>
      </c>
      <c r="BO141">
        <v>0.97352300000000003</v>
      </c>
      <c r="BP141">
        <v>0.96560800000000002</v>
      </c>
      <c r="BQ141">
        <v>1</v>
      </c>
      <c r="BR141">
        <v>0.23472699999999999</v>
      </c>
      <c r="BS141">
        <v>13.054662</v>
      </c>
      <c r="BT141">
        <v>50</v>
      </c>
      <c r="BU141">
        <v>0.28061599999999998</v>
      </c>
      <c r="BV141">
        <v>3.8768370000000001</v>
      </c>
      <c r="BW141">
        <v>50</v>
      </c>
      <c r="BX141">
        <v>0.24260399999999999</v>
      </c>
      <c r="BY141">
        <v>16.173570000000002</v>
      </c>
      <c r="BZ141">
        <v>50</v>
      </c>
      <c r="CA141">
        <v>5.9170000000000004E-3</v>
      </c>
      <c r="CB141">
        <v>0.39447700000000002</v>
      </c>
      <c r="CC141">
        <v>50</v>
      </c>
      <c r="CD141">
        <v>0.835476</v>
      </c>
      <c r="CE141">
        <v>44.440190000000001</v>
      </c>
      <c r="CF141">
        <v>50</v>
      </c>
      <c r="CG141" t="s">
        <v>125</v>
      </c>
      <c r="CH141" t="s">
        <v>125</v>
      </c>
      <c r="CI141" t="s">
        <v>125</v>
      </c>
      <c r="CJ141" t="s">
        <v>125</v>
      </c>
      <c r="CK141" t="s">
        <v>125</v>
      </c>
      <c r="CL141" t="s">
        <v>125</v>
      </c>
      <c r="CM141" t="s">
        <v>125</v>
      </c>
      <c r="CN141">
        <v>7.0000000000000007E-2</v>
      </c>
      <c r="CO141">
        <v>9.3023260000000008</v>
      </c>
      <c r="CP141">
        <v>100</v>
      </c>
      <c r="CQ141">
        <v>0.478796</v>
      </c>
      <c r="CR141">
        <v>0.88606099999999999</v>
      </c>
      <c r="CS141">
        <v>15.959872000000001</v>
      </c>
      <c r="CT141">
        <v>50</v>
      </c>
      <c r="CU141">
        <v>0.10181800000000001</v>
      </c>
      <c r="CV141">
        <v>8.4848479999999995</v>
      </c>
      <c r="CW141">
        <v>50</v>
      </c>
      <c r="CX141" t="s">
        <v>125</v>
      </c>
      <c r="CY141" t="s">
        <v>125</v>
      </c>
      <c r="CZ141" t="s">
        <v>125</v>
      </c>
      <c r="DA141">
        <v>15.389535</v>
      </c>
      <c r="DB141">
        <v>17.608319000000002</v>
      </c>
      <c r="DC141">
        <v>16.064022999999999</v>
      </c>
      <c r="DD141" t="s">
        <v>125</v>
      </c>
      <c r="DE141" t="s">
        <v>125</v>
      </c>
      <c r="DJ141" t="s">
        <v>125</v>
      </c>
      <c r="DK141" t="s">
        <v>125</v>
      </c>
      <c r="DL141" t="s">
        <v>125</v>
      </c>
      <c r="DM141" t="s">
        <v>125</v>
      </c>
      <c r="DN141" t="s">
        <v>125</v>
      </c>
      <c r="DO141" t="s">
        <v>125</v>
      </c>
      <c r="DQ141" t="s">
        <v>126</v>
      </c>
    </row>
    <row r="142" spans="1:121" x14ac:dyDescent="0.15">
      <c r="A142">
        <v>2018</v>
      </c>
      <c r="B142" t="s">
        <v>264</v>
      </c>
      <c r="C142" t="str">
        <f>"2450014"</f>
        <v>2450014</v>
      </c>
      <c r="D142" t="s">
        <v>123</v>
      </c>
      <c r="E142" t="str">
        <f t="shared" si="0"/>
        <v>0000000</v>
      </c>
      <c r="F142" t="s">
        <v>123</v>
      </c>
      <c r="G142" t="s">
        <v>123</v>
      </c>
      <c r="H142" t="s">
        <v>123</v>
      </c>
      <c r="J142" t="s">
        <v>124</v>
      </c>
      <c r="K142">
        <v>1065.0687780000001</v>
      </c>
      <c r="L142">
        <v>1450</v>
      </c>
      <c r="M142">
        <v>73.453018999999998</v>
      </c>
      <c r="N142" t="s">
        <v>125</v>
      </c>
      <c r="O142">
        <v>1</v>
      </c>
      <c r="P142">
        <v>61.856107999999999</v>
      </c>
      <c r="Q142">
        <v>41.237405000000003</v>
      </c>
      <c r="R142">
        <v>50</v>
      </c>
      <c r="S142">
        <v>57.641551</v>
      </c>
      <c r="T142">
        <v>72.099314000000007</v>
      </c>
      <c r="U142">
        <v>38.427700000000002</v>
      </c>
      <c r="V142">
        <v>50</v>
      </c>
      <c r="W142">
        <v>53.563592999999997</v>
      </c>
      <c r="X142">
        <v>35.709062000000003</v>
      </c>
      <c r="Y142">
        <v>50</v>
      </c>
      <c r="Z142">
        <v>64.746198000000007</v>
      </c>
      <c r="AA142">
        <v>48.954275000000003</v>
      </c>
      <c r="AB142">
        <v>32.636183000000003</v>
      </c>
      <c r="AC142">
        <v>50</v>
      </c>
      <c r="AD142">
        <v>59.487805999999999</v>
      </c>
      <c r="AE142">
        <v>39.658538</v>
      </c>
      <c r="AF142">
        <v>50</v>
      </c>
      <c r="AG142">
        <v>52.335813999999999</v>
      </c>
      <c r="AH142">
        <v>72.228773000000004</v>
      </c>
      <c r="AI142">
        <v>34.890543000000001</v>
      </c>
      <c r="AJ142">
        <v>50</v>
      </c>
      <c r="AK142">
        <v>14.45</v>
      </c>
      <c r="AL142">
        <v>15.79</v>
      </c>
      <c r="AM142">
        <v>19.89</v>
      </c>
      <c r="AN142">
        <v>0.62759900000000002</v>
      </c>
      <c r="AO142">
        <v>62.759853999999997</v>
      </c>
      <c r="AP142">
        <v>100</v>
      </c>
      <c r="AQ142">
        <v>0.63832599999999995</v>
      </c>
      <c r="AR142">
        <v>63.832602999999999</v>
      </c>
      <c r="AS142">
        <v>100</v>
      </c>
      <c r="AT142">
        <v>0.63791600000000004</v>
      </c>
      <c r="AU142">
        <v>0.59702500000000003</v>
      </c>
      <c r="AV142">
        <v>63.791606999999999</v>
      </c>
      <c r="AW142">
        <v>100</v>
      </c>
      <c r="AX142">
        <v>0.60159899999999999</v>
      </c>
      <c r="AY142">
        <v>0.74682300000000001</v>
      </c>
      <c r="AZ142">
        <v>60.159892999999997</v>
      </c>
      <c r="BA142">
        <v>100</v>
      </c>
      <c r="BB142">
        <v>0.57727099999999998</v>
      </c>
      <c r="BC142">
        <v>28.863558999999999</v>
      </c>
      <c r="BD142">
        <v>50</v>
      </c>
      <c r="BE142">
        <v>0.49159900000000001</v>
      </c>
      <c r="BF142">
        <v>24.579968000000001</v>
      </c>
      <c r="BG142">
        <v>50</v>
      </c>
      <c r="BH142">
        <v>0</v>
      </c>
      <c r="BI142">
        <v>0.98029599999999995</v>
      </c>
      <c r="BJ142">
        <v>0.97754700000000005</v>
      </c>
      <c r="BK142">
        <v>0.987124</v>
      </c>
      <c r="BL142">
        <v>0.97906400000000005</v>
      </c>
      <c r="BM142">
        <v>0.97582000000000002</v>
      </c>
      <c r="BN142">
        <v>0.987124</v>
      </c>
      <c r="BO142">
        <v>0.97679800000000006</v>
      </c>
      <c r="BP142">
        <v>0.96774199999999999</v>
      </c>
      <c r="BQ142">
        <v>0.993421</v>
      </c>
      <c r="BR142">
        <v>0.155864</v>
      </c>
      <c r="BS142">
        <v>28.827159999999999</v>
      </c>
      <c r="BT142">
        <v>50</v>
      </c>
      <c r="BU142">
        <v>0.207373</v>
      </c>
      <c r="BV142">
        <v>18.525345999999999</v>
      </c>
      <c r="BW142">
        <v>50</v>
      </c>
      <c r="BX142">
        <v>0.74532699999999996</v>
      </c>
      <c r="BY142">
        <v>49.688473999999999</v>
      </c>
      <c r="BZ142">
        <v>50</v>
      </c>
      <c r="CA142">
        <v>0.38084099999999999</v>
      </c>
      <c r="CB142">
        <v>25.389408</v>
      </c>
      <c r="CC142">
        <v>50</v>
      </c>
      <c r="CD142">
        <v>0.93145199999999995</v>
      </c>
      <c r="CE142">
        <v>49.545299</v>
      </c>
      <c r="CF142">
        <v>50</v>
      </c>
      <c r="CG142">
        <v>0.89795899999999995</v>
      </c>
      <c r="CH142">
        <v>95.527573000000004</v>
      </c>
      <c r="CI142">
        <v>100</v>
      </c>
      <c r="CJ142">
        <v>0</v>
      </c>
      <c r="CK142">
        <v>0.92173899999999998</v>
      </c>
      <c r="CL142">
        <v>98.057354000000004</v>
      </c>
      <c r="CM142">
        <v>100</v>
      </c>
      <c r="CN142">
        <v>0.67</v>
      </c>
      <c r="CO142">
        <v>89.377289000000005</v>
      </c>
      <c r="CP142">
        <v>100</v>
      </c>
      <c r="CQ142">
        <v>0.50375899999999996</v>
      </c>
      <c r="CR142">
        <v>0.91724099999999997</v>
      </c>
      <c r="CS142">
        <v>33.583959999999998</v>
      </c>
      <c r="CT142">
        <v>50</v>
      </c>
      <c r="CU142">
        <v>0.602217</v>
      </c>
      <c r="CV142">
        <v>50</v>
      </c>
      <c r="CW142">
        <v>50</v>
      </c>
      <c r="CX142">
        <v>0.92173899999999998</v>
      </c>
      <c r="CY142">
        <v>0.94</v>
      </c>
      <c r="CZ142">
        <v>1.8260999999999999E-2</v>
      </c>
      <c r="DA142">
        <v>15.389535</v>
      </c>
      <c r="DB142">
        <v>17.608319000000002</v>
      </c>
      <c r="DC142">
        <v>16.064022999999999</v>
      </c>
      <c r="DD142">
        <v>11.115401</v>
      </c>
      <c r="DE142" t="s">
        <v>125</v>
      </c>
      <c r="DJ142" t="s">
        <v>125</v>
      </c>
      <c r="DK142" t="s">
        <v>125</v>
      </c>
      <c r="DL142" t="s">
        <v>125</v>
      </c>
      <c r="DM142" t="s">
        <v>125</v>
      </c>
      <c r="DN142" t="s">
        <v>125</v>
      </c>
      <c r="DO142" t="s">
        <v>125</v>
      </c>
      <c r="DQ142" t="s">
        <v>126</v>
      </c>
    </row>
    <row r="143" spans="1:121" x14ac:dyDescent="0.15">
      <c r="A143">
        <v>2018</v>
      </c>
      <c r="B143" t="s">
        <v>265</v>
      </c>
      <c r="C143" t="str">
        <f>"2530014"</f>
        <v>2530014</v>
      </c>
      <c r="D143" t="s">
        <v>123</v>
      </c>
      <c r="E143" t="str">
        <f t="shared" si="0"/>
        <v>0000000</v>
      </c>
      <c r="F143" t="s">
        <v>123</v>
      </c>
      <c r="G143" t="s">
        <v>123</v>
      </c>
      <c r="H143" t="s">
        <v>123</v>
      </c>
      <c r="J143" t="s">
        <v>124</v>
      </c>
      <c r="K143">
        <v>753.83293300000003</v>
      </c>
      <c r="L143">
        <v>1350</v>
      </c>
      <c r="M143">
        <v>55.839475999999998</v>
      </c>
      <c r="N143" t="s">
        <v>125</v>
      </c>
      <c r="O143">
        <v>1</v>
      </c>
      <c r="P143">
        <v>44.017870000000002</v>
      </c>
      <c r="Q143">
        <v>29.345245999999999</v>
      </c>
      <c r="R143">
        <v>50</v>
      </c>
      <c r="S143">
        <v>38.932316999999998</v>
      </c>
      <c r="T143">
        <v>56.927349999999997</v>
      </c>
      <c r="U143">
        <v>25.954878000000001</v>
      </c>
      <c r="V143">
        <v>50</v>
      </c>
      <c r="W143">
        <v>34.595035000000003</v>
      </c>
      <c r="X143">
        <v>23.063357</v>
      </c>
      <c r="Y143">
        <v>50</v>
      </c>
      <c r="Z143">
        <v>42.871794999999999</v>
      </c>
      <c r="AA143">
        <v>31.267265999999999</v>
      </c>
      <c r="AB143">
        <v>20.844843999999998</v>
      </c>
      <c r="AC143">
        <v>50</v>
      </c>
      <c r="AD143">
        <v>50.234153999999997</v>
      </c>
      <c r="AE143">
        <v>33.489435999999998</v>
      </c>
      <c r="AF143">
        <v>50</v>
      </c>
      <c r="AG143">
        <v>43.761116000000001</v>
      </c>
      <c r="AH143">
        <v>60.031185000000001</v>
      </c>
      <c r="AI143">
        <v>29.174077</v>
      </c>
      <c r="AJ143">
        <v>50</v>
      </c>
      <c r="AK143">
        <v>17.989999999999998</v>
      </c>
      <c r="AL143">
        <v>11.6</v>
      </c>
      <c r="AM143">
        <v>16.27</v>
      </c>
      <c r="AN143">
        <v>0.45282499999999998</v>
      </c>
      <c r="AO143">
        <v>45.282491999999998</v>
      </c>
      <c r="AP143">
        <v>100</v>
      </c>
      <c r="AQ143">
        <v>0.49248900000000001</v>
      </c>
      <c r="AR143">
        <v>49.248876000000003</v>
      </c>
      <c r="AS143">
        <v>100</v>
      </c>
      <c r="AT143">
        <v>0.45282499999999998</v>
      </c>
      <c r="AU143" t="s">
        <v>125</v>
      </c>
      <c r="AV143">
        <v>45.282491999999998</v>
      </c>
      <c r="AW143">
        <v>100</v>
      </c>
      <c r="AX143">
        <v>0.49248900000000001</v>
      </c>
      <c r="AY143" t="s">
        <v>125</v>
      </c>
      <c r="AZ143">
        <v>49.248876000000003</v>
      </c>
      <c r="BA143">
        <v>100</v>
      </c>
      <c r="BB143" t="s">
        <v>125</v>
      </c>
      <c r="BC143" t="s">
        <v>125</v>
      </c>
      <c r="BD143" t="s">
        <v>125</v>
      </c>
      <c r="BE143" t="s">
        <v>125</v>
      </c>
      <c r="BF143" t="s">
        <v>125</v>
      </c>
      <c r="BG143" t="s">
        <v>125</v>
      </c>
      <c r="BH143">
        <v>1</v>
      </c>
      <c r="BI143">
        <v>0.95061700000000005</v>
      </c>
      <c r="BJ143">
        <v>0.94166700000000003</v>
      </c>
      <c r="BK143">
        <v>0.97619</v>
      </c>
      <c r="BL143">
        <v>0.93827199999999999</v>
      </c>
      <c r="BM143">
        <v>0.92500000000000004</v>
      </c>
      <c r="BN143">
        <v>0.97619</v>
      </c>
      <c r="BO143">
        <v>0.90090099999999995</v>
      </c>
      <c r="BP143">
        <v>0.859155</v>
      </c>
      <c r="BQ143">
        <v>0.97499999999999998</v>
      </c>
      <c r="BR143">
        <v>0.318519</v>
      </c>
      <c r="BS143">
        <v>0</v>
      </c>
      <c r="BT143">
        <v>50</v>
      </c>
      <c r="BU143">
        <v>0.344086</v>
      </c>
      <c r="BV143">
        <v>0</v>
      </c>
      <c r="BW143">
        <v>50</v>
      </c>
      <c r="BX143">
        <v>0.75316499999999997</v>
      </c>
      <c r="BY143">
        <v>50</v>
      </c>
      <c r="BZ143">
        <v>50</v>
      </c>
      <c r="CA143">
        <v>0.139241</v>
      </c>
      <c r="CB143">
        <v>9.2827000000000002</v>
      </c>
      <c r="CC143">
        <v>50</v>
      </c>
      <c r="CD143">
        <v>0.87963000000000002</v>
      </c>
      <c r="CE143">
        <v>46.788809999999998</v>
      </c>
      <c r="CF143">
        <v>50</v>
      </c>
      <c r="CG143">
        <v>0.76190500000000005</v>
      </c>
      <c r="CH143">
        <v>81.053697999999997</v>
      </c>
      <c r="CI143">
        <v>100</v>
      </c>
      <c r="CJ143">
        <v>0</v>
      </c>
      <c r="CK143">
        <v>0.79545500000000002</v>
      </c>
      <c r="CL143">
        <v>84.622823999999994</v>
      </c>
      <c r="CM143">
        <v>100</v>
      </c>
      <c r="CN143">
        <v>0.57299999999999995</v>
      </c>
      <c r="CO143">
        <v>76.444444000000004</v>
      </c>
      <c r="CP143">
        <v>100</v>
      </c>
      <c r="CQ143">
        <v>0.141176</v>
      </c>
      <c r="CR143">
        <v>0.75221199999999999</v>
      </c>
      <c r="CS143">
        <v>4.7058819999999999</v>
      </c>
      <c r="CT143">
        <v>50</v>
      </c>
      <c r="CU143">
        <v>0.60182400000000003</v>
      </c>
      <c r="CV143">
        <v>50</v>
      </c>
      <c r="CW143">
        <v>50</v>
      </c>
      <c r="CX143">
        <v>0.79545500000000002</v>
      </c>
      <c r="CY143">
        <v>0.86666699999999997</v>
      </c>
      <c r="CZ143">
        <v>7.1211999999999998E-2</v>
      </c>
      <c r="DA143">
        <v>15.389535</v>
      </c>
      <c r="DB143">
        <v>17.608319000000002</v>
      </c>
      <c r="DC143">
        <v>16.064022999999999</v>
      </c>
      <c r="DD143">
        <v>11.115401</v>
      </c>
      <c r="DE143" t="s">
        <v>125</v>
      </c>
      <c r="DJ143" t="s">
        <v>125</v>
      </c>
      <c r="DK143" t="s">
        <v>125</v>
      </c>
      <c r="DL143" t="s">
        <v>125</v>
      </c>
      <c r="DM143" t="s">
        <v>125</v>
      </c>
      <c r="DN143" t="s">
        <v>125</v>
      </c>
      <c r="DO143" t="s">
        <v>125</v>
      </c>
      <c r="DQ143" t="s">
        <v>126</v>
      </c>
    </row>
    <row r="144" spans="1:121" x14ac:dyDescent="0.15">
      <c r="A144">
        <v>2018</v>
      </c>
      <c r="B144" t="s">
        <v>266</v>
      </c>
      <c r="C144" t="str">
        <f>"2610013"</f>
        <v>2610013</v>
      </c>
      <c r="D144" t="s">
        <v>123</v>
      </c>
      <c r="E144" t="str">
        <f t="shared" si="0"/>
        <v>0000000</v>
      </c>
      <c r="F144" t="s">
        <v>123</v>
      </c>
      <c r="G144" t="s">
        <v>123</v>
      </c>
      <c r="H144" t="s">
        <v>123</v>
      </c>
      <c r="J144" t="s">
        <v>124</v>
      </c>
      <c r="K144">
        <v>536.88705500000003</v>
      </c>
      <c r="L144">
        <v>950</v>
      </c>
      <c r="M144">
        <v>56.514426999999998</v>
      </c>
      <c r="N144" t="s">
        <v>125</v>
      </c>
      <c r="O144">
        <v>0</v>
      </c>
      <c r="P144">
        <v>58.245651000000002</v>
      </c>
      <c r="Q144">
        <v>38.830433999999997</v>
      </c>
      <c r="R144">
        <v>50</v>
      </c>
      <c r="S144">
        <v>54.484695000000002</v>
      </c>
      <c r="T144">
        <v>62.754643000000002</v>
      </c>
      <c r="U144">
        <v>36.323129999999999</v>
      </c>
      <c r="V144">
        <v>50</v>
      </c>
      <c r="W144">
        <v>51.529867000000003</v>
      </c>
      <c r="X144">
        <v>34.353245000000001</v>
      </c>
      <c r="Y144">
        <v>50</v>
      </c>
      <c r="Z144">
        <v>55.212721000000002</v>
      </c>
      <c r="AA144">
        <v>48.491937</v>
      </c>
      <c r="AB144">
        <v>32.327958000000002</v>
      </c>
      <c r="AC144">
        <v>50</v>
      </c>
      <c r="AD144">
        <v>55.303016</v>
      </c>
      <c r="AE144">
        <v>36.868676999999998</v>
      </c>
      <c r="AF144">
        <v>50</v>
      </c>
      <c r="AG144">
        <v>51.984532999999999</v>
      </c>
      <c r="AH144">
        <v>58.77234</v>
      </c>
      <c r="AI144">
        <v>34.656354999999998</v>
      </c>
      <c r="AJ144">
        <v>50</v>
      </c>
      <c r="AK144">
        <v>8.26</v>
      </c>
      <c r="AL144">
        <v>6.72</v>
      </c>
      <c r="AM144">
        <v>6.78</v>
      </c>
      <c r="AN144">
        <v>0.48300399999999999</v>
      </c>
      <c r="AO144">
        <v>48.300362999999997</v>
      </c>
      <c r="AP144">
        <v>100</v>
      </c>
      <c r="AQ144">
        <v>0.44305899999999998</v>
      </c>
      <c r="AR144">
        <v>44.30594</v>
      </c>
      <c r="AS144">
        <v>100</v>
      </c>
      <c r="AT144">
        <v>0.442716</v>
      </c>
      <c r="AU144">
        <v>0.52750399999999997</v>
      </c>
      <c r="AV144">
        <v>44.271648999999996</v>
      </c>
      <c r="AW144">
        <v>100</v>
      </c>
      <c r="AX144">
        <v>0.43593599999999999</v>
      </c>
      <c r="AY144">
        <v>0.45103799999999999</v>
      </c>
      <c r="AZ144">
        <v>43.593598</v>
      </c>
      <c r="BA144">
        <v>100</v>
      </c>
      <c r="BB144" t="s">
        <v>125</v>
      </c>
      <c r="BC144" t="s">
        <v>125</v>
      </c>
      <c r="BD144" t="s">
        <v>125</v>
      </c>
      <c r="BE144" t="s">
        <v>125</v>
      </c>
      <c r="BF144" t="s">
        <v>125</v>
      </c>
      <c r="BG144" t="s">
        <v>125</v>
      </c>
      <c r="BH144">
        <v>0</v>
      </c>
      <c r="BI144">
        <v>0.99758999999999998</v>
      </c>
      <c r="BJ144">
        <v>0.995726</v>
      </c>
      <c r="BK144">
        <v>1</v>
      </c>
      <c r="BL144">
        <v>0.99277099999999996</v>
      </c>
      <c r="BM144">
        <v>0.995726</v>
      </c>
      <c r="BN144">
        <v>0.98895</v>
      </c>
      <c r="BO144">
        <v>0.97857099999999997</v>
      </c>
      <c r="BP144">
        <v>0.972603</v>
      </c>
      <c r="BQ144">
        <v>0.98507500000000003</v>
      </c>
      <c r="BR144">
        <v>0.179758</v>
      </c>
      <c r="BS144">
        <v>24.048338000000001</v>
      </c>
      <c r="BT144">
        <v>50</v>
      </c>
      <c r="BU144">
        <v>0.19528599999999999</v>
      </c>
      <c r="BV144">
        <v>20.942761000000001</v>
      </c>
      <c r="BW144">
        <v>50</v>
      </c>
      <c r="BX144" t="s">
        <v>125</v>
      </c>
      <c r="BY144" t="s">
        <v>125</v>
      </c>
      <c r="BZ144" t="s">
        <v>125</v>
      </c>
      <c r="CA144" t="s">
        <v>125</v>
      </c>
      <c r="CB144" t="s">
        <v>125</v>
      </c>
      <c r="CC144" t="s">
        <v>125</v>
      </c>
      <c r="CD144">
        <v>0.90384600000000004</v>
      </c>
      <c r="CE144">
        <v>48.076923000000001</v>
      </c>
      <c r="CF144">
        <v>50</v>
      </c>
      <c r="CG144" t="s">
        <v>125</v>
      </c>
      <c r="CH144" t="s">
        <v>125</v>
      </c>
      <c r="CI144" t="s">
        <v>125</v>
      </c>
      <c r="CJ144" t="s">
        <v>125</v>
      </c>
      <c r="CK144" t="s">
        <v>125</v>
      </c>
      <c r="CL144" t="s">
        <v>125</v>
      </c>
      <c r="CM144" t="s">
        <v>125</v>
      </c>
      <c r="CN144" t="s">
        <v>125</v>
      </c>
      <c r="CO144" t="s">
        <v>125</v>
      </c>
      <c r="CP144" t="s">
        <v>125</v>
      </c>
      <c r="CQ144">
        <v>0.49246200000000001</v>
      </c>
      <c r="CR144">
        <v>0.995</v>
      </c>
      <c r="CS144">
        <v>32.830821</v>
      </c>
      <c r="CT144">
        <v>50</v>
      </c>
      <c r="CU144">
        <v>0.20588200000000001</v>
      </c>
      <c r="CV144">
        <v>17.156863000000001</v>
      </c>
      <c r="CW144">
        <v>50</v>
      </c>
      <c r="CX144" t="s">
        <v>125</v>
      </c>
      <c r="CY144" t="s">
        <v>125</v>
      </c>
      <c r="CZ144" t="s">
        <v>125</v>
      </c>
      <c r="DA144">
        <v>15.389535</v>
      </c>
      <c r="DB144">
        <v>17.608319000000002</v>
      </c>
      <c r="DC144">
        <v>16.064022999999999</v>
      </c>
      <c r="DD144" t="s">
        <v>125</v>
      </c>
      <c r="DE144" t="s">
        <v>125</v>
      </c>
      <c r="DJ144" t="s">
        <v>125</v>
      </c>
      <c r="DK144" t="s">
        <v>125</v>
      </c>
      <c r="DL144" t="s">
        <v>125</v>
      </c>
      <c r="DM144" t="s">
        <v>125</v>
      </c>
      <c r="DN144" t="s">
        <v>125</v>
      </c>
      <c r="DO144" t="s">
        <v>125</v>
      </c>
      <c r="DQ144" t="s">
        <v>126</v>
      </c>
    </row>
    <row r="145" spans="1:121" x14ac:dyDescent="0.15">
      <c r="A145">
        <v>2018</v>
      </c>
      <c r="B145" t="s">
        <v>267</v>
      </c>
      <c r="C145" t="str">
        <f>"2630013"</f>
        <v>2630013</v>
      </c>
      <c r="D145" t="s">
        <v>123</v>
      </c>
      <c r="E145" t="str">
        <f t="shared" si="0"/>
        <v>0000000</v>
      </c>
      <c r="F145" t="s">
        <v>123</v>
      </c>
      <c r="G145" t="s">
        <v>123</v>
      </c>
      <c r="H145" t="s">
        <v>123</v>
      </c>
      <c r="J145" t="s">
        <v>124</v>
      </c>
      <c r="K145">
        <v>740.48101799999995</v>
      </c>
      <c r="L145">
        <v>1000</v>
      </c>
      <c r="M145">
        <v>74.048102</v>
      </c>
      <c r="N145" t="s">
        <v>125</v>
      </c>
      <c r="O145">
        <v>0</v>
      </c>
      <c r="P145">
        <v>69.066524000000001</v>
      </c>
      <c r="Q145">
        <v>46.044348999999997</v>
      </c>
      <c r="R145">
        <v>50</v>
      </c>
      <c r="S145">
        <v>64.276443</v>
      </c>
      <c r="T145">
        <v>73.901371999999995</v>
      </c>
      <c r="U145">
        <v>42.850962000000003</v>
      </c>
      <c r="V145">
        <v>50</v>
      </c>
      <c r="W145">
        <v>65.245142999999999</v>
      </c>
      <c r="X145">
        <v>43.496761999999997</v>
      </c>
      <c r="Y145">
        <v>50</v>
      </c>
      <c r="Z145">
        <v>68.869848000000005</v>
      </c>
      <c r="AA145">
        <v>61.687562</v>
      </c>
      <c r="AB145">
        <v>41.125042000000001</v>
      </c>
      <c r="AC145">
        <v>50</v>
      </c>
      <c r="AD145">
        <v>65.798528000000005</v>
      </c>
      <c r="AE145">
        <v>43.865684999999999</v>
      </c>
      <c r="AF145">
        <v>50</v>
      </c>
      <c r="AG145">
        <v>62.051468999999997</v>
      </c>
      <c r="AH145">
        <v>69.649671999999995</v>
      </c>
      <c r="AI145">
        <v>41.367646000000001</v>
      </c>
      <c r="AJ145">
        <v>50</v>
      </c>
      <c r="AK145">
        <v>9.6199999999999992</v>
      </c>
      <c r="AL145">
        <v>7.18</v>
      </c>
      <c r="AM145">
        <v>7.59</v>
      </c>
      <c r="AN145">
        <v>0.66884399999999999</v>
      </c>
      <c r="AO145">
        <v>66.884395999999995</v>
      </c>
      <c r="AP145">
        <v>100</v>
      </c>
      <c r="AQ145">
        <v>0.68443299999999996</v>
      </c>
      <c r="AR145">
        <v>68.443264999999997</v>
      </c>
      <c r="AS145">
        <v>100</v>
      </c>
      <c r="AT145">
        <v>0.64549900000000004</v>
      </c>
      <c r="AU145">
        <v>0.688994</v>
      </c>
      <c r="AV145">
        <v>64.549886000000001</v>
      </c>
      <c r="AW145">
        <v>100</v>
      </c>
      <c r="AX145">
        <v>0.64676100000000003</v>
      </c>
      <c r="AY145">
        <v>0.71694899999999995</v>
      </c>
      <c r="AZ145">
        <v>64.676068999999998</v>
      </c>
      <c r="BA145">
        <v>100</v>
      </c>
      <c r="BB145">
        <v>0.50989700000000004</v>
      </c>
      <c r="BC145">
        <v>25.494838999999999</v>
      </c>
      <c r="BD145">
        <v>50</v>
      </c>
      <c r="BE145">
        <v>0.51215500000000003</v>
      </c>
      <c r="BF145">
        <v>25.607724999999999</v>
      </c>
      <c r="BG145">
        <v>50</v>
      </c>
      <c r="BH145">
        <v>0</v>
      </c>
      <c r="BI145">
        <v>1</v>
      </c>
      <c r="BJ145">
        <v>1</v>
      </c>
      <c r="BK145">
        <v>1</v>
      </c>
      <c r="BL145">
        <v>0.99541299999999999</v>
      </c>
      <c r="BM145">
        <v>1</v>
      </c>
      <c r="BN145">
        <v>0.99082599999999998</v>
      </c>
      <c r="BO145">
        <v>1</v>
      </c>
      <c r="BP145">
        <v>1</v>
      </c>
      <c r="BQ145">
        <v>1</v>
      </c>
      <c r="BR145">
        <v>5.8824000000000001E-2</v>
      </c>
      <c r="BS145">
        <v>48.235294000000003</v>
      </c>
      <c r="BT145">
        <v>50</v>
      </c>
      <c r="BU145">
        <v>7.2289000000000006E-2</v>
      </c>
      <c r="BV145">
        <v>45.542169000000001</v>
      </c>
      <c r="BW145">
        <v>50</v>
      </c>
      <c r="BX145" t="s">
        <v>125</v>
      </c>
      <c r="BY145" t="s">
        <v>125</v>
      </c>
      <c r="BZ145" t="s">
        <v>125</v>
      </c>
      <c r="CA145" t="s">
        <v>125</v>
      </c>
      <c r="CB145" t="s">
        <v>125</v>
      </c>
      <c r="CC145" t="s">
        <v>125</v>
      </c>
      <c r="CD145">
        <v>0.9375</v>
      </c>
      <c r="CE145">
        <v>49.867021000000001</v>
      </c>
      <c r="CF145">
        <v>50</v>
      </c>
      <c r="CG145" t="s">
        <v>125</v>
      </c>
      <c r="CH145" t="s">
        <v>125</v>
      </c>
      <c r="CI145" t="s">
        <v>125</v>
      </c>
      <c r="CJ145" t="s">
        <v>125</v>
      </c>
      <c r="CK145" t="s">
        <v>125</v>
      </c>
      <c r="CL145" t="s">
        <v>125</v>
      </c>
      <c r="CM145" t="s">
        <v>125</v>
      </c>
      <c r="CN145" t="s">
        <v>125</v>
      </c>
      <c r="CO145" t="s">
        <v>125</v>
      </c>
      <c r="CP145" t="s">
        <v>125</v>
      </c>
      <c r="CQ145">
        <v>0.336449</v>
      </c>
      <c r="CR145">
        <v>0.99074099999999998</v>
      </c>
      <c r="CS145">
        <v>22.429907</v>
      </c>
      <c r="CT145">
        <v>50</v>
      </c>
      <c r="CU145" t="s">
        <v>125</v>
      </c>
      <c r="CV145" t="s">
        <v>125</v>
      </c>
      <c r="CW145" t="s">
        <v>125</v>
      </c>
      <c r="CX145" t="s">
        <v>125</v>
      </c>
      <c r="CY145" t="s">
        <v>125</v>
      </c>
      <c r="CZ145" t="s">
        <v>125</v>
      </c>
      <c r="DA145">
        <v>15.389535</v>
      </c>
      <c r="DB145">
        <v>17.608319000000002</v>
      </c>
      <c r="DC145">
        <v>16.064022999999999</v>
      </c>
      <c r="DD145" t="s">
        <v>125</v>
      </c>
      <c r="DE145" t="s">
        <v>125</v>
      </c>
      <c r="DJ145" t="s">
        <v>125</v>
      </c>
      <c r="DK145" t="s">
        <v>125</v>
      </c>
      <c r="DL145" t="s">
        <v>125</v>
      </c>
      <c r="DM145" t="s">
        <v>125</v>
      </c>
      <c r="DN145" t="s">
        <v>125</v>
      </c>
      <c r="DO145" t="s">
        <v>125</v>
      </c>
      <c r="DQ145" t="s">
        <v>126</v>
      </c>
    </row>
    <row r="146" spans="1:121" x14ac:dyDescent="0.15">
      <c r="A146">
        <v>2018</v>
      </c>
      <c r="B146" t="s">
        <v>268</v>
      </c>
      <c r="C146" t="str">
        <f>"2640013"</f>
        <v>2640013</v>
      </c>
      <c r="D146" t="s">
        <v>123</v>
      </c>
      <c r="E146" t="str">
        <f t="shared" si="0"/>
        <v>0000000</v>
      </c>
      <c r="F146" t="s">
        <v>123</v>
      </c>
      <c r="G146" t="s">
        <v>123</v>
      </c>
      <c r="H146" t="s">
        <v>123</v>
      </c>
      <c r="J146" t="s">
        <v>124</v>
      </c>
      <c r="K146">
        <v>733.78830800000003</v>
      </c>
      <c r="L146">
        <v>1000</v>
      </c>
      <c r="M146">
        <v>73.378831000000005</v>
      </c>
      <c r="N146" t="s">
        <v>125</v>
      </c>
      <c r="O146">
        <v>0</v>
      </c>
      <c r="P146">
        <v>67.430136000000005</v>
      </c>
      <c r="Q146">
        <v>44.953423999999998</v>
      </c>
      <c r="R146">
        <v>50</v>
      </c>
      <c r="S146">
        <v>61.999834999999997</v>
      </c>
      <c r="T146">
        <v>73.260564000000002</v>
      </c>
      <c r="U146">
        <v>41.333222999999997</v>
      </c>
      <c r="V146">
        <v>50</v>
      </c>
      <c r="W146">
        <v>60.592610000000001</v>
      </c>
      <c r="X146">
        <v>40.395074000000001</v>
      </c>
      <c r="Y146">
        <v>50</v>
      </c>
      <c r="Z146">
        <v>64.909591000000006</v>
      </c>
      <c r="AA146">
        <v>56.571894</v>
      </c>
      <c r="AB146">
        <v>37.714596</v>
      </c>
      <c r="AC146">
        <v>50</v>
      </c>
      <c r="AD146">
        <v>68.753253000000001</v>
      </c>
      <c r="AE146">
        <v>45.835501999999998</v>
      </c>
      <c r="AF146">
        <v>50</v>
      </c>
      <c r="AG146">
        <v>64.026537000000005</v>
      </c>
      <c r="AH146">
        <v>72.534626000000003</v>
      </c>
      <c r="AI146">
        <v>42.684358000000003</v>
      </c>
      <c r="AJ146">
        <v>50</v>
      </c>
      <c r="AK146">
        <v>11.26</v>
      </c>
      <c r="AL146">
        <v>8.33</v>
      </c>
      <c r="AM146">
        <v>8.5</v>
      </c>
      <c r="AN146">
        <v>0.52647299999999997</v>
      </c>
      <c r="AO146">
        <v>52.647275</v>
      </c>
      <c r="AP146">
        <v>100</v>
      </c>
      <c r="AQ146">
        <v>0.66329300000000002</v>
      </c>
      <c r="AR146">
        <v>66.329255000000003</v>
      </c>
      <c r="AS146">
        <v>100</v>
      </c>
      <c r="AT146">
        <v>0.50417900000000004</v>
      </c>
      <c r="AU146">
        <v>0.54572699999999996</v>
      </c>
      <c r="AV146">
        <v>50.417853999999998</v>
      </c>
      <c r="AW146">
        <v>100</v>
      </c>
      <c r="AX146">
        <v>0.67450699999999997</v>
      </c>
      <c r="AY146">
        <v>0.65360799999999997</v>
      </c>
      <c r="AZ146">
        <v>67.450659000000002</v>
      </c>
      <c r="BA146">
        <v>100</v>
      </c>
      <c r="BB146">
        <v>0.62668599999999997</v>
      </c>
      <c r="BC146">
        <v>31.334313999999999</v>
      </c>
      <c r="BD146">
        <v>50</v>
      </c>
      <c r="BE146">
        <v>0.59946900000000003</v>
      </c>
      <c r="BF146">
        <v>29.973451000000001</v>
      </c>
      <c r="BG146">
        <v>50</v>
      </c>
      <c r="BH146">
        <v>0</v>
      </c>
      <c r="BI146">
        <v>0.98507500000000003</v>
      </c>
      <c r="BJ146">
        <v>1</v>
      </c>
      <c r="BK146">
        <v>0.96969700000000003</v>
      </c>
      <c r="BL146">
        <v>0.98507500000000003</v>
      </c>
      <c r="BM146">
        <v>1</v>
      </c>
      <c r="BN146">
        <v>0.96969700000000003</v>
      </c>
      <c r="BO146">
        <v>1</v>
      </c>
      <c r="BP146">
        <v>1</v>
      </c>
      <c r="BQ146">
        <v>1</v>
      </c>
      <c r="BR146">
        <v>0.04</v>
      </c>
      <c r="BS146">
        <v>50</v>
      </c>
      <c r="BT146">
        <v>50</v>
      </c>
      <c r="BU146">
        <v>5.6337999999999999E-2</v>
      </c>
      <c r="BV146">
        <v>48.732393999999999</v>
      </c>
      <c r="BW146">
        <v>50</v>
      </c>
      <c r="BX146" t="s">
        <v>125</v>
      </c>
      <c r="BY146" t="s">
        <v>125</v>
      </c>
      <c r="BZ146" t="s">
        <v>125</v>
      </c>
      <c r="CA146" t="s">
        <v>125</v>
      </c>
      <c r="CB146" t="s">
        <v>125</v>
      </c>
      <c r="CC146" t="s">
        <v>125</v>
      </c>
      <c r="CD146">
        <v>0.96551699999999996</v>
      </c>
      <c r="CE146">
        <v>50</v>
      </c>
      <c r="CF146">
        <v>50</v>
      </c>
      <c r="CG146" t="s">
        <v>125</v>
      </c>
      <c r="CH146" t="s">
        <v>125</v>
      </c>
      <c r="CI146" t="s">
        <v>125</v>
      </c>
      <c r="CJ146" t="s">
        <v>125</v>
      </c>
      <c r="CK146" t="s">
        <v>125</v>
      </c>
      <c r="CL146" t="s">
        <v>125</v>
      </c>
      <c r="CM146" t="s">
        <v>125</v>
      </c>
      <c r="CN146" t="s">
        <v>125</v>
      </c>
      <c r="CO146" t="s">
        <v>125</v>
      </c>
      <c r="CP146" t="s">
        <v>125</v>
      </c>
      <c r="CQ146">
        <v>0.50980400000000003</v>
      </c>
      <c r="CR146">
        <v>1</v>
      </c>
      <c r="CS146">
        <v>33.986927999999999</v>
      </c>
      <c r="CT146">
        <v>50</v>
      </c>
      <c r="CU146" t="s">
        <v>125</v>
      </c>
      <c r="CV146" t="s">
        <v>125</v>
      </c>
      <c r="CW146" t="s">
        <v>125</v>
      </c>
      <c r="CX146" t="s">
        <v>125</v>
      </c>
      <c r="CY146" t="s">
        <v>125</v>
      </c>
      <c r="CZ146" t="s">
        <v>125</v>
      </c>
      <c r="DA146">
        <v>15.389535</v>
      </c>
      <c r="DB146">
        <v>17.608319000000002</v>
      </c>
      <c r="DC146">
        <v>16.064022999999999</v>
      </c>
      <c r="DD146" t="s">
        <v>125</v>
      </c>
      <c r="DE146" t="s">
        <v>125</v>
      </c>
      <c r="DJ146" t="s">
        <v>125</v>
      </c>
      <c r="DK146" t="s">
        <v>125</v>
      </c>
      <c r="DL146" t="s">
        <v>125</v>
      </c>
      <c r="DM146" t="s">
        <v>125</v>
      </c>
      <c r="DN146" t="s">
        <v>125</v>
      </c>
      <c r="DO146" t="s">
        <v>125</v>
      </c>
      <c r="DQ146" t="s">
        <v>126</v>
      </c>
    </row>
    <row r="147" spans="1:121" x14ac:dyDescent="0.15">
      <c r="A147">
        <v>2018</v>
      </c>
      <c r="B147" t="s">
        <v>269</v>
      </c>
      <c r="C147" t="str">
        <f>"2650013"</f>
        <v>2650013</v>
      </c>
      <c r="D147" t="s">
        <v>123</v>
      </c>
      <c r="E147" t="str">
        <f t="shared" si="0"/>
        <v>0000000</v>
      </c>
      <c r="F147" t="s">
        <v>123</v>
      </c>
      <c r="G147" t="s">
        <v>123</v>
      </c>
      <c r="H147" t="s">
        <v>123</v>
      </c>
      <c r="J147" t="s">
        <v>124</v>
      </c>
      <c r="K147">
        <v>599.97569799999997</v>
      </c>
      <c r="L147">
        <v>1000</v>
      </c>
      <c r="M147">
        <v>59.997570000000003</v>
      </c>
      <c r="N147" t="s">
        <v>125</v>
      </c>
      <c r="O147">
        <v>0</v>
      </c>
      <c r="P147">
        <v>57.330294000000002</v>
      </c>
      <c r="Q147">
        <v>38.220196000000001</v>
      </c>
      <c r="R147">
        <v>50</v>
      </c>
      <c r="S147">
        <v>54.632936000000001</v>
      </c>
      <c r="T147">
        <v>65.731900999999993</v>
      </c>
      <c r="U147">
        <v>36.421956999999999</v>
      </c>
      <c r="V147">
        <v>50</v>
      </c>
      <c r="W147">
        <v>46.764758</v>
      </c>
      <c r="X147">
        <v>31.176504999999999</v>
      </c>
      <c r="Y147">
        <v>50</v>
      </c>
      <c r="Z147">
        <v>53.757151999999998</v>
      </c>
      <c r="AA147">
        <v>44.519831000000003</v>
      </c>
      <c r="AB147">
        <v>29.679887000000001</v>
      </c>
      <c r="AC147">
        <v>50</v>
      </c>
      <c r="AD147">
        <v>52.221552000000003</v>
      </c>
      <c r="AE147">
        <v>34.814368000000002</v>
      </c>
      <c r="AF147">
        <v>50</v>
      </c>
      <c r="AG147">
        <v>49.247126000000002</v>
      </c>
      <c r="AH147">
        <v>61.144827999999997</v>
      </c>
      <c r="AI147">
        <v>32.831417999999999</v>
      </c>
      <c r="AJ147">
        <v>50</v>
      </c>
      <c r="AK147">
        <v>11.09</v>
      </c>
      <c r="AL147">
        <v>9.23</v>
      </c>
      <c r="AM147">
        <v>11.89</v>
      </c>
      <c r="AN147">
        <v>0.50406200000000001</v>
      </c>
      <c r="AO147">
        <v>50.406182999999999</v>
      </c>
      <c r="AP147">
        <v>100</v>
      </c>
      <c r="AQ147">
        <v>0.43598199999999998</v>
      </c>
      <c r="AR147">
        <v>43.598196000000002</v>
      </c>
      <c r="AS147">
        <v>100</v>
      </c>
      <c r="AT147">
        <v>0.505888</v>
      </c>
      <c r="AU147">
        <v>0.49883699999999997</v>
      </c>
      <c r="AV147">
        <v>50.588766</v>
      </c>
      <c r="AW147">
        <v>100</v>
      </c>
      <c r="AX147">
        <v>0.47232800000000003</v>
      </c>
      <c r="AY147">
        <v>0.33197599999999999</v>
      </c>
      <c r="AZ147">
        <v>47.232812000000003</v>
      </c>
      <c r="BA147">
        <v>100</v>
      </c>
      <c r="BB147">
        <v>0.57960299999999998</v>
      </c>
      <c r="BC147">
        <v>28.980159</v>
      </c>
      <c r="BD147">
        <v>50</v>
      </c>
      <c r="BE147">
        <v>0.67495700000000003</v>
      </c>
      <c r="BF147">
        <v>33.747857000000003</v>
      </c>
      <c r="BG147">
        <v>50</v>
      </c>
      <c r="BH147">
        <v>0</v>
      </c>
      <c r="BI147">
        <v>0.99609400000000003</v>
      </c>
      <c r="BJ147">
        <v>0.99487199999999998</v>
      </c>
      <c r="BK147">
        <v>1</v>
      </c>
      <c r="BL147">
        <v>0.99609400000000003</v>
      </c>
      <c r="BM147">
        <v>0.99487199999999998</v>
      </c>
      <c r="BN147">
        <v>1</v>
      </c>
      <c r="BO147">
        <v>1</v>
      </c>
      <c r="BP147">
        <v>1</v>
      </c>
      <c r="BQ147">
        <v>1</v>
      </c>
      <c r="BR147">
        <v>0.101563</v>
      </c>
      <c r="BS147">
        <v>39.6875</v>
      </c>
      <c r="BT147">
        <v>50</v>
      </c>
      <c r="BU147">
        <v>0.13541700000000001</v>
      </c>
      <c r="BV147">
        <v>32.916666999999997</v>
      </c>
      <c r="BW147">
        <v>50</v>
      </c>
      <c r="BX147" t="s">
        <v>125</v>
      </c>
      <c r="BY147" t="s">
        <v>125</v>
      </c>
      <c r="BZ147" t="s">
        <v>125</v>
      </c>
      <c r="CA147" t="s">
        <v>125</v>
      </c>
      <c r="CB147" t="s">
        <v>125</v>
      </c>
      <c r="CC147" t="s">
        <v>125</v>
      </c>
      <c r="CD147">
        <v>0.93243200000000004</v>
      </c>
      <c r="CE147">
        <v>49.597470000000001</v>
      </c>
      <c r="CF147">
        <v>50</v>
      </c>
      <c r="CG147" t="s">
        <v>125</v>
      </c>
      <c r="CH147" t="s">
        <v>125</v>
      </c>
      <c r="CI147" t="s">
        <v>125</v>
      </c>
      <c r="CJ147" t="s">
        <v>125</v>
      </c>
      <c r="CK147" t="s">
        <v>125</v>
      </c>
      <c r="CL147" t="s">
        <v>125</v>
      </c>
      <c r="CM147" t="s">
        <v>125</v>
      </c>
      <c r="CN147" t="s">
        <v>125</v>
      </c>
      <c r="CO147" t="s">
        <v>125</v>
      </c>
      <c r="CP147" t="s">
        <v>125</v>
      </c>
      <c r="CQ147">
        <v>0.30113600000000001</v>
      </c>
      <c r="CR147">
        <v>1.0232559999999999</v>
      </c>
      <c r="CS147">
        <v>20.075758</v>
      </c>
      <c r="CT147">
        <v>50</v>
      </c>
      <c r="CU147" t="s">
        <v>125</v>
      </c>
      <c r="CV147" t="s">
        <v>125</v>
      </c>
      <c r="CW147" t="s">
        <v>125</v>
      </c>
      <c r="CX147" t="s">
        <v>125</v>
      </c>
      <c r="CY147" t="s">
        <v>125</v>
      </c>
      <c r="CZ147" t="s">
        <v>125</v>
      </c>
      <c r="DA147">
        <v>15.389535</v>
      </c>
      <c r="DB147">
        <v>17.608319000000002</v>
      </c>
      <c r="DC147">
        <v>16.064022999999999</v>
      </c>
      <c r="DD147" t="s">
        <v>125</v>
      </c>
      <c r="DE147" t="s">
        <v>125</v>
      </c>
      <c r="DJ147" t="s">
        <v>125</v>
      </c>
      <c r="DK147" t="s">
        <v>125</v>
      </c>
      <c r="DL147" t="s">
        <v>125</v>
      </c>
      <c r="DM147" t="s">
        <v>125</v>
      </c>
      <c r="DN147" t="s">
        <v>125</v>
      </c>
      <c r="DO147" t="s">
        <v>125</v>
      </c>
      <c r="DQ147" t="s">
        <v>126</v>
      </c>
    </row>
    <row r="148" spans="1:121" x14ac:dyDescent="0.15">
      <c r="A148">
        <v>2018</v>
      </c>
      <c r="B148" t="s">
        <v>270</v>
      </c>
      <c r="C148" t="str">
        <f>"2680013"</f>
        <v>2680013</v>
      </c>
      <c r="D148" t="s">
        <v>123</v>
      </c>
      <c r="E148" t="str">
        <f t="shared" si="0"/>
        <v>0000000</v>
      </c>
      <c r="F148" t="s">
        <v>123</v>
      </c>
      <c r="G148" t="s">
        <v>123</v>
      </c>
      <c r="H148" t="s">
        <v>123</v>
      </c>
      <c r="J148" t="s">
        <v>124</v>
      </c>
      <c r="K148">
        <v>944.75327500000003</v>
      </c>
      <c r="L148">
        <v>1450</v>
      </c>
      <c r="M148">
        <v>65.155398000000005</v>
      </c>
      <c r="N148" t="s">
        <v>125</v>
      </c>
      <c r="O148">
        <v>0</v>
      </c>
      <c r="P148">
        <v>43.388888999999999</v>
      </c>
      <c r="Q148">
        <v>86.777777999999998</v>
      </c>
      <c r="R148">
        <v>150</v>
      </c>
      <c r="S148">
        <v>41.102150999999999</v>
      </c>
      <c r="T148" t="s">
        <v>125</v>
      </c>
      <c r="U148">
        <v>82.204301000000001</v>
      </c>
      <c r="V148">
        <v>150</v>
      </c>
      <c r="W148">
        <v>38.311965999999998</v>
      </c>
      <c r="X148">
        <v>76.623931999999996</v>
      </c>
      <c r="Y148">
        <v>150</v>
      </c>
      <c r="Z148" t="s">
        <v>125</v>
      </c>
      <c r="AA148">
        <v>37.376344000000003</v>
      </c>
      <c r="AB148">
        <v>74.752688000000006</v>
      </c>
      <c r="AC148">
        <v>150</v>
      </c>
      <c r="AD148">
        <v>42.463563000000001</v>
      </c>
      <c r="AE148">
        <v>56.618084000000003</v>
      </c>
      <c r="AF148">
        <v>100</v>
      </c>
      <c r="AG148">
        <v>40.361538000000003</v>
      </c>
      <c r="AH148" t="s">
        <v>125</v>
      </c>
      <c r="AI148">
        <v>53.815384999999999</v>
      </c>
      <c r="AJ148">
        <v>100</v>
      </c>
      <c r="AK148" t="s">
        <v>125</v>
      </c>
      <c r="AL148" t="s">
        <v>125</v>
      </c>
      <c r="AM148" t="s">
        <v>125</v>
      </c>
      <c r="AN148" t="s">
        <v>125</v>
      </c>
      <c r="AO148" t="s">
        <v>125</v>
      </c>
      <c r="AP148" t="s">
        <v>125</v>
      </c>
      <c r="AQ148" t="s">
        <v>125</v>
      </c>
      <c r="AR148" t="s">
        <v>125</v>
      </c>
      <c r="AS148" t="s">
        <v>125</v>
      </c>
      <c r="AT148" t="s">
        <v>125</v>
      </c>
      <c r="AU148" t="s">
        <v>125</v>
      </c>
      <c r="AV148" t="s">
        <v>125</v>
      </c>
      <c r="AW148" t="s">
        <v>125</v>
      </c>
      <c r="AX148" t="s">
        <v>125</v>
      </c>
      <c r="AY148" t="s">
        <v>125</v>
      </c>
      <c r="AZ148" t="s">
        <v>125</v>
      </c>
      <c r="BA148" t="s">
        <v>125</v>
      </c>
      <c r="BB148" t="s">
        <v>125</v>
      </c>
      <c r="BC148" t="s">
        <v>125</v>
      </c>
      <c r="BD148" t="s">
        <v>125</v>
      </c>
      <c r="BE148" t="s">
        <v>125</v>
      </c>
      <c r="BF148" t="s">
        <v>125</v>
      </c>
      <c r="BG148" t="s">
        <v>125</v>
      </c>
      <c r="BH148">
        <v>0</v>
      </c>
      <c r="BI148">
        <v>1</v>
      </c>
      <c r="BJ148">
        <v>1</v>
      </c>
      <c r="BK148" t="s">
        <v>125</v>
      </c>
      <c r="BL148">
        <v>1</v>
      </c>
      <c r="BM148">
        <v>1</v>
      </c>
      <c r="BN148" t="s">
        <v>125</v>
      </c>
      <c r="BO148">
        <v>0.97560999999999998</v>
      </c>
      <c r="BP148">
        <v>0.96875</v>
      </c>
      <c r="BQ148" t="s">
        <v>125</v>
      </c>
      <c r="BR148">
        <v>0.12562799999999999</v>
      </c>
      <c r="BS148">
        <v>34.874372000000001</v>
      </c>
      <c r="BT148">
        <v>50</v>
      </c>
      <c r="BU148">
        <v>0.162162</v>
      </c>
      <c r="BV148">
        <v>27.567568000000001</v>
      </c>
      <c r="BW148">
        <v>50</v>
      </c>
      <c r="BX148">
        <v>0.88095199999999996</v>
      </c>
      <c r="BY148">
        <v>50</v>
      </c>
      <c r="BZ148">
        <v>50</v>
      </c>
      <c r="CA148">
        <v>0.25</v>
      </c>
      <c r="CB148">
        <v>16.666667</v>
      </c>
      <c r="CC148">
        <v>50</v>
      </c>
      <c r="CD148">
        <v>0.93442599999999998</v>
      </c>
      <c r="CE148">
        <v>49.703522999999997</v>
      </c>
      <c r="CF148">
        <v>50</v>
      </c>
      <c r="CG148">
        <v>0.91891900000000004</v>
      </c>
      <c r="CH148">
        <v>97.757332000000005</v>
      </c>
      <c r="CI148">
        <v>100</v>
      </c>
      <c r="CJ148">
        <v>0</v>
      </c>
      <c r="CK148">
        <v>0.92592600000000003</v>
      </c>
      <c r="CL148">
        <v>98.502758</v>
      </c>
      <c r="CM148">
        <v>100</v>
      </c>
      <c r="CN148">
        <v>0.66700000000000004</v>
      </c>
      <c r="CO148">
        <v>88.888889000000006</v>
      </c>
      <c r="CP148">
        <v>100</v>
      </c>
      <c r="CQ148">
        <v>0</v>
      </c>
      <c r="CR148">
        <v>0.83928599999999998</v>
      </c>
      <c r="CS148">
        <v>0</v>
      </c>
      <c r="CT148">
        <v>50</v>
      </c>
      <c r="CU148">
        <v>0.66331700000000005</v>
      </c>
      <c r="CV148">
        <v>50</v>
      </c>
      <c r="CW148">
        <v>50</v>
      </c>
      <c r="CX148">
        <v>0.92592600000000003</v>
      </c>
      <c r="CY148" t="s">
        <v>125</v>
      </c>
      <c r="CZ148" t="s">
        <v>125</v>
      </c>
      <c r="DA148">
        <v>15.389535</v>
      </c>
      <c r="DB148">
        <v>17.608319000000002</v>
      </c>
      <c r="DC148">
        <v>16.064022999999999</v>
      </c>
      <c r="DD148">
        <v>11.115401</v>
      </c>
      <c r="DE148" t="s">
        <v>125</v>
      </c>
      <c r="DJ148" t="s">
        <v>125</v>
      </c>
      <c r="DK148" t="s">
        <v>125</v>
      </c>
      <c r="DL148" t="s">
        <v>125</v>
      </c>
      <c r="DM148" t="s">
        <v>125</v>
      </c>
      <c r="DN148" t="s">
        <v>125</v>
      </c>
      <c r="DO148" t="s">
        <v>125</v>
      </c>
      <c r="DQ148" t="s">
        <v>126</v>
      </c>
    </row>
    <row r="149" spans="1:121" x14ac:dyDescent="0.15">
      <c r="A149">
        <v>2018</v>
      </c>
      <c r="B149" t="s">
        <v>271</v>
      </c>
      <c r="C149" t="str">
        <f>"2690013"</f>
        <v>2690013</v>
      </c>
      <c r="D149" t="s">
        <v>123</v>
      </c>
      <c r="E149" t="str">
        <f t="shared" si="0"/>
        <v>0000000</v>
      </c>
      <c r="F149" t="s">
        <v>123</v>
      </c>
      <c r="G149" t="s">
        <v>123</v>
      </c>
      <c r="H149" t="s">
        <v>123</v>
      </c>
      <c r="J149" t="s">
        <v>124</v>
      </c>
      <c r="K149">
        <v>803.825917</v>
      </c>
      <c r="L149">
        <v>1350</v>
      </c>
      <c r="M149">
        <v>59.542661000000003</v>
      </c>
      <c r="N149" t="s">
        <v>125</v>
      </c>
      <c r="O149">
        <v>0</v>
      </c>
      <c r="P149">
        <v>53.134168000000003</v>
      </c>
      <c r="Q149">
        <v>35.422778000000001</v>
      </c>
      <c r="R149">
        <v>50</v>
      </c>
      <c r="S149">
        <v>51.462896999999998</v>
      </c>
      <c r="T149">
        <v>60.019804999999998</v>
      </c>
      <c r="U149">
        <v>34.308598000000003</v>
      </c>
      <c r="V149">
        <v>50</v>
      </c>
      <c r="W149">
        <v>44.241345000000003</v>
      </c>
      <c r="X149">
        <v>29.494230000000002</v>
      </c>
      <c r="Y149">
        <v>50</v>
      </c>
      <c r="Z149">
        <v>47.099710999999999</v>
      </c>
      <c r="AA149">
        <v>43.540765</v>
      </c>
      <c r="AB149">
        <v>29.027176999999998</v>
      </c>
      <c r="AC149">
        <v>50</v>
      </c>
      <c r="AD149">
        <v>47.586194999999996</v>
      </c>
      <c r="AE149">
        <v>31.724129999999999</v>
      </c>
      <c r="AF149">
        <v>50</v>
      </c>
      <c r="AG149">
        <v>46.704166000000001</v>
      </c>
      <c r="AH149" t="s">
        <v>125</v>
      </c>
      <c r="AI149">
        <v>31.136111</v>
      </c>
      <c r="AJ149">
        <v>50</v>
      </c>
      <c r="AK149">
        <v>8.5500000000000007</v>
      </c>
      <c r="AL149">
        <v>3.55</v>
      </c>
      <c r="AM149" t="s">
        <v>125</v>
      </c>
      <c r="AN149">
        <v>0.51880899999999996</v>
      </c>
      <c r="AO149">
        <v>51.880938999999998</v>
      </c>
      <c r="AP149">
        <v>100</v>
      </c>
      <c r="AQ149">
        <v>0.54472299999999996</v>
      </c>
      <c r="AR149">
        <v>54.472251</v>
      </c>
      <c r="AS149">
        <v>100</v>
      </c>
      <c r="AT149">
        <v>0.49775900000000001</v>
      </c>
      <c r="AU149" t="s">
        <v>125</v>
      </c>
      <c r="AV149">
        <v>49.7759</v>
      </c>
      <c r="AW149">
        <v>100</v>
      </c>
      <c r="AX149">
        <v>0.55478799999999995</v>
      </c>
      <c r="AY149" t="s">
        <v>125</v>
      </c>
      <c r="AZ149">
        <v>55.478845999999997</v>
      </c>
      <c r="BA149">
        <v>100</v>
      </c>
      <c r="BB149" t="s">
        <v>125</v>
      </c>
      <c r="BC149" t="s">
        <v>125</v>
      </c>
      <c r="BD149" t="s">
        <v>125</v>
      </c>
      <c r="BE149" t="s">
        <v>125</v>
      </c>
      <c r="BF149" t="s">
        <v>125</v>
      </c>
      <c r="BG149" t="s">
        <v>125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 t="s">
        <v>125</v>
      </c>
      <c r="BR149">
        <v>0.17829500000000001</v>
      </c>
      <c r="BS149">
        <v>24.341085</v>
      </c>
      <c r="BT149">
        <v>50</v>
      </c>
      <c r="BU149">
        <v>0.19069800000000001</v>
      </c>
      <c r="BV149">
        <v>21.860465000000001</v>
      </c>
      <c r="BW149">
        <v>50</v>
      </c>
      <c r="BX149">
        <v>5.7971000000000002E-2</v>
      </c>
      <c r="BY149">
        <v>3.8647339999999999</v>
      </c>
      <c r="BZ149">
        <v>50</v>
      </c>
      <c r="CA149">
        <v>5.7971000000000002E-2</v>
      </c>
      <c r="CB149">
        <v>3.8647339999999999</v>
      </c>
      <c r="CC149">
        <v>50</v>
      </c>
      <c r="CD149">
        <v>0.87878800000000001</v>
      </c>
      <c r="CE149">
        <v>46.744036000000001</v>
      </c>
      <c r="CF149">
        <v>50</v>
      </c>
      <c r="CG149">
        <v>0.78048799999999996</v>
      </c>
      <c r="CH149">
        <v>83.030618000000004</v>
      </c>
      <c r="CI149">
        <v>100</v>
      </c>
      <c r="CJ149">
        <v>0</v>
      </c>
      <c r="CK149">
        <v>0.87096799999999996</v>
      </c>
      <c r="CL149">
        <v>92.656143</v>
      </c>
      <c r="CM149">
        <v>100</v>
      </c>
      <c r="CN149">
        <v>0.8</v>
      </c>
      <c r="CO149">
        <v>100</v>
      </c>
      <c r="CP149">
        <v>100</v>
      </c>
      <c r="CQ149">
        <v>0.34065899999999999</v>
      </c>
      <c r="CR149">
        <v>1.0581400000000001</v>
      </c>
      <c r="CS149">
        <v>22.710622999999998</v>
      </c>
      <c r="CT149">
        <v>50</v>
      </c>
      <c r="CU149">
        <v>2.4389999999999998E-2</v>
      </c>
      <c r="CV149">
        <v>2.0325199999999999</v>
      </c>
      <c r="CW149">
        <v>50</v>
      </c>
      <c r="CX149">
        <v>0.87096799999999996</v>
      </c>
      <c r="CY149" t="s">
        <v>125</v>
      </c>
      <c r="CZ149" t="s">
        <v>125</v>
      </c>
      <c r="DA149">
        <v>15.389535</v>
      </c>
      <c r="DB149">
        <v>17.608319000000002</v>
      </c>
      <c r="DC149">
        <v>16.064022999999999</v>
      </c>
      <c r="DD149">
        <v>11.115401</v>
      </c>
      <c r="DE149" t="s">
        <v>125</v>
      </c>
      <c r="DJ149" t="s">
        <v>125</v>
      </c>
      <c r="DK149" t="s">
        <v>125</v>
      </c>
      <c r="DL149" t="s">
        <v>125</v>
      </c>
      <c r="DM149" t="s">
        <v>125</v>
      </c>
      <c r="DN149" t="s">
        <v>125</v>
      </c>
      <c r="DO149" t="s">
        <v>125</v>
      </c>
      <c r="DQ149" t="s">
        <v>126</v>
      </c>
    </row>
    <row r="150" spans="1:121" x14ac:dyDescent="0.15">
      <c r="A150">
        <v>2018</v>
      </c>
      <c r="B150" t="s">
        <v>272</v>
      </c>
      <c r="C150" t="str">
        <f>"2700013"</f>
        <v>2700013</v>
      </c>
      <c r="D150" t="s">
        <v>123</v>
      </c>
      <c r="E150" t="str">
        <f t="shared" si="0"/>
        <v>0000000</v>
      </c>
      <c r="F150" t="s">
        <v>123</v>
      </c>
      <c r="G150" t="s">
        <v>123</v>
      </c>
      <c r="H150" t="s">
        <v>123</v>
      </c>
      <c r="J150" t="s">
        <v>124</v>
      </c>
      <c r="K150">
        <v>684.33468900000003</v>
      </c>
      <c r="L150">
        <v>850</v>
      </c>
      <c r="M150">
        <v>80.509962999999999</v>
      </c>
      <c r="N150" t="s">
        <v>125</v>
      </c>
      <c r="O150">
        <v>0</v>
      </c>
      <c r="P150">
        <v>68.885129000000006</v>
      </c>
      <c r="Q150">
        <v>45.923419000000003</v>
      </c>
      <c r="R150">
        <v>50</v>
      </c>
      <c r="S150">
        <v>65.887624000000002</v>
      </c>
      <c r="T150">
        <v>75</v>
      </c>
      <c r="U150">
        <v>43.925082000000003</v>
      </c>
      <c r="V150">
        <v>50</v>
      </c>
      <c r="W150">
        <v>67.802205999999998</v>
      </c>
      <c r="X150">
        <v>45.201470999999998</v>
      </c>
      <c r="Y150">
        <v>50</v>
      </c>
      <c r="Z150">
        <v>73.681101999999996</v>
      </c>
      <c r="AA150">
        <v>65.218075999999996</v>
      </c>
      <c r="AB150">
        <v>43.478717000000003</v>
      </c>
      <c r="AC150">
        <v>50</v>
      </c>
      <c r="AD150">
        <v>71.076195999999996</v>
      </c>
      <c r="AE150">
        <v>47.384130999999996</v>
      </c>
      <c r="AF150">
        <v>50</v>
      </c>
      <c r="AG150">
        <v>69.579851000000005</v>
      </c>
      <c r="AH150" t="s">
        <v>125</v>
      </c>
      <c r="AI150">
        <v>46.386566999999999</v>
      </c>
      <c r="AJ150">
        <v>50</v>
      </c>
      <c r="AK150">
        <v>9.11</v>
      </c>
      <c r="AL150">
        <v>8.4600000000000009</v>
      </c>
      <c r="AM150" t="s">
        <v>125</v>
      </c>
      <c r="AN150">
        <v>0.64149800000000001</v>
      </c>
      <c r="AO150">
        <v>64.149805999999998</v>
      </c>
      <c r="AP150">
        <v>100</v>
      </c>
      <c r="AQ150">
        <v>0.76246899999999995</v>
      </c>
      <c r="AR150">
        <v>76.246922999999995</v>
      </c>
      <c r="AS150">
        <v>100</v>
      </c>
      <c r="AT150">
        <v>0.61407500000000004</v>
      </c>
      <c r="AU150">
        <v>0.69634399999999996</v>
      </c>
      <c r="AV150">
        <v>61.407499999999999</v>
      </c>
      <c r="AW150">
        <v>100</v>
      </c>
      <c r="AX150">
        <v>0.73810200000000004</v>
      </c>
      <c r="AY150">
        <v>0.81120300000000001</v>
      </c>
      <c r="AZ150">
        <v>73.810215999999997</v>
      </c>
      <c r="BA150">
        <v>100</v>
      </c>
      <c r="BB150" t="s">
        <v>125</v>
      </c>
      <c r="BC150" t="s">
        <v>125</v>
      </c>
      <c r="BD150" t="s">
        <v>125</v>
      </c>
      <c r="BE150" t="s">
        <v>125</v>
      </c>
      <c r="BF150" t="s">
        <v>125</v>
      </c>
      <c r="BG150" t="s">
        <v>125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 t="s">
        <v>125</v>
      </c>
      <c r="BR150">
        <v>4.0404000000000002E-2</v>
      </c>
      <c r="BS150">
        <v>50</v>
      </c>
      <c r="BT150">
        <v>50</v>
      </c>
      <c r="BU150">
        <v>5.1471000000000003E-2</v>
      </c>
      <c r="BV150">
        <v>49.705882000000003</v>
      </c>
      <c r="BW150">
        <v>50</v>
      </c>
      <c r="BX150" t="s">
        <v>125</v>
      </c>
      <c r="BY150" t="s">
        <v>125</v>
      </c>
      <c r="BZ150" t="s">
        <v>125</v>
      </c>
      <c r="CA150" t="s">
        <v>125</v>
      </c>
      <c r="CB150" t="s">
        <v>125</v>
      </c>
      <c r="CC150" t="s">
        <v>125</v>
      </c>
      <c r="CD150" t="s">
        <v>125</v>
      </c>
      <c r="CE150" t="s">
        <v>125</v>
      </c>
      <c r="CF150" t="s">
        <v>125</v>
      </c>
      <c r="CG150" t="s">
        <v>125</v>
      </c>
      <c r="CH150" t="s">
        <v>125</v>
      </c>
      <c r="CI150" t="s">
        <v>125</v>
      </c>
      <c r="CJ150" t="s">
        <v>125</v>
      </c>
      <c r="CK150" t="s">
        <v>125</v>
      </c>
      <c r="CL150" t="s">
        <v>125</v>
      </c>
      <c r="CM150" t="s">
        <v>125</v>
      </c>
      <c r="CN150" t="s">
        <v>125</v>
      </c>
      <c r="CO150" t="s">
        <v>125</v>
      </c>
      <c r="CP150" t="s">
        <v>125</v>
      </c>
      <c r="CQ150">
        <v>0.55072500000000002</v>
      </c>
      <c r="CR150">
        <v>1</v>
      </c>
      <c r="CS150">
        <v>36.714976</v>
      </c>
      <c r="CT150">
        <v>50</v>
      </c>
      <c r="CU150" t="s">
        <v>125</v>
      </c>
      <c r="CV150" t="s">
        <v>125</v>
      </c>
      <c r="CW150" t="s">
        <v>125</v>
      </c>
      <c r="CX150" t="s">
        <v>125</v>
      </c>
      <c r="CY150" t="s">
        <v>125</v>
      </c>
      <c r="CZ150" t="s">
        <v>125</v>
      </c>
      <c r="DA150">
        <v>15.389535</v>
      </c>
      <c r="DB150">
        <v>17.608319000000002</v>
      </c>
      <c r="DC150">
        <v>16.064022999999999</v>
      </c>
      <c r="DD150" t="s">
        <v>125</v>
      </c>
      <c r="DE150" t="s">
        <v>125</v>
      </c>
      <c r="DJ150" t="s">
        <v>125</v>
      </c>
      <c r="DK150" t="s">
        <v>125</v>
      </c>
      <c r="DL150" t="s">
        <v>125</v>
      </c>
      <c r="DM150" t="s">
        <v>125</v>
      </c>
      <c r="DN150" t="s">
        <v>125</v>
      </c>
      <c r="DO150" t="s">
        <v>125</v>
      </c>
      <c r="DQ150" t="s">
        <v>126</v>
      </c>
    </row>
    <row r="151" spans="1:121" x14ac:dyDescent="0.15">
      <c r="A151">
        <v>2018</v>
      </c>
      <c r="B151" t="s">
        <v>273</v>
      </c>
      <c r="C151" t="str">
        <f>"2720013"</f>
        <v>2720013</v>
      </c>
      <c r="D151" t="s">
        <v>123</v>
      </c>
      <c r="E151" t="str">
        <f t="shared" si="0"/>
        <v>0000000</v>
      </c>
      <c r="F151" t="s">
        <v>123</v>
      </c>
      <c r="G151" t="s">
        <v>123</v>
      </c>
      <c r="H151" t="s">
        <v>123</v>
      </c>
      <c r="J151" t="s">
        <v>124</v>
      </c>
      <c r="K151">
        <v>494.95209599999998</v>
      </c>
      <c r="L151">
        <v>850</v>
      </c>
      <c r="M151">
        <v>58.229658000000001</v>
      </c>
      <c r="N151" t="s">
        <v>125</v>
      </c>
      <c r="O151">
        <v>0</v>
      </c>
      <c r="P151">
        <v>48.75</v>
      </c>
      <c r="Q151">
        <v>97.5</v>
      </c>
      <c r="R151">
        <v>150</v>
      </c>
      <c r="S151" t="s">
        <v>125</v>
      </c>
      <c r="T151" t="s">
        <v>125</v>
      </c>
      <c r="U151" t="s">
        <v>125</v>
      </c>
      <c r="V151" t="s">
        <v>125</v>
      </c>
      <c r="W151">
        <v>39.166666999999997</v>
      </c>
      <c r="X151">
        <v>78.333332999999996</v>
      </c>
      <c r="Y151">
        <v>150</v>
      </c>
      <c r="Z151" t="s">
        <v>125</v>
      </c>
      <c r="AA151" t="s">
        <v>125</v>
      </c>
      <c r="AB151" t="s">
        <v>125</v>
      </c>
      <c r="AC151" t="s">
        <v>125</v>
      </c>
      <c r="AD151">
        <v>53.186813000000001</v>
      </c>
      <c r="AE151">
        <v>70.915751</v>
      </c>
      <c r="AF151">
        <v>100</v>
      </c>
      <c r="AG151" t="s">
        <v>125</v>
      </c>
      <c r="AH151" t="s">
        <v>125</v>
      </c>
      <c r="AI151" t="s">
        <v>125</v>
      </c>
      <c r="AJ151" t="s">
        <v>125</v>
      </c>
      <c r="AK151" t="s">
        <v>125</v>
      </c>
      <c r="AL151" t="s">
        <v>125</v>
      </c>
      <c r="AM151" t="s">
        <v>125</v>
      </c>
      <c r="AN151" t="s">
        <v>125</v>
      </c>
      <c r="AO151" t="s">
        <v>125</v>
      </c>
      <c r="AP151" t="s">
        <v>125</v>
      </c>
      <c r="AQ151" t="s">
        <v>125</v>
      </c>
      <c r="AR151" t="s">
        <v>125</v>
      </c>
      <c r="AS151" t="s">
        <v>125</v>
      </c>
      <c r="AT151" t="s">
        <v>125</v>
      </c>
      <c r="AU151" t="s">
        <v>125</v>
      </c>
      <c r="AV151" t="s">
        <v>125</v>
      </c>
      <c r="AW151" t="s">
        <v>125</v>
      </c>
      <c r="AX151" t="s">
        <v>125</v>
      </c>
      <c r="AY151" t="s">
        <v>125</v>
      </c>
      <c r="AZ151" t="s">
        <v>125</v>
      </c>
      <c r="BA151" t="s">
        <v>125</v>
      </c>
      <c r="BB151" t="s">
        <v>125</v>
      </c>
      <c r="BC151" t="s">
        <v>125</v>
      </c>
      <c r="BD151" t="s">
        <v>125</v>
      </c>
      <c r="BE151" t="s">
        <v>125</v>
      </c>
      <c r="BF151" t="s">
        <v>125</v>
      </c>
      <c r="BG151" t="s">
        <v>125</v>
      </c>
      <c r="BH151">
        <v>0</v>
      </c>
      <c r="BI151">
        <v>1</v>
      </c>
      <c r="BJ151" t="s">
        <v>125</v>
      </c>
      <c r="BK151" t="s">
        <v>125</v>
      </c>
      <c r="BL151">
        <v>1</v>
      </c>
      <c r="BM151" t="s">
        <v>125</v>
      </c>
      <c r="BN151" t="s">
        <v>125</v>
      </c>
      <c r="BO151">
        <v>1</v>
      </c>
      <c r="BP151" t="s">
        <v>125</v>
      </c>
      <c r="BQ151" t="s">
        <v>125</v>
      </c>
      <c r="BR151">
        <v>0.29411799999999999</v>
      </c>
      <c r="BS151">
        <v>1.176471</v>
      </c>
      <c r="BT151">
        <v>50</v>
      </c>
      <c r="BU151">
        <v>0.30158699999999999</v>
      </c>
      <c r="BV151">
        <v>0</v>
      </c>
      <c r="BW151">
        <v>50</v>
      </c>
      <c r="BX151">
        <v>0.77083299999999999</v>
      </c>
      <c r="BY151">
        <v>50</v>
      </c>
      <c r="BZ151">
        <v>50</v>
      </c>
      <c r="CA151">
        <v>0.125</v>
      </c>
      <c r="CB151">
        <v>8.3333329999999997</v>
      </c>
      <c r="CC151">
        <v>50</v>
      </c>
      <c r="CD151" t="s">
        <v>125</v>
      </c>
      <c r="CE151" t="s">
        <v>125</v>
      </c>
      <c r="CF151" t="s">
        <v>125</v>
      </c>
      <c r="CG151">
        <v>0.82142899999999996</v>
      </c>
      <c r="CH151">
        <v>87.386018000000007</v>
      </c>
      <c r="CI151">
        <v>100</v>
      </c>
      <c r="CJ151">
        <v>0</v>
      </c>
      <c r="CK151" t="s">
        <v>125</v>
      </c>
      <c r="CL151" t="s">
        <v>125</v>
      </c>
      <c r="CM151" t="s">
        <v>125</v>
      </c>
      <c r="CN151">
        <v>0.45800000000000002</v>
      </c>
      <c r="CO151">
        <v>61.111111000000001</v>
      </c>
      <c r="CP151">
        <v>100</v>
      </c>
      <c r="CQ151" t="s">
        <v>125</v>
      </c>
      <c r="CR151" t="s">
        <v>125</v>
      </c>
      <c r="CS151" t="s">
        <v>125</v>
      </c>
      <c r="CT151" t="s">
        <v>125</v>
      </c>
      <c r="CU151">
        <v>0.48235299999999998</v>
      </c>
      <c r="CV151">
        <v>40.196078</v>
      </c>
      <c r="CW151">
        <v>50</v>
      </c>
      <c r="CX151" t="s">
        <v>125</v>
      </c>
      <c r="CY151" t="s">
        <v>125</v>
      </c>
      <c r="CZ151" t="s">
        <v>125</v>
      </c>
      <c r="DA151">
        <v>15.389535</v>
      </c>
      <c r="DB151">
        <v>17.608319000000002</v>
      </c>
      <c r="DC151">
        <v>16.064022999999999</v>
      </c>
      <c r="DD151">
        <v>11.115401</v>
      </c>
      <c r="DE151" t="s">
        <v>125</v>
      </c>
      <c r="DJ151" t="s">
        <v>125</v>
      </c>
      <c r="DK151" t="s">
        <v>125</v>
      </c>
      <c r="DL151" t="s">
        <v>125</v>
      </c>
      <c r="DM151" t="s">
        <v>125</v>
      </c>
      <c r="DN151" t="s">
        <v>125</v>
      </c>
      <c r="DO151" t="s">
        <v>125</v>
      </c>
      <c r="DQ151" t="s">
        <v>126</v>
      </c>
    </row>
    <row r="152" spans="1:121" x14ac:dyDescent="0.15">
      <c r="A152">
        <v>2018</v>
      </c>
      <c r="B152" t="s">
        <v>274</v>
      </c>
      <c r="C152" t="str">
        <f>"0650011"</f>
        <v>0650011</v>
      </c>
      <c r="D152" t="s">
        <v>123</v>
      </c>
      <c r="E152" t="str">
        <f t="shared" si="0"/>
        <v>0000000</v>
      </c>
      <c r="F152" t="s">
        <v>123</v>
      </c>
      <c r="G152" t="s">
        <v>123</v>
      </c>
      <c r="H152" t="s">
        <v>123</v>
      </c>
      <c r="J152" t="s">
        <v>124</v>
      </c>
      <c r="K152">
        <v>737.20126400000004</v>
      </c>
      <c r="L152">
        <v>850</v>
      </c>
      <c r="M152">
        <v>86.729560000000006</v>
      </c>
      <c r="N152" t="s">
        <v>125</v>
      </c>
      <c r="O152">
        <v>0</v>
      </c>
      <c r="P152">
        <v>77.396533000000005</v>
      </c>
      <c r="Q152">
        <v>50</v>
      </c>
      <c r="R152">
        <v>50</v>
      </c>
      <c r="S152">
        <v>68.689043999999996</v>
      </c>
      <c r="T152">
        <v>75</v>
      </c>
      <c r="U152">
        <v>45.792695999999999</v>
      </c>
      <c r="V152">
        <v>50</v>
      </c>
      <c r="W152">
        <v>68.828102000000001</v>
      </c>
      <c r="X152">
        <v>45.885401000000002</v>
      </c>
      <c r="Y152">
        <v>50</v>
      </c>
      <c r="Z152">
        <v>73.162414999999996</v>
      </c>
      <c r="AA152">
        <v>60.159475</v>
      </c>
      <c r="AB152">
        <v>40.106316999999997</v>
      </c>
      <c r="AC152">
        <v>50</v>
      </c>
      <c r="AD152">
        <v>77.398159000000007</v>
      </c>
      <c r="AE152">
        <v>50</v>
      </c>
      <c r="AF152">
        <v>50</v>
      </c>
      <c r="AG152" t="s">
        <v>125</v>
      </c>
      <c r="AH152">
        <v>75</v>
      </c>
      <c r="AI152" t="s">
        <v>125</v>
      </c>
      <c r="AJ152" t="s">
        <v>125</v>
      </c>
      <c r="AK152">
        <v>6.31</v>
      </c>
      <c r="AL152">
        <v>13</v>
      </c>
      <c r="AM152" t="s">
        <v>125</v>
      </c>
      <c r="AN152">
        <v>0.72462199999999999</v>
      </c>
      <c r="AO152">
        <v>72.462165999999996</v>
      </c>
      <c r="AP152">
        <v>100</v>
      </c>
      <c r="AQ152">
        <v>0.77302999999999999</v>
      </c>
      <c r="AR152">
        <v>77.303009000000003</v>
      </c>
      <c r="AS152">
        <v>100</v>
      </c>
      <c r="AT152">
        <v>0.71638400000000002</v>
      </c>
      <c r="AU152">
        <v>0.72786300000000004</v>
      </c>
      <c r="AV152">
        <v>71.638356999999999</v>
      </c>
      <c r="AW152">
        <v>100</v>
      </c>
      <c r="AX152">
        <v>0.84013300000000002</v>
      </c>
      <c r="AY152">
        <v>0.74662899999999999</v>
      </c>
      <c r="AZ152">
        <v>84.013317999999998</v>
      </c>
      <c r="BA152">
        <v>100</v>
      </c>
      <c r="BB152" t="s">
        <v>125</v>
      </c>
      <c r="BC152" t="s">
        <v>125</v>
      </c>
      <c r="BD152" t="s">
        <v>125</v>
      </c>
      <c r="BE152" t="s">
        <v>125</v>
      </c>
      <c r="BF152" t="s">
        <v>125</v>
      </c>
      <c r="BG152" t="s">
        <v>125</v>
      </c>
      <c r="BH152">
        <v>0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 t="s">
        <v>125</v>
      </c>
      <c r="BQ152">
        <v>1</v>
      </c>
      <c r="BR152">
        <v>1.3245E-2</v>
      </c>
      <c r="BS152">
        <v>50</v>
      </c>
      <c r="BT152">
        <v>50</v>
      </c>
      <c r="BU152">
        <v>1.7857000000000001E-2</v>
      </c>
      <c r="BV152">
        <v>50</v>
      </c>
      <c r="BW152">
        <v>50</v>
      </c>
      <c r="BX152" t="s">
        <v>125</v>
      </c>
      <c r="BY152" t="s">
        <v>125</v>
      </c>
      <c r="BZ152" t="s">
        <v>125</v>
      </c>
      <c r="CA152" t="s">
        <v>125</v>
      </c>
      <c r="CB152" t="s">
        <v>125</v>
      </c>
      <c r="CC152" t="s">
        <v>125</v>
      </c>
      <c r="CD152">
        <v>0.96875</v>
      </c>
      <c r="CE152">
        <v>50</v>
      </c>
      <c r="CF152">
        <v>50</v>
      </c>
      <c r="CG152" t="s">
        <v>125</v>
      </c>
      <c r="CH152" t="s">
        <v>125</v>
      </c>
      <c r="CI152" t="s">
        <v>125</v>
      </c>
      <c r="CJ152" t="s">
        <v>125</v>
      </c>
      <c r="CK152" t="s">
        <v>125</v>
      </c>
      <c r="CL152" t="s">
        <v>125</v>
      </c>
      <c r="CM152" t="s">
        <v>125</v>
      </c>
      <c r="CN152" t="s">
        <v>125</v>
      </c>
      <c r="CO152" t="s">
        <v>125</v>
      </c>
      <c r="CP152" t="s">
        <v>125</v>
      </c>
      <c r="CQ152">
        <v>0.94827600000000001</v>
      </c>
      <c r="CR152">
        <v>0.98305100000000001</v>
      </c>
      <c r="CS152">
        <v>50</v>
      </c>
      <c r="CT152">
        <v>50</v>
      </c>
      <c r="CU152" t="s">
        <v>125</v>
      </c>
      <c r="CV152" t="s">
        <v>125</v>
      </c>
      <c r="CW152" t="s">
        <v>125</v>
      </c>
      <c r="CX152" t="s">
        <v>125</v>
      </c>
      <c r="CY152" t="s">
        <v>125</v>
      </c>
      <c r="CZ152" t="s">
        <v>125</v>
      </c>
      <c r="DA152">
        <v>15.389535</v>
      </c>
      <c r="DB152">
        <v>17.608319000000002</v>
      </c>
      <c r="DC152">
        <v>16.064022999999999</v>
      </c>
      <c r="DD152" t="s">
        <v>125</v>
      </c>
      <c r="DE152" t="s">
        <v>125</v>
      </c>
      <c r="DJ152" t="s">
        <v>125</v>
      </c>
      <c r="DK152" t="s">
        <v>125</v>
      </c>
      <c r="DL152" t="s">
        <v>125</v>
      </c>
      <c r="DM152" t="s">
        <v>125</v>
      </c>
      <c r="DN152" t="s">
        <v>125</v>
      </c>
      <c r="DO152" t="s">
        <v>125</v>
      </c>
      <c r="DQ152" t="s">
        <v>126</v>
      </c>
    </row>
    <row r="153" spans="1:121" x14ac:dyDescent="0.15">
      <c r="A153">
        <v>2018</v>
      </c>
      <c r="B153" t="s">
        <v>275</v>
      </c>
      <c r="C153" t="str">
        <f>"1210011"</f>
        <v>1210011</v>
      </c>
      <c r="D153" t="s">
        <v>123</v>
      </c>
      <c r="E153" t="str">
        <f t="shared" si="0"/>
        <v>0000000</v>
      </c>
      <c r="F153" t="s">
        <v>123</v>
      </c>
      <c r="G153" t="s">
        <v>123</v>
      </c>
      <c r="H153" t="s">
        <v>123</v>
      </c>
      <c r="J153" t="s">
        <v>124</v>
      </c>
      <c r="K153">
        <v>718.73540400000002</v>
      </c>
      <c r="L153">
        <v>900</v>
      </c>
      <c r="M153">
        <v>79.859488999999996</v>
      </c>
      <c r="N153" t="s">
        <v>125</v>
      </c>
      <c r="O153">
        <v>0</v>
      </c>
      <c r="P153">
        <v>80.119119999999995</v>
      </c>
      <c r="Q153">
        <v>50</v>
      </c>
      <c r="R153">
        <v>50</v>
      </c>
      <c r="S153">
        <v>65.206162000000006</v>
      </c>
      <c r="T153">
        <v>75</v>
      </c>
      <c r="U153">
        <v>43.470775000000003</v>
      </c>
      <c r="V153">
        <v>50</v>
      </c>
      <c r="W153">
        <v>76.130117999999996</v>
      </c>
      <c r="X153">
        <v>50</v>
      </c>
      <c r="Y153">
        <v>50</v>
      </c>
      <c r="Z153">
        <v>75</v>
      </c>
      <c r="AA153">
        <v>60.259856999999997</v>
      </c>
      <c r="AB153">
        <v>40.173237999999998</v>
      </c>
      <c r="AC153">
        <v>50</v>
      </c>
      <c r="AD153">
        <v>78.466443999999996</v>
      </c>
      <c r="AE153">
        <v>50</v>
      </c>
      <c r="AF153">
        <v>50</v>
      </c>
      <c r="AG153">
        <v>66.446607</v>
      </c>
      <c r="AH153">
        <v>75</v>
      </c>
      <c r="AI153">
        <v>44.297738000000003</v>
      </c>
      <c r="AJ153">
        <v>50</v>
      </c>
      <c r="AK153">
        <v>9.7899999999999991</v>
      </c>
      <c r="AL153">
        <v>14.74</v>
      </c>
      <c r="AM153">
        <v>8.5500000000000007</v>
      </c>
      <c r="AN153">
        <v>0.67266199999999998</v>
      </c>
      <c r="AO153">
        <v>67.266216999999997</v>
      </c>
      <c r="AP153">
        <v>100</v>
      </c>
      <c r="AQ153">
        <v>0.73675100000000004</v>
      </c>
      <c r="AR153">
        <v>73.675117999999998</v>
      </c>
      <c r="AS153">
        <v>100</v>
      </c>
      <c r="AT153">
        <v>0.56607399999999997</v>
      </c>
      <c r="AU153">
        <v>0.71263299999999996</v>
      </c>
      <c r="AV153">
        <v>56.607438999999999</v>
      </c>
      <c r="AW153">
        <v>100</v>
      </c>
      <c r="AX153">
        <v>0.61152700000000004</v>
      </c>
      <c r="AY153">
        <v>0.78292799999999996</v>
      </c>
      <c r="AZ153">
        <v>61.152681000000001</v>
      </c>
      <c r="BA153">
        <v>100</v>
      </c>
      <c r="BB153" t="s">
        <v>125</v>
      </c>
      <c r="BC153" t="s">
        <v>125</v>
      </c>
      <c r="BD153" t="s">
        <v>125</v>
      </c>
      <c r="BE153" t="s">
        <v>125</v>
      </c>
      <c r="BF153" t="s">
        <v>125</v>
      </c>
      <c r="BG153" t="s">
        <v>125</v>
      </c>
      <c r="BH153">
        <v>0</v>
      </c>
      <c r="BI153">
        <v>0.99644100000000002</v>
      </c>
      <c r="BJ153">
        <v>1</v>
      </c>
      <c r="BK153">
        <v>0.99504999999999999</v>
      </c>
      <c r="BL153">
        <v>0.99288299999999996</v>
      </c>
      <c r="BM153">
        <v>0.98734200000000005</v>
      </c>
      <c r="BN153">
        <v>0.99504999999999999</v>
      </c>
      <c r="BO153">
        <v>1</v>
      </c>
      <c r="BP153">
        <v>1</v>
      </c>
      <c r="BQ153">
        <v>1</v>
      </c>
      <c r="BR153">
        <v>3.4568000000000002E-2</v>
      </c>
      <c r="BS153">
        <v>50</v>
      </c>
      <c r="BT153">
        <v>50</v>
      </c>
      <c r="BU153">
        <v>3.3897999999999998E-2</v>
      </c>
      <c r="BV153">
        <v>50</v>
      </c>
      <c r="BW153">
        <v>50</v>
      </c>
      <c r="BX153" t="s">
        <v>125</v>
      </c>
      <c r="BY153" t="s">
        <v>125</v>
      </c>
      <c r="BZ153" t="s">
        <v>125</v>
      </c>
      <c r="CA153" t="s">
        <v>125</v>
      </c>
      <c r="CB153" t="s">
        <v>125</v>
      </c>
      <c r="CC153" t="s">
        <v>125</v>
      </c>
      <c r="CD153">
        <v>0.91666700000000001</v>
      </c>
      <c r="CE153">
        <v>48.758865</v>
      </c>
      <c r="CF153">
        <v>50</v>
      </c>
      <c r="CG153" t="s">
        <v>125</v>
      </c>
      <c r="CH153" t="s">
        <v>125</v>
      </c>
      <c r="CI153" t="s">
        <v>125</v>
      </c>
      <c r="CJ153" t="s">
        <v>125</v>
      </c>
      <c r="CK153" t="s">
        <v>125</v>
      </c>
      <c r="CL153" t="s">
        <v>125</v>
      </c>
      <c r="CM153" t="s">
        <v>125</v>
      </c>
      <c r="CN153" t="s">
        <v>125</v>
      </c>
      <c r="CO153" t="s">
        <v>125</v>
      </c>
      <c r="CP153" t="s">
        <v>125</v>
      </c>
      <c r="CQ153">
        <v>0.5</v>
      </c>
      <c r="CR153">
        <v>0.98630099999999998</v>
      </c>
      <c r="CS153">
        <v>33.333333000000003</v>
      </c>
      <c r="CT153">
        <v>50</v>
      </c>
      <c r="CU153" t="s">
        <v>125</v>
      </c>
      <c r="CV153" t="s">
        <v>125</v>
      </c>
      <c r="CW153" t="s">
        <v>125</v>
      </c>
      <c r="CX153" t="s">
        <v>125</v>
      </c>
      <c r="CY153" t="s">
        <v>125</v>
      </c>
      <c r="CZ153" t="s">
        <v>125</v>
      </c>
      <c r="DA153">
        <v>15.389535</v>
      </c>
      <c r="DB153">
        <v>17.608319000000002</v>
      </c>
      <c r="DC153">
        <v>16.064022999999999</v>
      </c>
      <c r="DD153" t="s">
        <v>125</v>
      </c>
      <c r="DE153" t="s">
        <v>125</v>
      </c>
      <c r="DJ153" t="s">
        <v>125</v>
      </c>
      <c r="DK153" t="s">
        <v>125</v>
      </c>
      <c r="DL153" t="s">
        <v>125</v>
      </c>
      <c r="DM153" t="s">
        <v>125</v>
      </c>
      <c r="DN153" t="s">
        <v>125</v>
      </c>
      <c r="DO153" t="s">
        <v>125</v>
      </c>
      <c r="DQ153" t="s">
        <v>126</v>
      </c>
    </row>
    <row r="154" spans="1:121" x14ac:dyDescent="0.15">
      <c r="A154">
        <v>2018</v>
      </c>
      <c r="B154" t="s">
        <v>276</v>
      </c>
      <c r="C154" t="str">
        <f>"1220011"</f>
        <v>1220011</v>
      </c>
      <c r="D154" t="s">
        <v>123</v>
      </c>
      <c r="E154" t="str">
        <f t="shared" si="0"/>
        <v>0000000</v>
      </c>
      <c r="F154" t="s">
        <v>123</v>
      </c>
      <c r="G154" t="s">
        <v>123</v>
      </c>
      <c r="H154" t="s">
        <v>123</v>
      </c>
      <c r="J154" t="s">
        <v>124</v>
      </c>
      <c r="K154">
        <v>668.54507799999999</v>
      </c>
      <c r="L154">
        <v>850</v>
      </c>
      <c r="M154">
        <v>78.652361999999997</v>
      </c>
      <c r="N154" t="s">
        <v>125</v>
      </c>
      <c r="O154">
        <v>0</v>
      </c>
      <c r="P154">
        <v>81.548004000000006</v>
      </c>
      <c r="Q154">
        <v>50</v>
      </c>
      <c r="R154">
        <v>50</v>
      </c>
      <c r="S154">
        <v>73.037687000000005</v>
      </c>
      <c r="T154">
        <v>75</v>
      </c>
      <c r="U154">
        <v>48.691792</v>
      </c>
      <c r="V154">
        <v>50</v>
      </c>
      <c r="W154">
        <v>70.553837999999999</v>
      </c>
      <c r="X154">
        <v>47.035891999999997</v>
      </c>
      <c r="Y154">
        <v>50</v>
      </c>
      <c r="Z154">
        <v>75</v>
      </c>
      <c r="AA154">
        <v>61.857250999999998</v>
      </c>
      <c r="AB154">
        <v>41.238166999999997</v>
      </c>
      <c r="AC154">
        <v>50</v>
      </c>
      <c r="AD154">
        <v>76.813744</v>
      </c>
      <c r="AE154">
        <v>50</v>
      </c>
      <c r="AF154">
        <v>50</v>
      </c>
      <c r="AG154" t="s">
        <v>125</v>
      </c>
      <c r="AH154">
        <v>75</v>
      </c>
      <c r="AI154" t="s">
        <v>125</v>
      </c>
      <c r="AJ154" t="s">
        <v>125</v>
      </c>
      <c r="AK154">
        <v>1.96</v>
      </c>
      <c r="AL154">
        <v>13.14</v>
      </c>
      <c r="AM154" t="s">
        <v>125</v>
      </c>
      <c r="AN154">
        <v>0.70958100000000002</v>
      </c>
      <c r="AO154">
        <v>70.958106999999998</v>
      </c>
      <c r="AP154">
        <v>100</v>
      </c>
      <c r="AQ154">
        <v>0.63417199999999996</v>
      </c>
      <c r="AR154">
        <v>63.417236000000003</v>
      </c>
      <c r="AS154">
        <v>100</v>
      </c>
      <c r="AT154">
        <v>0.75270800000000004</v>
      </c>
      <c r="AU154">
        <v>0.68826600000000004</v>
      </c>
      <c r="AV154">
        <v>75.270770999999996</v>
      </c>
      <c r="AW154">
        <v>100</v>
      </c>
      <c r="AX154">
        <v>0.61167700000000003</v>
      </c>
      <c r="AY154">
        <v>0.64529099999999995</v>
      </c>
      <c r="AZ154">
        <v>61.167676</v>
      </c>
      <c r="BA154">
        <v>100</v>
      </c>
      <c r="BB154" t="s">
        <v>125</v>
      </c>
      <c r="BC154" t="s">
        <v>125</v>
      </c>
      <c r="BD154" t="s">
        <v>125</v>
      </c>
      <c r="BE154" t="s">
        <v>125</v>
      </c>
      <c r="BF154" t="s">
        <v>125</v>
      </c>
      <c r="BG154" t="s">
        <v>125</v>
      </c>
      <c r="BH154">
        <v>0</v>
      </c>
      <c r="BI154">
        <v>0.98901099999999997</v>
      </c>
      <c r="BJ154">
        <v>0.98507500000000003</v>
      </c>
      <c r="BK154">
        <v>0.99130399999999996</v>
      </c>
      <c r="BL154">
        <v>0.98901099999999997</v>
      </c>
      <c r="BM154">
        <v>0.98507500000000003</v>
      </c>
      <c r="BN154">
        <v>0.99130399999999996</v>
      </c>
      <c r="BO154">
        <v>0.96551699999999996</v>
      </c>
      <c r="BP154" t="s">
        <v>125</v>
      </c>
      <c r="BQ154">
        <v>0.97674399999999995</v>
      </c>
      <c r="BR154">
        <v>6.5934000000000006E-2</v>
      </c>
      <c r="BS154">
        <v>46.813186999999999</v>
      </c>
      <c r="BT154">
        <v>50</v>
      </c>
      <c r="BU154">
        <v>0.12903200000000001</v>
      </c>
      <c r="BV154">
        <v>34.193548</v>
      </c>
      <c r="BW154">
        <v>50</v>
      </c>
      <c r="BX154" t="s">
        <v>125</v>
      </c>
      <c r="BY154" t="s">
        <v>125</v>
      </c>
      <c r="BZ154" t="s">
        <v>125</v>
      </c>
      <c r="CA154" t="s">
        <v>125</v>
      </c>
      <c r="CB154" t="s">
        <v>125</v>
      </c>
      <c r="CC154" t="s">
        <v>125</v>
      </c>
      <c r="CD154">
        <v>0.88</v>
      </c>
      <c r="CE154">
        <v>46.808511000000003</v>
      </c>
      <c r="CF154">
        <v>50</v>
      </c>
      <c r="CG154" t="s">
        <v>125</v>
      </c>
      <c r="CH154" t="s">
        <v>125</v>
      </c>
      <c r="CI154" t="s">
        <v>125</v>
      </c>
      <c r="CJ154" t="s">
        <v>125</v>
      </c>
      <c r="CK154" t="s">
        <v>125</v>
      </c>
      <c r="CL154" t="s">
        <v>125</v>
      </c>
      <c r="CM154" t="s">
        <v>125</v>
      </c>
      <c r="CN154" t="s">
        <v>125</v>
      </c>
      <c r="CO154" t="s">
        <v>125</v>
      </c>
      <c r="CP154" t="s">
        <v>125</v>
      </c>
      <c r="CQ154">
        <v>0.494253</v>
      </c>
      <c r="CR154">
        <v>0.96666700000000005</v>
      </c>
      <c r="CS154">
        <v>32.950192000000001</v>
      </c>
      <c r="CT154">
        <v>50</v>
      </c>
      <c r="CU154" t="s">
        <v>125</v>
      </c>
      <c r="CV154" t="s">
        <v>125</v>
      </c>
      <c r="CW154" t="s">
        <v>125</v>
      </c>
      <c r="CX154" t="s">
        <v>125</v>
      </c>
      <c r="CY154" t="s">
        <v>125</v>
      </c>
      <c r="CZ154" t="s">
        <v>125</v>
      </c>
      <c r="DA154">
        <v>15.389535</v>
      </c>
      <c r="DB154">
        <v>17.608319000000002</v>
      </c>
      <c r="DC154">
        <v>16.064022999999999</v>
      </c>
      <c r="DD154" t="s">
        <v>125</v>
      </c>
      <c r="DE154" t="s">
        <v>125</v>
      </c>
      <c r="DJ154" t="s">
        <v>125</v>
      </c>
      <c r="DK154" t="s">
        <v>125</v>
      </c>
      <c r="DL154" t="s">
        <v>125</v>
      </c>
      <c r="DM154" t="s">
        <v>125</v>
      </c>
      <c r="DN154" t="s">
        <v>125</v>
      </c>
      <c r="DO154" t="s">
        <v>125</v>
      </c>
      <c r="DQ154" t="s">
        <v>126</v>
      </c>
    </row>
    <row r="155" spans="1:121" x14ac:dyDescent="0.15">
      <c r="A155">
        <v>2018</v>
      </c>
      <c r="B155" t="s">
        <v>277</v>
      </c>
      <c r="C155" t="str">
        <f>"1230011"</f>
        <v>1230011</v>
      </c>
      <c r="D155" t="s">
        <v>123</v>
      </c>
      <c r="E155" t="str">
        <f t="shared" si="0"/>
        <v>0000000</v>
      </c>
      <c r="F155" t="s">
        <v>123</v>
      </c>
      <c r="G155" t="s">
        <v>123</v>
      </c>
      <c r="H155" t="s">
        <v>123</v>
      </c>
      <c r="J155" t="s">
        <v>124</v>
      </c>
      <c r="K155">
        <v>394.75178199999999</v>
      </c>
      <c r="L155">
        <v>450</v>
      </c>
      <c r="M155">
        <v>87.722617999999997</v>
      </c>
      <c r="N155" t="s">
        <v>125</v>
      </c>
      <c r="O155">
        <v>0</v>
      </c>
      <c r="P155">
        <v>76.522161999999994</v>
      </c>
      <c r="Q155">
        <v>50</v>
      </c>
      <c r="R155">
        <v>50</v>
      </c>
      <c r="S155" t="s">
        <v>125</v>
      </c>
      <c r="T155">
        <v>75</v>
      </c>
      <c r="U155" t="s">
        <v>125</v>
      </c>
      <c r="V155" t="s">
        <v>125</v>
      </c>
      <c r="W155">
        <v>70.923062000000002</v>
      </c>
      <c r="X155">
        <v>47.282041999999997</v>
      </c>
      <c r="Y155">
        <v>50</v>
      </c>
      <c r="Z155">
        <v>75</v>
      </c>
      <c r="AA155" t="s">
        <v>125</v>
      </c>
      <c r="AB155" t="s">
        <v>125</v>
      </c>
      <c r="AC155" t="s">
        <v>125</v>
      </c>
      <c r="AD155" t="s">
        <v>125</v>
      </c>
      <c r="AE155" t="s">
        <v>125</v>
      </c>
      <c r="AF155" t="s">
        <v>125</v>
      </c>
      <c r="AG155" t="s">
        <v>125</v>
      </c>
      <c r="AH155" t="s">
        <v>125</v>
      </c>
      <c r="AI155" t="s">
        <v>125</v>
      </c>
      <c r="AJ155" t="s">
        <v>125</v>
      </c>
      <c r="AK155" t="s">
        <v>125</v>
      </c>
      <c r="AL155" t="s">
        <v>125</v>
      </c>
      <c r="AM155" t="s">
        <v>125</v>
      </c>
      <c r="AN155">
        <v>0.67613299999999998</v>
      </c>
      <c r="AO155">
        <v>67.613259999999997</v>
      </c>
      <c r="AP155">
        <v>100</v>
      </c>
      <c r="AQ155">
        <v>0.923126</v>
      </c>
      <c r="AR155">
        <v>92.312619999999995</v>
      </c>
      <c r="AS155">
        <v>100</v>
      </c>
      <c r="AT155" t="s">
        <v>125</v>
      </c>
      <c r="AU155">
        <v>0.74214899999999995</v>
      </c>
      <c r="AV155" t="s">
        <v>125</v>
      </c>
      <c r="AW155" t="s">
        <v>125</v>
      </c>
      <c r="AX155" t="s">
        <v>125</v>
      </c>
      <c r="AY155">
        <v>0.99383500000000002</v>
      </c>
      <c r="AZ155" t="s">
        <v>125</v>
      </c>
      <c r="BA155" t="s">
        <v>125</v>
      </c>
      <c r="BB155" t="s">
        <v>125</v>
      </c>
      <c r="BC155" t="s">
        <v>125</v>
      </c>
      <c r="BD155" t="s">
        <v>125</v>
      </c>
      <c r="BE155" t="s">
        <v>125</v>
      </c>
      <c r="BF155" t="s">
        <v>125</v>
      </c>
      <c r="BG155" t="s">
        <v>125</v>
      </c>
      <c r="BH155">
        <v>0</v>
      </c>
      <c r="BI155">
        <v>0.97872300000000001</v>
      </c>
      <c r="BJ155" t="s">
        <v>125</v>
      </c>
      <c r="BK155">
        <v>1</v>
      </c>
      <c r="BL155">
        <v>0.97872300000000001</v>
      </c>
      <c r="BM155" t="s">
        <v>125</v>
      </c>
      <c r="BN155">
        <v>1</v>
      </c>
      <c r="BO155" t="s">
        <v>125</v>
      </c>
      <c r="BP155" t="s">
        <v>125</v>
      </c>
      <c r="BQ155" t="s">
        <v>125</v>
      </c>
      <c r="BR155">
        <v>3.4091000000000003E-2</v>
      </c>
      <c r="BS155">
        <v>50</v>
      </c>
      <c r="BT155">
        <v>50</v>
      </c>
      <c r="BU155">
        <v>7.8947000000000003E-2</v>
      </c>
      <c r="BV155">
        <v>44.210526000000002</v>
      </c>
      <c r="BW155">
        <v>50</v>
      </c>
      <c r="BX155" t="s">
        <v>125</v>
      </c>
      <c r="BY155" t="s">
        <v>125</v>
      </c>
      <c r="BZ155" t="s">
        <v>125</v>
      </c>
      <c r="CA155" t="s">
        <v>125</v>
      </c>
      <c r="CB155" t="s">
        <v>125</v>
      </c>
      <c r="CC155" t="s">
        <v>125</v>
      </c>
      <c r="CD155" t="s">
        <v>125</v>
      </c>
      <c r="CE155" t="s">
        <v>125</v>
      </c>
      <c r="CF155" t="s">
        <v>125</v>
      </c>
      <c r="CG155" t="s">
        <v>125</v>
      </c>
      <c r="CH155" t="s">
        <v>125</v>
      </c>
      <c r="CI155" t="s">
        <v>125</v>
      </c>
      <c r="CJ155" t="s">
        <v>125</v>
      </c>
      <c r="CK155" t="s">
        <v>125</v>
      </c>
      <c r="CL155" t="s">
        <v>125</v>
      </c>
      <c r="CM155" t="s">
        <v>125</v>
      </c>
      <c r="CN155" t="s">
        <v>125</v>
      </c>
      <c r="CO155" t="s">
        <v>125</v>
      </c>
      <c r="CP155" t="s">
        <v>125</v>
      </c>
      <c r="CQ155">
        <v>0.65</v>
      </c>
      <c r="CR155">
        <v>1</v>
      </c>
      <c r="CS155">
        <v>43.333333000000003</v>
      </c>
      <c r="CT155">
        <v>50</v>
      </c>
      <c r="CU155" t="s">
        <v>125</v>
      </c>
      <c r="CV155" t="s">
        <v>125</v>
      </c>
      <c r="CW155" t="s">
        <v>125</v>
      </c>
      <c r="CX155" t="s">
        <v>125</v>
      </c>
      <c r="CY155" t="s">
        <v>125</v>
      </c>
      <c r="CZ155" t="s">
        <v>125</v>
      </c>
      <c r="DA155">
        <v>15.389535</v>
      </c>
      <c r="DB155">
        <v>17.608319000000002</v>
      </c>
      <c r="DC155">
        <v>16.064022999999999</v>
      </c>
      <c r="DD155" t="s">
        <v>125</v>
      </c>
      <c r="DE155" t="s">
        <v>125</v>
      </c>
      <c r="DJ155" t="s">
        <v>125</v>
      </c>
      <c r="DK155" t="s">
        <v>125</v>
      </c>
      <c r="DL155" t="s">
        <v>125</v>
      </c>
      <c r="DM155" t="s">
        <v>125</v>
      </c>
      <c r="DN155" t="s">
        <v>125</v>
      </c>
      <c r="DO155" t="s">
        <v>125</v>
      </c>
      <c r="DQ155" t="s">
        <v>126</v>
      </c>
    </row>
    <row r="156" spans="1:121" x14ac:dyDescent="0.15">
      <c r="A156">
        <v>2018</v>
      </c>
      <c r="B156" t="s">
        <v>278</v>
      </c>
      <c r="C156" t="str">
        <f>"1240011"</f>
        <v>1240011</v>
      </c>
      <c r="D156" t="s">
        <v>123</v>
      </c>
      <c r="E156" t="str">
        <f t="shared" si="0"/>
        <v>0000000</v>
      </c>
      <c r="F156" t="s">
        <v>123</v>
      </c>
      <c r="G156" t="s">
        <v>123</v>
      </c>
      <c r="H156" t="s">
        <v>123</v>
      </c>
      <c r="J156" t="s">
        <v>124</v>
      </c>
      <c r="K156">
        <v>1103.3065160000001</v>
      </c>
      <c r="L156">
        <v>1450</v>
      </c>
      <c r="M156">
        <v>76.090104999999994</v>
      </c>
      <c r="N156" t="s">
        <v>125</v>
      </c>
      <c r="O156">
        <v>0</v>
      </c>
      <c r="P156">
        <v>66.946098000000006</v>
      </c>
      <c r="Q156">
        <v>44.630732000000002</v>
      </c>
      <c r="R156">
        <v>50</v>
      </c>
      <c r="S156">
        <v>58.912458000000001</v>
      </c>
      <c r="T156">
        <v>73.735820000000004</v>
      </c>
      <c r="U156">
        <v>39.274971999999998</v>
      </c>
      <c r="V156">
        <v>50</v>
      </c>
      <c r="W156">
        <v>63.949365999999998</v>
      </c>
      <c r="X156">
        <v>42.632911</v>
      </c>
      <c r="Y156">
        <v>50</v>
      </c>
      <c r="Z156">
        <v>71.080893000000003</v>
      </c>
      <c r="AA156">
        <v>55.511299999999999</v>
      </c>
      <c r="AB156">
        <v>37.007533000000002</v>
      </c>
      <c r="AC156">
        <v>50</v>
      </c>
      <c r="AD156">
        <v>63.361480999999998</v>
      </c>
      <c r="AE156">
        <v>42.240986999999997</v>
      </c>
      <c r="AF156">
        <v>50</v>
      </c>
      <c r="AG156">
        <v>56.563175000000001</v>
      </c>
      <c r="AH156">
        <v>68.614716999999999</v>
      </c>
      <c r="AI156">
        <v>37.708784000000001</v>
      </c>
      <c r="AJ156">
        <v>50</v>
      </c>
      <c r="AK156">
        <v>14.82</v>
      </c>
      <c r="AL156">
        <v>15.56</v>
      </c>
      <c r="AM156">
        <v>12.05</v>
      </c>
      <c r="AN156">
        <v>0.55079699999999998</v>
      </c>
      <c r="AO156">
        <v>55.079690999999997</v>
      </c>
      <c r="AP156">
        <v>100</v>
      </c>
      <c r="AQ156">
        <v>0.62882199999999999</v>
      </c>
      <c r="AR156">
        <v>62.882162999999998</v>
      </c>
      <c r="AS156">
        <v>100</v>
      </c>
      <c r="AT156">
        <v>0.49513200000000002</v>
      </c>
      <c r="AU156">
        <v>0.59466799999999997</v>
      </c>
      <c r="AV156">
        <v>49.513199</v>
      </c>
      <c r="AW156">
        <v>100</v>
      </c>
      <c r="AX156">
        <v>0.57230800000000004</v>
      </c>
      <c r="AY156">
        <v>0.67324300000000004</v>
      </c>
      <c r="AZ156">
        <v>57.230766000000003</v>
      </c>
      <c r="BA156">
        <v>100</v>
      </c>
      <c r="BB156">
        <v>0.62076699999999996</v>
      </c>
      <c r="BC156">
        <v>31.038356</v>
      </c>
      <c r="BD156">
        <v>50</v>
      </c>
      <c r="BE156">
        <v>0.47530499999999998</v>
      </c>
      <c r="BF156">
        <v>23.765256999999998</v>
      </c>
      <c r="BG156">
        <v>50</v>
      </c>
      <c r="BH156">
        <v>0</v>
      </c>
      <c r="BI156">
        <v>0.99407800000000002</v>
      </c>
      <c r="BJ156">
        <v>0.99276699999999996</v>
      </c>
      <c r="BK156">
        <v>0.99523099999999998</v>
      </c>
      <c r="BL156">
        <v>0.99407800000000002</v>
      </c>
      <c r="BM156">
        <v>0.99276699999999996</v>
      </c>
      <c r="BN156">
        <v>0.99523099999999998</v>
      </c>
      <c r="BO156">
        <v>0.99051199999999995</v>
      </c>
      <c r="BP156">
        <v>0.97907900000000003</v>
      </c>
      <c r="BQ156">
        <v>1</v>
      </c>
      <c r="BR156">
        <v>0.111009</v>
      </c>
      <c r="BS156">
        <v>37.798250000000003</v>
      </c>
      <c r="BT156">
        <v>50</v>
      </c>
      <c r="BU156">
        <v>0.168986</v>
      </c>
      <c r="BV156">
        <v>26.202783</v>
      </c>
      <c r="BW156">
        <v>50</v>
      </c>
      <c r="BX156">
        <v>0.79940999999999995</v>
      </c>
      <c r="BY156">
        <v>50</v>
      </c>
      <c r="BZ156">
        <v>50</v>
      </c>
      <c r="CA156">
        <v>0.39822999999999997</v>
      </c>
      <c r="CB156">
        <v>26.548673000000001</v>
      </c>
      <c r="CC156">
        <v>50</v>
      </c>
      <c r="CD156">
        <v>0.96656500000000001</v>
      </c>
      <c r="CE156">
        <v>50</v>
      </c>
      <c r="CF156">
        <v>50</v>
      </c>
      <c r="CG156">
        <v>0.93670900000000001</v>
      </c>
      <c r="CH156">
        <v>99.649878999999999</v>
      </c>
      <c r="CI156">
        <v>100</v>
      </c>
      <c r="CJ156">
        <v>0</v>
      </c>
      <c r="CK156">
        <v>0.95082</v>
      </c>
      <c r="CL156">
        <v>100</v>
      </c>
      <c r="CM156">
        <v>100</v>
      </c>
      <c r="CN156">
        <v>0.748</v>
      </c>
      <c r="CO156">
        <v>99.779248999999993</v>
      </c>
      <c r="CP156">
        <v>100</v>
      </c>
      <c r="CQ156">
        <v>0.61756</v>
      </c>
      <c r="CR156">
        <v>0.92817700000000003</v>
      </c>
      <c r="CS156">
        <v>41.170634999999997</v>
      </c>
      <c r="CT156">
        <v>50</v>
      </c>
      <c r="CU156">
        <v>0.58982000000000001</v>
      </c>
      <c r="CV156">
        <v>49.151696999999999</v>
      </c>
      <c r="CW156">
        <v>50</v>
      </c>
      <c r="CX156">
        <v>0.95082</v>
      </c>
      <c r="CY156">
        <v>0.94</v>
      </c>
      <c r="CZ156">
        <v>-1.082E-2</v>
      </c>
      <c r="DA156">
        <v>15.389535</v>
      </c>
      <c r="DB156">
        <v>17.608319000000002</v>
      </c>
      <c r="DC156">
        <v>16.064022999999999</v>
      </c>
      <c r="DD156">
        <v>11.115401</v>
      </c>
      <c r="DE156" t="s">
        <v>125</v>
      </c>
      <c r="DJ156" t="s">
        <v>125</v>
      </c>
      <c r="DK156" t="s">
        <v>125</v>
      </c>
      <c r="DL156" t="s">
        <v>125</v>
      </c>
      <c r="DM156" t="s">
        <v>125</v>
      </c>
      <c r="DN156" t="s">
        <v>125</v>
      </c>
      <c r="DO156" t="s">
        <v>125</v>
      </c>
      <c r="DQ156" t="s">
        <v>126</v>
      </c>
    </row>
    <row r="157" spans="1:121" x14ac:dyDescent="0.15">
      <c r="A157">
        <v>2018</v>
      </c>
      <c r="B157" t="s">
        <v>279</v>
      </c>
      <c r="C157" t="str">
        <f>"1250011"</f>
        <v>1250011</v>
      </c>
      <c r="D157" t="s">
        <v>123</v>
      </c>
      <c r="E157" t="str">
        <f t="shared" si="0"/>
        <v>0000000</v>
      </c>
      <c r="F157" t="s">
        <v>123</v>
      </c>
      <c r="G157" t="s">
        <v>123</v>
      </c>
      <c r="H157" t="s">
        <v>123</v>
      </c>
      <c r="J157" t="s">
        <v>124</v>
      </c>
      <c r="K157">
        <v>674.75871700000005</v>
      </c>
      <c r="L157">
        <v>800</v>
      </c>
      <c r="M157">
        <v>84.344840000000005</v>
      </c>
      <c r="N157" t="s">
        <v>125</v>
      </c>
      <c r="O157">
        <v>0</v>
      </c>
      <c r="P157">
        <v>75.064696999999995</v>
      </c>
      <c r="Q157">
        <v>50</v>
      </c>
      <c r="R157">
        <v>50</v>
      </c>
      <c r="S157">
        <v>66.677358999999996</v>
      </c>
      <c r="T157">
        <v>75</v>
      </c>
      <c r="U157">
        <v>44.451573000000003</v>
      </c>
      <c r="V157">
        <v>50</v>
      </c>
      <c r="W157">
        <v>66.759618000000003</v>
      </c>
      <c r="X157">
        <v>44.506411999999997</v>
      </c>
      <c r="Y157">
        <v>50</v>
      </c>
      <c r="Z157">
        <v>72.569918000000001</v>
      </c>
      <c r="AA157">
        <v>60.792282999999998</v>
      </c>
      <c r="AB157">
        <v>40.528188</v>
      </c>
      <c r="AC157">
        <v>50</v>
      </c>
      <c r="AD157">
        <v>76.404359999999997</v>
      </c>
      <c r="AE157">
        <v>50</v>
      </c>
      <c r="AF157">
        <v>50</v>
      </c>
      <c r="AG157" t="s">
        <v>125</v>
      </c>
      <c r="AH157" t="s">
        <v>125</v>
      </c>
      <c r="AI157" t="s">
        <v>125</v>
      </c>
      <c r="AJ157" t="s">
        <v>125</v>
      </c>
      <c r="AK157">
        <v>8.32</v>
      </c>
      <c r="AL157">
        <v>11.77</v>
      </c>
      <c r="AM157" t="s">
        <v>125</v>
      </c>
      <c r="AN157">
        <v>0.789744</v>
      </c>
      <c r="AO157">
        <v>78.974383000000003</v>
      </c>
      <c r="AP157">
        <v>100</v>
      </c>
      <c r="AQ157">
        <v>0.75256299999999998</v>
      </c>
      <c r="AR157">
        <v>75.256260999999995</v>
      </c>
      <c r="AS157">
        <v>100</v>
      </c>
      <c r="AT157">
        <v>0.66395199999999999</v>
      </c>
      <c r="AU157">
        <v>0.90410000000000001</v>
      </c>
      <c r="AV157">
        <v>66.395182000000005</v>
      </c>
      <c r="AW157">
        <v>100</v>
      </c>
      <c r="AX157">
        <v>0.82715099999999997</v>
      </c>
      <c r="AY157">
        <v>0.691137</v>
      </c>
      <c r="AZ157">
        <v>82.715123000000006</v>
      </c>
      <c r="BA157">
        <v>100</v>
      </c>
      <c r="BB157" t="s">
        <v>125</v>
      </c>
      <c r="BC157" t="s">
        <v>125</v>
      </c>
      <c r="BD157" t="s">
        <v>125</v>
      </c>
      <c r="BE157" t="s">
        <v>125</v>
      </c>
      <c r="BF157" t="s">
        <v>125</v>
      </c>
      <c r="BG157" t="s">
        <v>125</v>
      </c>
      <c r="BH157">
        <v>0</v>
      </c>
      <c r="BI157">
        <v>0.98750000000000004</v>
      </c>
      <c r="BJ157">
        <v>1</v>
      </c>
      <c r="BK157">
        <v>0.97499999999999998</v>
      </c>
      <c r="BL157">
        <v>0.98750000000000004</v>
      </c>
      <c r="BM157">
        <v>0.97499999999999998</v>
      </c>
      <c r="BN157">
        <v>1</v>
      </c>
      <c r="BO157">
        <v>0.96296300000000001</v>
      </c>
      <c r="BP157" t="s">
        <v>125</v>
      </c>
      <c r="BQ157" t="s">
        <v>125</v>
      </c>
      <c r="BR157">
        <v>5.1723999999999999E-2</v>
      </c>
      <c r="BS157">
        <v>49.655172</v>
      </c>
      <c r="BT157">
        <v>50</v>
      </c>
      <c r="BU157">
        <v>4.9180000000000001E-2</v>
      </c>
      <c r="BV157">
        <v>50</v>
      </c>
      <c r="BW157">
        <v>50</v>
      </c>
      <c r="BX157" t="s">
        <v>125</v>
      </c>
      <c r="BY157" t="s">
        <v>125</v>
      </c>
      <c r="BZ157" t="s">
        <v>125</v>
      </c>
      <c r="CA157" t="s">
        <v>125</v>
      </c>
      <c r="CB157" t="s">
        <v>125</v>
      </c>
      <c r="CC157" t="s">
        <v>125</v>
      </c>
      <c r="CD157" t="s">
        <v>125</v>
      </c>
      <c r="CE157" t="s">
        <v>125</v>
      </c>
      <c r="CF157" t="s">
        <v>125</v>
      </c>
      <c r="CG157" t="s">
        <v>125</v>
      </c>
      <c r="CH157" t="s">
        <v>125</v>
      </c>
      <c r="CI157" t="s">
        <v>125</v>
      </c>
      <c r="CJ157" t="s">
        <v>125</v>
      </c>
      <c r="CK157" t="s">
        <v>125</v>
      </c>
      <c r="CL157" t="s">
        <v>125</v>
      </c>
      <c r="CM157" t="s">
        <v>125</v>
      </c>
      <c r="CN157" t="s">
        <v>125</v>
      </c>
      <c r="CO157" t="s">
        <v>125</v>
      </c>
      <c r="CP157" t="s">
        <v>125</v>
      </c>
      <c r="CQ157">
        <v>0.63414599999999999</v>
      </c>
      <c r="CR157">
        <v>0.911111</v>
      </c>
      <c r="CS157">
        <v>42.276423000000001</v>
      </c>
      <c r="CT157">
        <v>50</v>
      </c>
      <c r="CU157" t="s">
        <v>125</v>
      </c>
      <c r="CV157" t="s">
        <v>125</v>
      </c>
      <c r="CW157" t="s">
        <v>125</v>
      </c>
      <c r="CX157" t="s">
        <v>125</v>
      </c>
      <c r="CY157" t="s">
        <v>125</v>
      </c>
      <c r="CZ157" t="s">
        <v>125</v>
      </c>
      <c r="DA157">
        <v>15.389535</v>
      </c>
      <c r="DB157">
        <v>17.608319000000002</v>
      </c>
      <c r="DC157">
        <v>16.064022999999999</v>
      </c>
      <c r="DD157" t="s">
        <v>125</v>
      </c>
      <c r="DE157" t="s">
        <v>125</v>
      </c>
      <c r="DJ157" t="s">
        <v>125</v>
      </c>
      <c r="DK157" t="s">
        <v>125</v>
      </c>
      <c r="DL157" t="s">
        <v>125</v>
      </c>
      <c r="DM157" t="s">
        <v>125</v>
      </c>
      <c r="DN157" t="s">
        <v>125</v>
      </c>
      <c r="DO157" t="s">
        <v>125</v>
      </c>
      <c r="DQ157" t="s">
        <v>126</v>
      </c>
    </row>
    <row r="158" spans="1:121" x14ac:dyDescent="0.15">
      <c r="A158">
        <v>2018</v>
      </c>
      <c r="B158" t="s">
        <v>280</v>
      </c>
      <c r="C158" t="str">
        <f>"1260011"</f>
        <v>1260011</v>
      </c>
      <c r="D158" t="s">
        <v>123</v>
      </c>
      <c r="E158" t="str">
        <f t="shared" si="0"/>
        <v>0000000</v>
      </c>
      <c r="F158" t="s">
        <v>123</v>
      </c>
      <c r="G158" t="s">
        <v>123</v>
      </c>
      <c r="H158" t="s">
        <v>123</v>
      </c>
      <c r="J158" t="s">
        <v>124</v>
      </c>
      <c r="K158">
        <v>1145.3115170000001</v>
      </c>
      <c r="L158">
        <v>1450</v>
      </c>
      <c r="M158">
        <v>78.987001000000006</v>
      </c>
      <c r="N158" t="s">
        <v>125</v>
      </c>
      <c r="O158">
        <v>0</v>
      </c>
      <c r="P158">
        <v>74.315235000000001</v>
      </c>
      <c r="Q158">
        <v>49.543489999999998</v>
      </c>
      <c r="R158">
        <v>50</v>
      </c>
      <c r="S158">
        <v>66.197395999999998</v>
      </c>
      <c r="T158">
        <v>75</v>
      </c>
      <c r="U158">
        <v>44.131596999999999</v>
      </c>
      <c r="V158">
        <v>50</v>
      </c>
      <c r="W158">
        <v>69.809659999999994</v>
      </c>
      <c r="X158">
        <v>46.539772999999997</v>
      </c>
      <c r="Y158">
        <v>50</v>
      </c>
      <c r="Z158">
        <v>75</v>
      </c>
      <c r="AA158">
        <v>60.721792000000001</v>
      </c>
      <c r="AB158">
        <v>40.481195</v>
      </c>
      <c r="AC158">
        <v>50</v>
      </c>
      <c r="AD158">
        <v>68.973279000000005</v>
      </c>
      <c r="AE158">
        <v>45.982185999999999</v>
      </c>
      <c r="AF158">
        <v>50</v>
      </c>
      <c r="AG158">
        <v>61.754108000000002</v>
      </c>
      <c r="AH158">
        <v>73.552358999999996</v>
      </c>
      <c r="AI158">
        <v>41.169406000000002</v>
      </c>
      <c r="AJ158">
        <v>50</v>
      </c>
      <c r="AK158">
        <v>8.8000000000000007</v>
      </c>
      <c r="AL158">
        <v>14.27</v>
      </c>
      <c r="AM158">
        <v>11.79</v>
      </c>
      <c r="AN158">
        <v>0.63126300000000002</v>
      </c>
      <c r="AO158">
        <v>63.126334</v>
      </c>
      <c r="AP158">
        <v>100</v>
      </c>
      <c r="AQ158">
        <v>0.67804900000000001</v>
      </c>
      <c r="AR158">
        <v>67.804856999999998</v>
      </c>
      <c r="AS158">
        <v>100</v>
      </c>
      <c r="AT158">
        <v>0.58118999999999998</v>
      </c>
      <c r="AU158">
        <v>0.66291599999999995</v>
      </c>
      <c r="AV158">
        <v>58.119025000000001</v>
      </c>
      <c r="AW158">
        <v>100</v>
      </c>
      <c r="AX158">
        <v>0.595522</v>
      </c>
      <c r="AY158">
        <v>0.730236</v>
      </c>
      <c r="AZ158">
        <v>59.552210000000002</v>
      </c>
      <c r="BA158">
        <v>100</v>
      </c>
      <c r="BB158">
        <v>0.66156499999999996</v>
      </c>
      <c r="BC158">
        <v>33.078256000000003</v>
      </c>
      <c r="BD158">
        <v>50</v>
      </c>
      <c r="BE158">
        <v>0.57280900000000001</v>
      </c>
      <c r="BF158">
        <v>28.640474000000001</v>
      </c>
      <c r="BG158">
        <v>50</v>
      </c>
      <c r="BH158">
        <v>0</v>
      </c>
      <c r="BI158">
        <v>0.99344399999999999</v>
      </c>
      <c r="BJ158">
        <v>0.98808399999999996</v>
      </c>
      <c r="BK158">
        <v>0.99733700000000003</v>
      </c>
      <c r="BL158">
        <v>0.993058</v>
      </c>
      <c r="BM158">
        <v>0.98900100000000002</v>
      </c>
      <c r="BN158">
        <v>0.99600500000000003</v>
      </c>
      <c r="BO158">
        <v>0.98309599999999997</v>
      </c>
      <c r="BP158">
        <v>0.97327399999999997</v>
      </c>
      <c r="BQ158">
        <v>0.98963000000000001</v>
      </c>
      <c r="BR158">
        <v>7.1351999999999999E-2</v>
      </c>
      <c r="BS158">
        <v>45.729636999999997</v>
      </c>
      <c r="BT158">
        <v>50</v>
      </c>
      <c r="BU158">
        <v>0.11158800000000001</v>
      </c>
      <c r="BV158">
        <v>37.682403000000001</v>
      </c>
      <c r="BW158">
        <v>50</v>
      </c>
      <c r="BX158">
        <v>0.828457</v>
      </c>
      <c r="BY158">
        <v>50</v>
      </c>
      <c r="BZ158">
        <v>50</v>
      </c>
      <c r="CA158">
        <v>0.51462799999999997</v>
      </c>
      <c r="CB158">
        <v>34.308511000000003</v>
      </c>
      <c r="CC158">
        <v>50</v>
      </c>
      <c r="CD158">
        <v>0.90163899999999997</v>
      </c>
      <c r="CE158">
        <v>47.959539999999997</v>
      </c>
      <c r="CF158">
        <v>50</v>
      </c>
      <c r="CG158">
        <v>0.89972099999999999</v>
      </c>
      <c r="CH158">
        <v>95.715047999999996</v>
      </c>
      <c r="CI158">
        <v>100</v>
      </c>
      <c r="CJ158">
        <v>0</v>
      </c>
      <c r="CK158">
        <v>0.83333299999999999</v>
      </c>
      <c r="CL158">
        <v>88.652482000000006</v>
      </c>
      <c r="CM158">
        <v>100</v>
      </c>
      <c r="CN158">
        <v>0.75800000000000001</v>
      </c>
      <c r="CO158">
        <v>100</v>
      </c>
      <c r="CP158">
        <v>100</v>
      </c>
      <c r="CQ158">
        <v>0.62782499999999997</v>
      </c>
      <c r="CR158">
        <v>0.95546600000000004</v>
      </c>
      <c r="CS158">
        <v>41.854990999999998</v>
      </c>
      <c r="CT158">
        <v>50</v>
      </c>
      <c r="CU158">
        <v>0.30288100000000001</v>
      </c>
      <c r="CV158">
        <v>25.240103000000001</v>
      </c>
      <c r="CW158">
        <v>50</v>
      </c>
      <c r="CX158">
        <v>0.83333299999999999</v>
      </c>
      <c r="CY158">
        <v>0.94</v>
      </c>
      <c r="CZ158">
        <v>0.106667</v>
      </c>
      <c r="DA158">
        <v>15.389535</v>
      </c>
      <c r="DB158">
        <v>17.608319000000002</v>
      </c>
      <c r="DC158">
        <v>16.064022999999999</v>
      </c>
      <c r="DD158">
        <v>11.115401</v>
      </c>
      <c r="DE158" t="s">
        <v>125</v>
      </c>
      <c r="DJ158" t="s">
        <v>125</v>
      </c>
      <c r="DK158" t="s">
        <v>125</v>
      </c>
      <c r="DL158" t="s">
        <v>125</v>
      </c>
      <c r="DM158" t="s">
        <v>125</v>
      </c>
      <c r="DN158" t="s">
        <v>125</v>
      </c>
      <c r="DO158" t="s">
        <v>125</v>
      </c>
      <c r="DQ158" t="s">
        <v>126</v>
      </c>
    </row>
    <row r="159" spans="1:121" x14ac:dyDescent="0.15">
      <c r="A159">
        <v>2018</v>
      </c>
      <c r="B159" t="s">
        <v>281</v>
      </c>
      <c r="C159" t="str">
        <f>"1270011"</f>
        <v>1270011</v>
      </c>
      <c r="D159" t="s">
        <v>123</v>
      </c>
      <c r="E159" t="str">
        <f t="shared" si="0"/>
        <v>0000000</v>
      </c>
      <c r="F159" t="s">
        <v>123</v>
      </c>
      <c r="G159" t="s">
        <v>123</v>
      </c>
      <c r="H159" t="s">
        <v>123</v>
      </c>
      <c r="J159" t="s">
        <v>124</v>
      </c>
      <c r="K159">
        <v>655.75992099999996</v>
      </c>
      <c r="L159">
        <v>850</v>
      </c>
      <c r="M159">
        <v>77.148225999999994</v>
      </c>
      <c r="N159" t="s">
        <v>125</v>
      </c>
      <c r="O159">
        <v>0</v>
      </c>
      <c r="P159">
        <v>73.349384999999998</v>
      </c>
      <c r="Q159">
        <v>48.899590000000003</v>
      </c>
      <c r="R159">
        <v>50</v>
      </c>
      <c r="S159">
        <v>61.605902</v>
      </c>
      <c r="T159">
        <v>75</v>
      </c>
      <c r="U159">
        <v>41.070601000000003</v>
      </c>
      <c r="V159">
        <v>50</v>
      </c>
      <c r="W159">
        <v>70.800359</v>
      </c>
      <c r="X159">
        <v>47.200239000000003</v>
      </c>
      <c r="Y159">
        <v>50</v>
      </c>
      <c r="Z159">
        <v>74.182822000000002</v>
      </c>
      <c r="AA159">
        <v>58.071615000000001</v>
      </c>
      <c r="AB159">
        <v>38.714410000000001</v>
      </c>
      <c r="AC159">
        <v>50</v>
      </c>
      <c r="AD159">
        <v>69.436706999999998</v>
      </c>
      <c r="AE159">
        <v>46.291137999999997</v>
      </c>
      <c r="AF159">
        <v>50</v>
      </c>
      <c r="AG159" t="s">
        <v>125</v>
      </c>
      <c r="AH159">
        <v>72.196111999999999</v>
      </c>
      <c r="AI159" t="s">
        <v>125</v>
      </c>
      <c r="AJ159" t="s">
        <v>125</v>
      </c>
      <c r="AK159">
        <v>13.39</v>
      </c>
      <c r="AL159">
        <v>16.11</v>
      </c>
      <c r="AM159" t="s">
        <v>125</v>
      </c>
      <c r="AN159">
        <v>0.60003799999999996</v>
      </c>
      <c r="AO159">
        <v>60.003833999999998</v>
      </c>
      <c r="AP159">
        <v>100</v>
      </c>
      <c r="AQ159">
        <v>0.67798199999999997</v>
      </c>
      <c r="AR159">
        <v>67.798162000000005</v>
      </c>
      <c r="AS159">
        <v>100</v>
      </c>
      <c r="AT159">
        <v>0.66543799999999997</v>
      </c>
      <c r="AU159">
        <v>0.58468399999999998</v>
      </c>
      <c r="AV159">
        <v>66.543805000000006</v>
      </c>
      <c r="AW159">
        <v>100</v>
      </c>
      <c r="AX159">
        <v>0.56957400000000002</v>
      </c>
      <c r="AY159">
        <v>0.70249099999999998</v>
      </c>
      <c r="AZ159">
        <v>56.957439999999998</v>
      </c>
      <c r="BA159">
        <v>100</v>
      </c>
      <c r="BB159" t="s">
        <v>125</v>
      </c>
      <c r="BC159" t="s">
        <v>125</v>
      </c>
      <c r="BD159" t="s">
        <v>125</v>
      </c>
      <c r="BE159" t="s">
        <v>125</v>
      </c>
      <c r="BF159" t="s">
        <v>125</v>
      </c>
      <c r="BG159" t="s">
        <v>125</v>
      </c>
      <c r="BH159">
        <v>1</v>
      </c>
      <c r="BI159">
        <v>0.93846200000000002</v>
      </c>
      <c r="BJ159">
        <v>0.97435899999999998</v>
      </c>
      <c r="BK159">
        <v>0.92948699999999995</v>
      </c>
      <c r="BL159">
        <v>0.93846200000000002</v>
      </c>
      <c r="BM159">
        <v>0.97435899999999998</v>
      </c>
      <c r="BN159">
        <v>0.92948699999999995</v>
      </c>
      <c r="BO159">
        <v>0.91666700000000001</v>
      </c>
      <c r="BP159" t="s">
        <v>125</v>
      </c>
      <c r="BQ159">
        <v>0.92</v>
      </c>
      <c r="BR159">
        <v>2.6315999999999999E-2</v>
      </c>
      <c r="BS159">
        <v>50</v>
      </c>
      <c r="BT159">
        <v>50</v>
      </c>
      <c r="BU159">
        <v>4.0815999999999998E-2</v>
      </c>
      <c r="BV159">
        <v>50</v>
      </c>
      <c r="BW159">
        <v>50</v>
      </c>
      <c r="BX159" t="s">
        <v>125</v>
      </c>
      <c r="BY159" t="s">
        <v>125</v>
      </c>
      <c r="BZ159" t="s">
        <v>125</v>
      </c>
      <c r="CA159" t="s">
        <v>125</v>
      </c>
      <c r="CB159" t="s">
        <v>125</v>
      </c>
      <c r="CC159" t="s">
        <v>125</v>
      </c>
      <c r="CD159">
        <v>0.97058800000000001</v>
      </c>
      <c r="CE159">
        <v>50</v>
      </c>
      <c r="CF159">
        <v>50</v>
      </c>
      <c r="CG159" t="s">
        <v>125</v>
      </c>
      <c r="CH159" t="s">
        <v>125</v>
      </c>
      <c r="CI159" t="s">
        <v>125</v>
      </c>
      <c r="CJ159" t="s">
        <v>125</v>
      </c>
      <c r="CK159" t="s">
        <v>125</v>
      </c>
      <c r="CL159" t="s">
        <v>125</v>
      </c>
      <c r="CM159" t="s">
        <v>125</v>
      </c>
      <c r="CN159" t="s">
        <v>125</v>
      </c>
      <c r="CO159" t="s">
        <v>125</v>
      </c>
      <c r="CP159" t="s">
        <v>125</v>
      </c>
      <c r="CQ159">
        <v>0.484211</v>
      </c>
      <c r="CR159">
        <v>0.97938099999999995</v>
      </c>
      <c r="CS159">
        <v>32.280701999999998</v>
      </c>
      <c r="CT159">
        <v>50</v>
      </c>
      <c r="CU159" t="s">
        <v>125</v>
      </c>
      <c r="CV159" t="s">
        <v>125</v>
      </c>
      <c r="CW159" t="s">
        <v>125</v>
      </c>
      <c r="CX159" t="s">
        <v>125</v>
      </c>
      <c r="CY159" t="s">
        <v>125</v>
      </c>
      <c r="CZ159" t="s">
        <v>125</v>
      </c>
      <c r="DA159">
        <v>15.389535</v>
      </c>
      <c r="DB159">
        <v>17.608319000000002</v>
      </c>
      <c r="DC159">
        <v>16.064022999999999</v>
      </c>
      <c r="DD159" t="s">
        <v>125</v>
      </c>
      <c r="DE159" t="s">
        <v>125</v>
      </c>
      <c r="DJ159" t="s">
        <v>125</v>
      </c>
      <c r="DK159" t="s">
        <v>125</v>
      </c>
      <c r="DL159" t="s">
        <v>125</v>
      </c>
      <c r="DM159" t="s">
        <v>125</v>
      </c>
      <c r="DN159" t="s">
        <v>125</v>
      </c>
      <c r="DO159" t="s">
        <v>125</v>
      </c>
      <c r="DQ159" t="s">
        <v>126</v>
      </c>
    </row>
    <row r="160" spans="1:121" x14ac:dyDescent="0.15">
      <c r="A160">
        <v>2018</v>
      </c>
      <c r="B160" t="s">
        <v>282</v>
      </c>
      <c r="C160" t="str">
        <f>"1280011"</f>
        <v>1280011</v>
      </c>
      <c r="D160" t="s">
        <v>123</v>
      </c>
      <c r="E160" t="str">
        <f t="shared" si="0"/>
        <v>0000000</v>
      </c>
      <c r="F160" t="s">
        <v>123</v>
      </c>
      <c r="G160" t="s">
        <v>123</v>
      </c>
      <c r="H160" t="s">
        <v>123</v>
      </c>
      <c r="J160" t="s">
        <v>124</v>
      </c>
      <c r="K160">
        <v>1241.157459</v>
      </c>
      <c r="L160">
        <v>1450</v>
      </c>
      <c r="M160">
        <v>85.597065999999998</v>
      </c>
      <c r="N160" t="s">
        <v>125</v>
      </c>
      <c r="O160">
        <v>0</v>
      </c>
      <c r="P160">
        <v>80.883072999999996</v>
      </c>
      <c r="Q160">
        <v>50</v>
      </c>
      <c r="R160">
        <v>50</v>
      </c>
      <c r="S160">
        <v>68.058398999999994</v>
      </c>
      <c r="T160">
        <v>75</v>
      </c>
      <c r="U160">
        <v>45.372266000000003</v>
      </c>
      <c r="V160">
        <v>50</v>
      </c>
      <c r="W160">
        <v>74.486232999999999</v>
      </c>
      <c r="X160">
        <v>49.657488999999998</v>
      </c>
      <c r="Y160">
        <v>50</v>
      </c>
      <c r="Z160">
        <v>75</v>
      </c>
      <c r="AA160">
        <v>60.200360000000003</v>
      </c>
      <c r="AB160">
        <v>40.133572999999998</v>
      </c>
      <c r="AC160">
        <v>50</v>
      </c>
      <c r="AD160">
        <v>79.332431</v>
      </c>
      <c r="AE160">
        <v>50</v>
      </c>
      <c r="AF160">
        <v>50</v>
      </c>
      <c r="AG160">
        <v>63.341982000000002</v>
      </c>
      <c r="AH160">
        <v>75</v>
      </c>
      <c r="AI160">
        <v>42.227988000000003</v>
      </c>
      <c r="AJ160">
        <v>50</v>
      </c>
      <c r="AK160">
        <v>6.94</v>
      </c>
      <c r="AL160">
        <v>14.79</v>
      </c>
      <c r="AM160">
        <v>11.65</v>
      </c>
      <c r="AN160">
        <v>0.69531100000000001</v>
      </c>
      <c r="AO160">
        <v>69.531121999999996</v>
      </c>
      <c r="AP160">
        <v>100</v>
      </c>
      <c r="AQ160">
        <v>0.72036699999999998</v>
      </c>
      <c r="AR160">
        <v>72.036732000000001</v>
      </c>
      <c r="AS160">
        <v>100</v>
      </c>
      <c r="AT160">
        <v>0.60814400000000002</v>
      </c>
      <c r="AU160">
        <v>0.72313400000000005</v>
      </c>
      <c r="AV160">
        <v>60.814447999999999</v>
      </c>
      <c r="AW160">
        <v>100</v>
      </c>
      <c r="AX160">
        <v>0.62035600000000002</v>
      </c>
      <c r="AY160">
        <v>0.75222699999999998</v>
      </c>
      <c r="AZ160">
        <v>62.035561000000001</v>
      </c>
      <c r="BA160">
        <v>100</v>
      </c>
      <c r="BB160">
        <v>0.87959200000000004</v>
      </c>
      <c r="BC160">
        <v>43.979576999999999</v>
      </c>
      <c r="BD160">
        <v>50</v>
      </c>
      <c r="BE160">
        <v>0.74754200000000004</v>
      </c>
      <c r="BF160">
        <v>37.377124999999999</v>
      </c>
      <c r="BG160">
        <v>50</v>
      </c>
      <c r="BH160">
        <v>0</v>
      </c>
      <c r="BI160">
        <v>0.99013200000000001</v>
      </c>
      <c r="BJ160">
        <v>0.96750899999999995</v>
      </c>
      <c r="BK160">
        <v>0.99809400000000004</v>
      </c>
      <c r="BL160">
        <v>0.99060199999999998</v>
      </c>
      <c r="BM160">
        <v>0.96750899999999995</v>
      </c>
      <c r="BN160">
        <v>0.99872899999999998</v>
      </c>
      <c r="BO160">
        <v>0.99166699999999997</v>
      </c>
      <c r="BP160">
        <v>0.96956500000000001</v>
      </c>
      <c r="BQ160">
        <v>0.99863000000000002</v>
      </c>
      <c r="BR160">
        <v>5.8838000000000001E-2</v>
      </c>
      <c r="BS160">
        <v>48.232385999999998</v>
      </c>
      <c r="BT160">
        <v>50</v>
      </c>
      <c r="BU160">
        <v>0.114481</v>
      </c>
      <c r="BV160">
        <v>37.103718000000001</v>
      </c>
      <c r="BW160">
        <v>50</v>
      </c>
      <c r="BX160">
        <v>0.83244700000000005</v>
      </c>
      <c r="BY160">
        <v>50</v>
      </c>
      <c r="BZ160">
        <v>50</v>
      </c>
      <c r="CA160">
        <v>0.71808499999999997</v>
      </c>
      <c r="CB160">
        <v>47.872340000000001</v>
      </c>
      <c r="CC160">
        <v>50</v>
      </c>
      <c r="CD160">
        <v>0.98494000000000004</v>
      </c>
      <c r="CE160">
        <v>50</v>
      </c>
      <c r="CF160">
        <v>50</v>
      </c>
      <c r="CG160">
        <v>0.94186000000000003</v>
      </c>
      <c r="CH160">
        <v>100</v>
      </c>
      <c r="CI160">
        <v>100</v>
      </c>
      <c r="CJ160">
        <v>0</v>
      </c>
      <c r="CK160">
        <v>0.95</v>
      </c>
      <c r="CL160">
        <v>100</v>
      </c>
      <c r="CM160">
        <v>100</v>
      </c>
      <c r="CN160">
        <v>0.83199999999999996</v>
      </c>
      <c r="CO160">
        <v>100</v>
      </c>
      <c r="CP160">
        <v>100</v>
      </c>
      <c r="CQ160">
        <v>0.61711000000000005</v>
      </c>
      <c r="CR160">
        <v>0.95859899999999998</v>
      </c>
      <c r="CS160">
        <v>41.140642</v>
      </c>
      <c r="CT160">
        <v>50</v>
      </c>
      <c r="CU160">
        <v>0.52371000000000001</v>
      </c>
      <c r="CV160">
        <v>43.642491999999997</v>
      </c>
      <c r="CW160">
        <v>50</v>
      </c>
      <c r="CX160">
        <v>0.95</v>
      </c>
      <c r="CY160">
        <v>0.94</v>
      </c>
      <c r="CZ160">
        <v>-0.01</v>
      </c>
      <c r="DA160">
        <v>15.389535</v>
      </c>
      <c r="DB160">
        <v>17.608319000000002</v>
      </c>
      <c r="DC160">
        <v>16.064022999999999</v>
      </c>
      <c r="DD160">
        <v>11.115401</v>
      </c>
      <c r="DE160" t="s">
        <v>125</v>
      </c>
      <c r="DJ160" t="s">
        <v>125</v>
      </c>
      <c r="DK160" t="s">
        <v>125</v>
      </c>
      <c r="DL160" t="s">
        <v>125</v>
      </c>
      <c r="DM160" t="s">
        <v>125</v>
      </c>
      <c r="DN160" t="s">
        <v>125</v>
      </c>
      <c r="DO160" t="s">
        <v>125</v>
      </c>
      <c r="DQ160" t="s">
        <v>126</v>
      </c>
    </row>
    <row r="161" spans="1:121" x14ac:dyDescent="0.15">
      <c r="A161">
        <v>2018</v>
      </c>
      <c r="B161" t="s">
        <v>283</v>
      </c>
      <c r="C161" t="str">
        <f>"1290011"</f>
        <v>1290011</v>
      </c>
      <c r="D161" t="s">
        <v>123</v>
      </c>
      <c r="E161" t="str">
        <f t="shared" si="0"/>
        <v>0000000</v>
      </c>
      <c r="F161" t="s">
        <v>123</v>
      </c>
      <c r="G161" t="s">
        <v>123</v>
      </c>
      <c r="H161" t="s">
        <v>123</v>
      </c>
      <c r="J161" t="s">
        <v>124</v>
      </c>
      <c r="K161">
        <v>1035.839489</v>
      </c>
      <c r="L161">
        <v>1350</v>
      </c>
      <c r="M161">
        <v>76.728851000000006</v>
      </c>
      <c r="N161" t="s">
        <v>125</v>
      </c>
      <c r="O161">
        <v>1</v>
      </c>
      <c r="P161">
        <v>69.665805000000006</v>
      </c>
      <c r="Q161">
        <v>46.443869999999997</v>
      </c>
      <c r="R161">
        <v>50</v>
      </c>
      <c r="S161">
        <v>55.025759999999998</v>
      </c>
      <c r="T161">
        <v>73.603089999999995</v>
      </c>
      <c r="U161">
        <v>36.683839999999996</v>
      </c>
      <c r="V161">
        <v>50</v>
      </c>
      <c r="W161">
        <v>66.143050000000002</v>
      </c>
      <c r="X161">
        <v>44.095367000000003</v>
      </c>
      <c r="Y161">
        <v>50</v>
      </c>
      <c r="Z161">
        <v>69.884992999999994</v>
      </c>
      <c r="AA161">
        <v>52.378979999999999</v>
      </c>
      <c r="AB161">
        <v>34.919319999999999</v>
      </c>
      <c r="AC161">
        <v>50</v>
      </c>
      <c r="AD161">
        <v>66.373249000000001</v>
      </c>
      <c r="AE161">
        <v>44.248832</v>
      </c>
      <c r="AF161">
        <v>50</v>
      </c>
      <c r="AG161">
        <v>56.737323000000004</v>
      </c>
      <c r="AH161">
        <v>68.693008000000006</v>
      </c>
      <c r="AI161">
        <v>37.824882000000002</v>
      </c>
      <c r="AJ161">
        <v>50</v>
      </c>
      <c r="AK161">
        <v>18.57</v>
      </c>
      <c r="AL161">
        <v>17.5</v>
      </c>
      <c r="AM161">
        <v>11.95</v>
      </c>
      <c r="AN161">
        <v>0.59381700000000004</v>
      </c>
      <c r="AO161">
        <v>59.381701999999997</v>
      </c>
      <c r="AP161">
        <v>100</v>
      </c>
      <c r="AQ161">
        <v>0.69848399999999999</v>
      </c>
      <c r="AR161">
        <v>69.848446999999993</v>
      </c>
      <c r="AS161">
        <v>100</v>
      </c>
      <c r="AT161">
        <v>0.53290000000000004</v>
      </c>
      <c r="AU161">
        <v>0.610402</v>
      </c>
      <c r="AV161">
        <v>53.289994</v>
      </c>
      <c r="AW161">
        <v>100</v>
      </c>
      <c r="AX161">
        <v>0.67876800000000004</v>
      </c>
      <c r="AY161">
        <v>0.70390900000000001</v>
      </c>
      <c r="AZ161">
        <v>67.876828000000003</v>
      </c>
      <c r="BA161">
        <v>100</v>
      </c>
      <c r="BB161" t="s">
        <v>125</v>
      </c>
      <c r="BC161" t="s">
        <v>125</v>
      </c>
      <c r="BD161" t="s">
        <v>125</v>
      </c>
      <c r="BE161" t="s">
        <v>125</v>
      </c>
      <c r="BF161" t="s">
        <v>125</v>
      </c>
      <c r="BG161" t="s">
        <v>125</v>
      </c>
      <c r="BH161">
        <v>1</v>
      </c>
      <c r="BI161">
        <v>0.96213199999999999</v>
      </c>
      <c r="BJ161">
        <v>0.95</v>
      </c>
      <c r="BK161">
        <v>0.965642</v>
      </c>
      <c r="BL161">
        <v>0.95938400000000001</v>
      </c>
      <c r="BM161">
        <v>0.95031100000000002</v>
      </c>
      <c r="BN161">
        <v>0.96202500000000002</v>
      </c>
      <c r="BO161">
        <v>0.91059599999999996</v>
      </c>
      <c r="BP161">
        <v>0.86153800000000003</v>
      </c>
      <c r="BQ161">
        <v>0.92405099999999996</v>
      </c>
      <c r="BR161">
        <v>0.12593099999999999</v>
      </c>
      <c r="BS161">
        <v>34.813710999999998</v>
      </c>
      <c r="BT161">
        <v>50</v>
      </c>
      <c r="BU161">
        <v>0.222222</v>
      </c>
      <c r="BV161">
        <v>15.555555999999999</v>
      </c>
      <c r="BW161">
        <v>50</v>
      </c>
      <c r="BX161">
        <v>0.77586200000000005</v>
      </c>
      <c r="BY161">
        <v>50</v>
      </c>
      <c r="BZ161">
        <v>50</v>
      </c>
      <c r="CA161">
        <v>0.46982800000000002</v>
      </c>
      <c r="CB161">
        <v>31.321839000000001</v>
      </c>
      <c r="CC161">
        <v>50</v>
      </c>
      <c r="CD161">
        <v>0.572052</v>
      </c>
      <c r="CE161">
        <v>30.428318999999998</v>
      </c>
      <c r="CF161">
        <v>50</v>
      </c>
      <c r="CG161">
        <v>0.965812</v>
      </c>
      <c r="CH161">
        <v>100</v>
      </c>
      <c r="CI161">
        <v>100</v>
      </c>
      <c r="CJ161">
        <v>0</v>
      </c>
      <c r="CK161">
        <v>0.87096799999999996</v>
      </c>
      <c r="CL161">
        <v>92.656143</v>
      </c>
      <c r="CM161">
        <v>100</v>
      </c>
      <c r="CN161">
        <v>0.82599999999999996</v>
      </c>
      <c r="CO161">
        <v>100</v>
      </c>
      <c r="CP161">
        <v>100</v>
      </c>
      <c r="CQ161">
        <v>0.546763</v>
      </c>
      <c r="CR161">
        <v>0.95205499999999998</v>
      </c>
      <c r="CS161">
        <v>36.450839000000002</v>
      </c>
      <c r="CT161">
        <v>50</v>
      </c>
      <c r="CU161">
        <v>0.77155200000000002</v>
      </c>
      <c r="CV161">
        <v>50</v>
      </c>
      <c r="CW161">
        <v>50</v>
      </c>
      <c r="CX161">
        <v>0.87096799999999996</v>
      </c>
      <c r="CY161">
        <v>0.94</v>
      </c>
      <c r="CZ161">
        <v>6.9031999999999996E-2</v>
      </c>
      <c r="DA161">
        <v>15.389535</v>
      </c>
      <c r="DB161">
        <v>17.608319000000002</v>
      </c>
      <c r="DC161">
        <v>16.064022999999999</v>
      </c>
      <c r="DD161">
        <v>11.115401</v>
      </c>
      <c r="DE161" t="s">
        <v>125</v>
      </c>
      <c r="DJ161" t="s">
        <v>125</v>
      </c>
      <c r="DK161" t="s">
        <v>125</v>
      </c>
      <c r="DL161" t="s">
        <v>125</v>
      </c>
      <c r="DM161" t="s">
        <v>125</v>
      </c>
      <c r="DN161" t="s">
        <v>125</v>
      </c>
      <c r="DO161" t="s">
        <v>125</v>
      </c>
      <c r="DQ161" t="s">
        <v>126</v>
      </c>
    </row>
    <row r="162" spans="1:121" x14ac:dyDescent="0.15">
      <c r="A162">
        <v>2018</v>
      </c>
      <c r="B162" t="s">
        <v>284</v>
      </c>
      <c r="C162" t="str">
        <f>"1310011"</f>
        <v>1310011</v>
      </c>
      <c r="D162" t="s">
        <v>123</v>
      </c>
      <c r="E162" t="str">
        <f t="shared" si="0"/>
        <v>0000000</v>
      </c>
      <c r="F162" t="s">
        <v>123</v>
      </c>
      <c r="G162" t="s">
        <v>123</v>
      </c>
      <c r="H162" t="s">
        <v>123</v>
      </c>
      <c r="J162" t="s">
        <v>124</v>
      </c>
      <c r="K162">
        <v>1161.1803669999999</v>
      </c>
      <c r="L162">
        <v>1450</v>
      </c>
      <c r="M162">
        <v>80.081405000000004</v>
      </c>
      <c r="N162" t="s">
        <v>125</v>
      </c>
      <c r="O162">
        <v>0</v>
      </c>
      <c r="P162">
        <v>72.725274999999996</v>
      </c>
      <c r="Q162">
        <v>48.483516999999999</v>
      </c>
      <c r="R162">
        <v>50</v>
      </c>
      <c r="S162">
        <v>62.829107999999998</v>
      </c>
      <c r="T162">
        <v>75</v>
      </c>
      <c r="U162">
        <v>41.886071999999999</v>
      </c>
      <c r="V162">
        <v>50</v>
      </c>
      <c r="W162">
        <v>69.714535999999995</v>
      </c>
      <c r="X162">
        <v>46.476357</v>
      </c>
      <c r="Y162">
        <v>50</v>
      </c>
      <c r="Z162">
        <v>74.779109000000005</v>
      </c>
      <c r="AA162">
        <v>59.008175999999999</v>
      </c>
      <c r="AB162">
        <v>39.338783999999997</v>
      </c>
      <c r="AC162">
        <v>50</v>
      </c>
      <c r="AD162">
        <v>69.975900999999993</v>
      </c>
      <c r="AE162">
        <v>46.650601000000002</v>
      </c>
      <c r="AF162">
        <v>50</v>
      </c>
      <c r="AG162">
        <v>61.166874</v>
      </c>
      <c r="AH162">
        <v>73.757057000000003</v>
      </c>
      <c r="AI162">
        <v>40.777915999999998</v>
      </c>
      <c r="AJ162">
        <v>50</v>
      </c>
      <c r="AK162">
        <v>12.17</v>
      </c>
      <c r="AL162">
        <v>15.77</v>
      </c>
      <c r="AM162">
        <v>12.59</v>
      </c>
      <c r="AN162">
        <v>0.60618499999999997</v>
      </c>
      <c r="AO162">
        <v>60.618501999999999</v>
      </c>
      <c r="AP162">
        <v>100</v>
      </c>
      <c r="AQ162">
        <v>0.66726799999999997</v>
      </c>
      <c r="AR162">
        <v>66.726769000000004</v>
      </c>
      <c r="AS162">
        <v>100</v>
      </c>
      <c r="AT162">
        <v>0.58010499999999998</v>
      </c>
      <c r="AU162">
        <v>0.61813399999999996</v>
      </c>
      <c r="AV162">
        <v>58.010547000000003</v>
      </c>
      <c r="AW162">
        <v>100</v>
      </c>
      <c r="AX162">
        <v>0.61039399999999999</v>
      </c>
      <c r="AY162">
        <v>0.69330700000000001</v>
      </c>
      <c r="AZ162">
        <v>61.039416000000003</v>
      </c>
      <c r="BA162">
        <v>100</v>
      </c>
      <c r="BB162">
        <v>0.81320499999999996</v>
      </c>
      <c r="BC162">
        <v>40.660259000000003</v>
      </c>
      <c r="BD162">
        <v>50</v>
      </c>
      <c r="BE162">
        <v>0.61770199999999997</v>
      </c>
      <c r="BF162">
        <v>30.885083999999999</v>
      </c>
      <c r="BG162">
        <v>50</v>
      </c>
      <c r="BH162">
        <v>1</v>
      </c>
      <c r="BI162">
        <v>0.986842</v>
      </c>
      <c r="BJ162">
        <v>0.97506400000000004</v>
      </c>
      <c r="BK162">
        <v>0.99271299999999996</v>
      </c>
      <c r="BL162">
        <v>0.98598399999999997</v>
      </c>
      <c r="BM162">
        <v>0.97248500000000004</v>
      </c>
      <c r="BN162">
        <v>0.99271299999999996</v>
      </c>
      <c r="BO162">
        <v>0.97560999999999998</v>
      </c>
      <c r="BP162">
        <v>0.94684999999999997</v>
      </c>
      <c r="BQ162">
        <v>0.98900100000000002</v>
      </c>
      <c r="BR162">
        <v>6.4003000000000004E-2</v>
      </c>
      <c r="BS162">
        <v>47.199491000000002</v>
      </c>
      <c r="BT162">
        <v>50</v>
      </c>
      <c r="BU162">
        <v>0.13336600000000001</v>
      </c>
      <c r="BV162">
        <v>33.326867</v>
      </c>
      <c r="BW162">
        <v>50</v>
      </c>
      <c r="BX162">
        <v>0.98033400000000004</v>
      </c>
      <c r="BY162">
        <v>50</v>
      </c>
      <c r="BZ162">
        <v>50</v>
      </c>
      <c r="CA162">
        <v>0.52802400000000005</v>
      </c>
      <c r="CB162">
        <v>35.201573000000003</v>
      </c>
      <c r="CC162">
        <v>50</v>
      </c>
      <c r="CD162">
        <v>0.950739</v>
      </c>
      <c r="CE162">
        <v>50</v>
      </c>
      <c r="CF162">
        <v>50</v>
      </c>
      <c r="CG162">
        <v>0.94095899999999999</v>
      </c>
      <c r="CH162">
        <v>100</v>
      </c>
      <c r="CI162">
        <v>100</v>
      </c>
      <c r="CJ162">
        <v>0</v>
      </c>
      <c r="CK162">
        <v>0.89436599999999999</v>
      </c>
      <c r="CL162">
        <v>95.145340000000004</v>
      </c>
      <c r="CM162">
        <v>100</v>
      </c>
      <c r="CN162">
        <v>0.77</v>
      </c>
      <c r="CO162">
        <v>100</v>
      </c>
      <c r="CP162">
        <v>100</v>
      </c>
      <c r="CQ162">
        <v>0.57858600000000004</v>
      </c>
      <c r="CR162">
        <v>0.92307700000000004</v>
      </c>
      <c r="CS162">
        <v>38.572432999999997</v>
      </c>
      <c r="CT162">
        <v>50</v>
      </c>
      <c r="CU162">
        <v>0.36216999999999999</v>
      </c>
      <c r="CV162">
        <v>30.180841000000001</v>
      </c>
      <c r="CW162">
        <v>50</v>
      </c>
      <c r="CX162">
        <v>0.89436599999999999</v>
      </c>
      <c r="CY162">
        <v>0.94</v>
      </c>
      <c r="CZ162">
        <v>4.5634000000000001E-2</v>
      </c>
      <c r="DA162">
        <v>15.389535</v>
      </c>
      <c r="DB162">
        <v>17.608319000000002</v>
      </c>
      <c r="DC162">
        <v>16.064022999999999</v>
      </c>
      <c r="DD162">
        <v>11.115401</v>
      </c>
      <c r="DE162" t="s">
        <v>125</v>
      </c>
      <c r="DJ162" t="s">
        <v>125</v>
      </c>
      <c r="DK162" t="s">
        <v>125</v>
      </c>
      <c r="DL162" t="s">
        <v>125</v>
      </c>
      <c r="DM162" t="s">
        <v>125</v>
      </c>
      <c r="DN162" t="s">
        <v>125</v>
      </c>
      <c r="DO162" t="s">
        <v>125</v>
      </c>
      <c r="DQ162" t="s">
        <v>126</v>
      </c>
    </row>
    <row r="163" spans="1:121" x14ac:dyDescent="0.15">
      <c r="A163">
        <v>2018</v>
      </c>
      <c r="B163" t="s">
        <v>285</v>
      </c>
      <c r="C163" t="str">
        <f>"0620011"</f>
        <v>0620011</v>
      </c>
      <c r="D163" t="s">
        <v>123</v>
      </c>
      <c r="E163" t="str">
        <f t="shared" si="0"/>
        <v>0000000</v>
      </c>
      <c r="F163" t="s">
        <v>123</v>
      </c>
      <c r="G163" t="s">
        <v>123</v>
      </c>
      <c r="H163" t="s">
        <v>123</v>
      </c>
      <c r="J163" t="s">
        <v>124</v>
      </c>
      <c r="K163">
        <v>1030.9541529999999</v>
      </c>
      <c r="L163">
        <v>1450</v>
      </c>
      <c r="M163">
        <v>71.100285999999997</v>
      </c>
      <c r="N163" t="s">
        <v>125</v>
      </c>
      <c r="O163">
        <v>1</v>
      </c>
      <c r="P163">
        <v>64.858880999999997</v>
      </c>
      <c r="Q163">
        <v>43.239254000000003</v>
      </c>
      <c r="R163">
        <v>50</v>
      </c>
      <c r="S163">
        <v>56.310541000000001</v>
      </c>
      <c r="T163">
        <v>75</v>
      </c>
      <c r="U163">
        <v>37.540360999999997</v>
      </c>
      <c r="V163">
        <v>50</v>
      </c>
      <c r="W163">
        <v>61.826860000000003</v>
      </c>
      <c r="X163">
        <v>41.217906999999997</v>
      </c>
      <c r="Y163">
        <v>50</v>
      </c>
      <c r="Z163">
        <v>73.235121000000007</v>
      </c>
      <c r="AA163">
        <v>52.860624000000001</v>
      </c>
      <c r="AB163">
        <v>35.240416000000003</v>
      </c>
      <c r="AC163">
        <v>50</v>
      </c>
      <c r="AD163">
        <v>57.424444999999999</v>
      </c>
      <c r="AE163">
        <v>38.282963000000002</v>
      </c>
      <c r="AF163">
        <v>50</v>
      </c>
      <c r="AG163">
        <v>50.151100999999997</v>
      </c>
      <c r="AH163">
        <v>66.073111999999995</v>
      </c>
      <c r="AI163">
        <v>33.434066999999999</v>
      </c>
      <c r="AJ163">
        <v>50</v>
      </c>
      <c r="AK163">
        <v>18.68</v>
      </c>
      <c r="AL163">
        <v>20.37</v>
      </c>
      <c r="AM163">
        <v>15.92</v>
      </c>
      <c r="AN163">
        <v>0.52217400000000003</v>
      </c>
      <c r="AO163">
        <v>52.217382000000001</v>
      </c>
      <c r="AP163">
        <v>100</v>
      </c>
      <c r="AQ163">
        <v>0.61888500000000002</v>
      </c>
      <c r="AR163">
        <v>61.888536000000002</v>
      </c>
      <c r="AS163">
        <v>100</v>
      </c>
      <c r="AT163">
        <v>0.48310799999999998</v>
      </c>
      <c r="AU163">
        <v>0.56808999999999998</v>
      </c>
      <c r="AV163">
        <v>48.310757000000002</v>
      </c>
      <c r="AW163">
        <v>100</v>
      </c>
      <c r="AX163">
        <v>0.57355400000000001</v>
      </c>
      <c r="AY163">
        <v>0.67185799999999996</v>
      </c>
      <c r="AZ163">
        <v>57.355387999999998</v>
      </c>
      <c r="BA163">
        <v>100</v>
      </c>
      <c r="BB163">
        <v>0.627027</v>
      </c>
      <c r="BC163">
        <v>31.351347000000001</v>
      </c>
      <c r="BD163">
        <v>50</v>
      </c>
      <c r="BE163">
        <v>0.52581800000000001</v>
      </c>
      <c r="BF163">
        <v>26.290914999999998</v>
      </c>
      <c r="BG163">
        <v>50</v>
      </c>
      <c r="BH163">
        <v>1</v>
      </c>
      <c r="BI163">
        <v>0.97757700000000003</v>
      </c>
      <c r="BJ163">
        <v>0.97262700000000002</v>
      </c>
      <c r="BK163">
        <v>0.98426400000000003</v>
      </c>
      <c r="BL163">
        <v>0.97791899999999998</v>
      </c>
      <c r="BM163">
        <v>0.97322500000000001</v>
      </c>
      <c r="BN163">
        <v>0.98426400000000003</v>
      </c>
      <c r="BO163">
        <v>0.959449</v>
      </c>
      <c r="BP163">
        <v>0.94572599999999996</v>
      </c>
      <c r="BQ163">
        <v>0.97719299999999998</v>
      </c>
      <c r="BR163">
        <v>0.14736399999999999</v>
      </c>
      <c r="BS163">
        <v>30.527111000000001</v>
      </c>
      <c r="BT163">
        <v>50</v>
      </c>
      <c r="BU163">
        <v>0.20330400000000001</v>
      </c>
      <c r="BV163">
        <v>19.339176999999999</v>
      </c>
      <c r="BW163">
        <v>50</v>
      </c>
      <c r="BX163">
        <v>0.72636800000000001</v>
      </c>
      <c r="BY163">
        <v>48.424543999999997</v>
      </c>
      <c r="BZ163">
        <v>50</v>
      </c>
      <c r="CA163">
        <v>0.31343300000000002</v>
      </c>
      <c r="CB163">
        <v>20.895522</v>
      </c>
      <c r="CC163">
        <v>50</v>
      </c>
      <c r="CD163">
        <v>0.893316</v>
      </c>
      <c r="CE163">
        <v>47.516818999999998</v>
      </c>
      <c r="CF163">
        <v>50</v>
      </c>
      <c r="CG163">
        <v>0.86605100000000002</v>
      </c>
      <c r="CH163">
        <v>92.133065000000002</v>
      </c>
      <c r="CI163">
        <v>100</v>
      </c>
      <c r="CJ163">
        <v>0</v>
      </c>
      <c r="CK163">
        <v>0.86530600000000002</v>
      </c>
      <c r="CL163">
        <v>92.053843000000001</v>
      </c>
      <c r="CM163">
        <v>100</v>
      </c>
      <c r="CN163">
        <v>0.76900000000000002</v>
      </c>
      <c r="CO163">
        <v>100</v>
      </c>
      <c r="CP163">
        <v>100</v>
      </c>
      <c r="CQ163">
        <v>0.37856699999999999</v>
      </c>
      <c r="CR163">
        <v>0.91686000000000001</v>
      </c>
      <c r="CS163">
        <v>25.237793</v>
      </c>
      <c r="CT163">
        <v>50</v>
      </c>
      <c r="CU163">
        <v>0.581484</v>
      </c>
      <c r="CV163">
        <v>48.456986000000001</v>
      </c>
      <c r="CW163">
        <v>50</v>
      </c>
      <c r="CX163">
        <v>0.86530600000000002</v>
      </c>
      <c r="CY163">
        <v>0.94</v>
      </c>
      <c r="CZ163">
        <v>7.4693999999999997E-2</v>
      </c>
      <c r="DA163">
        <v>15.389535</v>
      </c>
      <c r="DB163">
        <v>17.608319000000002</v>
      </c>
      <c r="DC163">
        <v>16.064022999999999</v>
      </c>
      <c r="DD163">
        <v>11.115401</v>
      </c>
      <c r="DE163" t="s">
        <v>125</v>
      </c>
      <c r="DJ163" t="s">
        <v>125</v>
      </c>
      <c r="DK163" t="s">
        <v>125</v>
      </c>
      <c r="DL163" t="s">
        <v>125</v>
      </c>
      <c r="DM163" t="s">
        <v>125</v>
      </c>
      <c r="DN163" t="s">
        <v>125</v>
      </c>
      <c r="DO163" t="s">
        <v>125</v>
      </c>
      <c r="DQ163" t="s">
        <v>126</v>
      </c>
    </row>
    <row r="164" spans="1:121" x14ac:dyDescent="0.15">
      <c r="A164">
        <v>2018</v>
      </c>
      <c r="B164" t="s">
        <v>286</v>
      </c>
      <c r="C164" t="str">
        <f>"0630011"</f>
        <v>0630011</v>
      </c>
      <c r="D164" t="s">
        <v>123</v>
      </c>
      <c r="E164" t="str">
        <f t="shared" si="0"/>
        <v>0000000</v>
      </c>
      <c r="F164" t="s">
        <v>123</v>
      </c>
      <c r="G164" t="s">
        <v>123</v>
      </c>
      <c r="H164" t="s">
        <v>123</v>
      </c>
      <c r="J164" t="s">
        <v>124</v>
      </c>
      <c r="K164">
        <v>407.75715700000001</v>
      </c>
      <c r="L164">
        <v>550</v>
      </c>
      <c r="M164">
        <v>74.137664999999998</v>
      </c>
      <c r="N164" t="s">
        <v>125</v>
      </c>
      <c r="O164">
        <v>0</v>
      </c>
      <c r="P164">
        <v>70.220408000000006</v>
      </c>
      <c r="Q164">
        <v>46.813605000000003</v>
      </c>
      <c r="R164">
        <v>50</v>
      </c>
      <c r="S164">
        <v>62.535428000000003</v>
      </c>
      <c r="T164">
        <v>75</v>
      </c>
      <c r="U164">
        <v>41.690285000000003</v>
      </c>
      <c r="V164">
        <v>50</v>
      </c>
      <c r="W164">
        <v>65.945099999999996</v>
      </c>
      <c r="X164">
        <v>43.9634</v>
      </c>
      <c r="Y164">
        <v>50</v>
      </c>
      <c r="Z164">
        <v>71.644001000000003</v>
      </c>
      <c r="AA164">
        <v>58.821474000000002</v>
      </c>
      <c r="AB164">
        <v>39.214315999999997</v>
      </c>
      <c r="AC164">
        <v>50</v>
      </c>
      <c r="AD164" t="s">
        <v>125</v>
      </c>
      <c r="AE164" t="s">
        <v>125</v>
      </c>
      <c r="AF164" t="s">
        <v>125</v>
      </c>
      <c r="AG164" t="s">
        <v>125</v>
      </c>
      <c r="AH164" t="s">
        <v>125</v>
      </c>
      <c r="AI164" t="s">
        <v>125</v>
      </c>
      <c r="AJ164" t="s">
        <v>125</v>
      </c>
      <c r="AK164">
        <v>12.46</v>
      </c>
      <c r="AL164">
        <v>12.82</v>
      </c>
      <c r="AM164" t="s">
        <v>125</v>
      </c>
      <c r="AN164">
        <v>0.60131400000000002</v>
      </c>
      <c r="AO164">
        <v>60.131445999999997</v>
      </c>
      <c r="AP164">
        <v>100</v>
      </c>
      <c r="AQ164">
        <v>0.74486699999999995</v>
      </c>
      <c r="AR164">
        <v>74.486673999999994</v>
      </c>
      <c r="AS164">
        <v>100</v>
      </c>
      <c r="AT164" t="s">
        <v>125</v>
      </c>
      <c r="AU164" t="s">
        <v>125</v>
      </c>
      <c r="AV164" t="s">
        <v>125</v>
      </c>
      <c r="AW164" t="s">
        <v>125</v>
      </c>
      <c r="AX164" t="s">
        <v>125</v>
      </c>
      <c r="AY164" t="s">
        <v>125</v>
      </c>
      <c r="AZ164" t="s">
        <v>125</v>
      </c>
      <c r="BA164" t="s">
        <v>125</v>
      </c>
      <c r="BB164" t="s">
        <v>125</v>
      </c>
      <c r="BC164" t="s">
        <v>125</v>
      </c>
      <c r="BD164" t="s">
        <v>125</v>
      </c>
      <c r="BE164" t="s">
        <v>125</v>
      </c>
      <c r="BF164" t="s">
        <v>125</v>
      </c>
      <c r="BG164" t="s">
        <v>125</v>
      </c>
      <c r="BH164">
        <v>0</v>
      </c>
      <c r="BI164">
        <v>0.97916700000000001</v>
      </c>
      <c r="BJ164">
        <v>0.95652199999999998</v>
      </c>
      <c r="BK164">
        <v>1</v>
      </c>
      <c r="BL164">
        <v>0.97916700000000001</v>
      </c>
      <c r="BM164">
        <v>0.95652199999999998</v>
      </c>
      <c r="BN164">
        <v>1</v>
      </c>
      <c r="BO164" t="s">
        <v>125</v>
      </c>
      <c r="BP164" t="s">
        <v>125</v>
      </c>
      <c r="BQ164" t="s">
        <v>125</v>
      </c>
      <c r="BR164">
        <v>6.4935000000000007E-2</v>
      </c>
      <c r="BS164">
        <v>47.012987000000003</v>
      </c>
      <c r="BT164">
        <v>50</v>
      </c>
      <c r="BU164">
        <v>0.13888900000000001</v>
      </c>
      <c r="BV164">
        <v>32.222222000000002</v>
      </c>
      <c r="BW164">
        <v>50</v>
      </c>
      <c r="BX164" t="s">
        <v>125</v>
      </c>
      <c r="BY164" t="s">
        <v>125</v>
      </c>
      <c r="BZ164" t="s">
        <v>125</v>
      </c>
      <c r="CA164" t="s">
        <v>125</v>
      </c>
      <c r="CB164" t="s">
        <v>125</v>
      </c>
      <c r="CC164" t="s">
        <v>125</v>
      </c>
      <c r="CD164" t="s">
        <v>125</v>
      </c>
      <c r="CE164" t="s">
        <v>125</v>
      </c>
      <c r="CF164" t="s">
        <v>125</v>
      </c>
      <c r="CG164" t="s">
        <v>125</v>
      </c>
      <c r="CH164" t="s">
        <v>125</v>
      </c>
      <c r="CI164" t="s">
        <v>125</v>
      </c>
      <c r="CJ164" t="s">
        <v>125</v>
      </c>
      <c r="CK164" t="s">
        <v>125</v>
      </c>
      <c r="CL164" t="s">
        <v>125</v>
      </c>
      <c r="CM164" t="s">
        <v>125</v>
      </c>
      <c r="CN164" t="s">
        <v>125</v>
      </c>
      <c r="CO164" t="s">
        <v>125</v>
      </c>
      <c r="CP164" t="s">
        <v>125</v>
      </c>
      <c r="CQ164">
        <v>0.33333299999999999</v>
      </c>
      <c r="CR164">
        <v>0.96</v>
      </c>
      <c r="CS164">
        <v>22.222221999999999</v>
      </c>
      <c r="CT164">
        <v>50</v>
      </c>
      <c r="CU164" t="s">
        <v>125</v>
      </c>
      <c r="CV164" t="s">
        <v>125</v>
      </c>
      <c r="CW164" t="s">
        <v>125</v>
      </c>
      <c r="CX164" t="s">
        <v>125</v>
      </c>
      <c r="CY164" t="s">
        <v>125</v>
      </c>
      <c r="CZ164" t="s">
        <v>125</v>
      </c>
      <c r="DA164">
        <v>15.389535</v>
      </c>
      <c r="DB164">
        <v>17.608319000000002</v>
      </c>
      <c r="DC164">
        <v>16.064022999999999</v>
      </c>
      <c r="DD164" t="s">
        <v>125</v>
      </c>
      <c r="DE164" t="s">
        <v>125</v>
      </c>
      <c r="DJ164" t="s">
        <v>125</v>
      </c>
      <c r="DK164" t="s">
        <v>125</v>
      </c>
      <c r="DL164" t="s">
        <v>125</v>
      </c>
      <c r="DM164" t="s">
        <v>125</v>
      </c>
      <c r="DN164" t="s">
        <v>125</v>
      </c>
      <c r="DO164" t="s">
        <v>125</v>
      </c>
      <c r="DQ164" t="s">
        <v>126</v>
      </c>
    </row>
    <row r="165" spans="1:121" x14ac:dyDescent="0.15">
      <c r="A165">
        <v>2018</v>
      </c>
      <c r="B165" t="s">
        <v>287</v>
      </c>
      <c r="C165" t="str">
        <f>"0640011"</f>
        <v>0640011</v>
      </c>
      <c r="D165" t="s">
        <v>123</v>
      </c>
      <c r="E165" t="str">
        <f t="shared" si="0"/>
        <v>0000000</v>
      </c>
      <c r="F165" t="s">
        <v>123</v>
      </c>
      <c r="G165" t="s">
        <v>123</v>
      </c>
      <c r="H165" t="s">
        <v>123</v>
      </c>
      <c r="J165" t="s">
        <v>124</v>
      </c>
      <c r="K165">
        <v>868.82092299999999</v>
      </c>
      <c r="L165">
        <v>1450</v>
      </c>
      <c r="M165">
        <v>59.918683999999999</v>
      </c>
      <c r="N165" t="s">
        <v>125</v>
      </c>
      <c r="O165">
        <v>1</v>
      </c>
      <c r="P165">
        <v>52.656492</v>
      </c>
      <c r="Q165">
        <v>35.104328000000002</v>
      </c>
      <c r="R165">
        <v>50</v>
      </c>
      <c r="S165">
        <v>50.240341000000001</v>
      </c>
      <c r="T165">
        <v>67.724976999999996</v>
      </c>
      <c r="U165">
        <v>33.493561</v>
      </c>
      <c r="V165">
        <v>50</v>
      </c>
      <c r="W165">
        <v>47.269765999999997</v>
      </c>
      <c r="X165">
        <v>31.513176999999999</v>
      </c>
      <c r="Y165">
        <v>50</v>
      </c>
      <c r="Z165">
        <v>62.652174000000002</v>
      </c>
      <c r="AA165">
        <v>44.785836000000003</v>
      </c>
      <c r="AB165">
        <v>29.857223999999999</v>
      </c>
      <c r="AC165">
        <v>50</v>
      </c>
      <c r="AD165">
        <v>50.882775000000002</v>
      </c>
      <c r="AE165">
        <v>33.921849999999999</v>
      </c>
      <c r="AF165">
        <v>50</v>
      </c>
      <c r="AG165">
        <v>48.647747000000003</v>
      </c>
      <c r="AH165">
        <v>63.378613999999999</v>
      </c>
      <c r="AI165">
        <v>32.431831000000003</v>
      </c>
      <c r="AJ165">
        <v>50</v>
      </c>
      <c r="AK165">
        <v>17.48</v>
      </c>
      <c r="AL165">
        <v>17.86</v>
      </c>
      <c r="AM165">
        <v>14.73</v>
      </c>
      <c r="AN165">
        <v>0.514436</v>
      </c>
      <c r="AO165">
        <v>51.443564000000002</v>
      </c>
      <c r="AP165">
        <v>100</v>
      </c>
      <c r="AQ165">
        <v>0.48930899999999999</v>
      </c>
      <c r="AR165">
        <v>48.930855999999999</v>
      </c>
      <c r="AS165">
        <v>100</v>
      </c>
      <c r="AT165">
        <v>0.50714800000000004</v>
      </c>
      <c r="AU165">
        <v>0.56537599999999999</v>
      </c>
      <c r="AV165">
        <v>50.714843999999999</v>
      </c>
      <c r="AW165">
        <v>100</v>
      </c>
      <c r="AX165">
        <v>0.48054000000000002</v>
      </c>
      <c r="AY165">
        <v>0.55025800000000002</v>
      </c>
      <c r="AZ165">
        <v>48.053953999999997</v>
      </c>
      <c r="BA165">
        <v>100</v>
      </c>
      <c r="BB165">
        <v>0.51885499999999996</v>
      </c>
      <c r="BC165">
        <v>25.942743</v>
      </c>
      <c r="BD165">
        <v>50</v>
      </c>
      <c r="BE165">
        <v>0.44502000000000003</v>
      </c>
      <c r="BF165">
        <v>22.251004999999999</v>
      </c>
      <c r="BG165">
        <v>50</v>
      </c>
      <c r="BH165">
        <v>0</v>
      </c>
      <c r="BI165">
        <v>0.97635300000000003</v>
      </c>
      <c r="BJ165">
        <v>0.97639100000000001</v>
      </c>
      <c r="BK165">
        <v>0.97612399999999999</v>
      </c>
      <c r="BL165">
        <v>0.97138800000000003</v>
      </c>
      <c r="BM165">
        <v>0.97047499999999998</v>
      </c>
      <c r="BN165">
        <v>0.976858</v>
      </c>
      <c r="BO165">
        <v>0.96167199999999997</v>
      </c>
      <c r="BP165">
        <v>0.95943999999999996</v>
      </c>
      <c r="BQ165">
        <v>0.97406800000000004</v>
      </c>
      <c r="BR165">
        <v>0.25364199999999998</v>
      </c>
      <c r="BS165">
        <v>9.2716840000000005</v>
      </c>
      <c r="BT165">
        <v>50</v>
      </c>
      <c r="BU165">
        <v>0.27973500000000001</v>
      </c>
      <c r="BV165">
        <v>4.0529770000000003</v>
      </c>
      <c r="BW165">
        <v>50</v>
      </c>
      <c r="BX165">
        <v>0.63452600000000003</v>
      </c>
      <c r="BY165">
        <v>42.301754000000003</v>
      </c>
      <c r="BZ165">
        <v>50</v>
      </c>
      <c r="CA165">
        <v>0.17389499999999999</v>
      </c>
      <c r="CB165">
        <v>11.592981999999999</v>
      </c>
      <c r="CC165">
        <v>50</v>
      </c>
      <c r="CD165">
        <v>0.76876100000000003</v>
      </c>
      <c r="CE165">
        <v>40.891522000000002</v>
      </c>
      <c r="CF165">
        <v>50</v>
      </c>
      <c r="CG165">
        <v>0.70744700000000005</v>
      </c>
      <c r="CH165">
        <v>75.260299000000003</v>
      </c>
      <c r="CI165">
        <v>100</v>
      </c>
      <c r="CJ165">
        <v>1</v>
      </c>
      <c r="CK165">
        <v>0.76024700000000001</v>
      </c>
      <c r="CL165">
        <v>80.877392</v>
      </c>
      <c r="CM165">
        <v>100</v>
      </c>
      <c r="CN165">
        <v>0.60499999999999998</v>
      </c>
      <c r="CO165">
        <v>80.708411999999996</v>
      </c>
      <c r="CP165">
        <v>100</v>
      </c>
      <c r="CQ165">
        <v>0.45307399999999998</v>
      </c>
      <c r="CR165">
        <v>1.028376</v>
      </c>
      <c r="CS165">
        <v>30.204961999999998</v>
      </c>
      <c r="CT165">
        <v>50</v>
      </c>
      <c r="CU165">
        <v>0.64567799999999997</v>
      </c>
      <c r="CV165">
        <v>50</v>
      </c>
      <c r="CW165">
        <v>50</v>
      </c>
      <c r="CX165">
        <v>0.76024700000000001</v>
      </c>
      <c r="CY165">
        <v>0.94</v>
      </c>
      <c r="CZ165">
        <v>0.179753</v>
      </c>
      <c r="DA165">
        <v>15.389535</v>
      </c>
      <c r="DB165">
        <v>17.608319000000002</v>
      </c>
      <c r="DC165">
        <v>16.064022999999999</v>
      </c>
      <c r="DD165">
        <v>11.115401</v>
      </c>
      <c r="DE165" t="s">
        <v>125</v>
      </c>
      <c r="DJ165" t="s">
        <v>125</v>
      </c>
      <c r="DK165" t="s">
        <v>125</v>
      </c>
      <c r="DL165" t="s">
        <v>125</v>
      </c>
      <c r="DM165" t="s">
        <v>125</v>
      </c>
      <c r="DN165" t="s">
        <v>125</v>
      </c>
      <c r="DO165" t="s">
        <v>125</v>
      </c>
      <c r="DQ165" t="s">
        <v>126</v>
      </c>
    </row>
    <row r="166" spans="1:121" x14ac:dyDescent="0.15">
      <c r="A166">
        <v>2018</v>
      </c>
      <c r="B166" t="s">
        <v>288</v>
      </c>
      <c r="C166" t="str">
        <f>"1350011"</f>
        <v>1350011</v>
      </c>
      <c r="D166" t="s">
        <v>123</v>
      </c>
      <c r="E166" t="str">
        <f t="shared" si="0"/>
        <v>0000000</v>
      </c>
      <c r="F166" t="s">
        <v>123</v>
      </c>
      <c r="G166" t="s">
        <v>123</v>
      </c>
      <c r="H166" t="s">
        <v>123</v>
      </c>
      <c r="J166" t="s">
        <v>124</v>
      </c>
      <c r="K166">
        <v>1033.4665990000001</v>
      </c>
      <c r="L166">
        <v>1450</v>
      </c>
      <c r="M166">
        <v>71.273559000000006</v>
      </c>
      <c r="N166" t="s">
        <v>125</v>
      </c>
      <c r="O166">
        <v>1</v>
      </c>
      <c r="P166">
        <v>64.976581999999993</v>
      </c>
      <c r="Q166">
        <v>43.317720999999999</v>
      </c>
      <c r="R166">
        <v>50</v>
      </c>
      <c r="S166">
        <v>57.854492</v>
      </c>
      <c r="T166">
        <v>75</v>
      </c>
      <c r="U166">
        <v>38.569661000000004</v>
      </c>
      <c r="V166">
        <v>50</v>
      </c>
      <c r="W166">
        <v>61.125157999999999</v>
      </c>
      <c r="X166">
        <v>40.750104999999998</v>
      </c>
      <c r="Y166">
        <v>50</v>
      </c>
      <c r="Z166">
        <v>74.948363999999998</v>
      </c>
      <c r="AA166">
        <v>53.329560000000001</v>
      </c>
      <c r="AB166">
        <v>35.553040000000003</v>
      </c>
      <c r="AC166">
        <v>50</v>
      </c>
      <c r="AD166">
        <v>59.241098999999998</v>
      </c>
      <c r="AE166">
        <v>39.494065999999997</v>
      </c>
      <c r="AF166">
        <v>50</v>
      </c>
      <c r="AG166">
        <v>53.414147999999997</v>
      </c>
      <c r="AH166">
        <v>69.121157999999994</v>
      </c>
      <c r="AI166">
        <v>35.609431999999998</v>
      </c>
      <c r="AJ166">
        <v>50</v>
      </c>
      <c r="AK166">
        <v>17.14</v>
      </c>
      <c r="AL166">
        <v>21.61</v>
      </c>
      <c r="AM166">
        <v>15.7</v>
      </c>
      <c r="AN166">
        <v>0.57002299999999995</v>
      </c>
      <c r="AO166">
        <v>57.002285999999998</v>
      </c>
      <c r="AP166">
        <v>100</v>
      </c>
      <c r="AQ166">
        <v>0.591557</v>
      </c>
      <c r="AR166">
        <v>59.155723999999999</v>
      </c>
      <c r="AS166">
        <v>100</v>
      </c>
      <c r="AT166">
        <v>0.53297300000000003</v>
      </c>
      <c r="AU166">
        <v>0.63747500000000001</v>
      </c>
      <c r="AV166">
        <v>53.297341000000003</v>
      </c>
      <c r="AW166">
        <v>100</v>
      </c>
      <c r="AX166">
        <v>0.54301299999999997</v>
      </c>
      <c r="AY166">
        <v>0.67987299999999995</v>
      </c>
      <c r="AZ166">
        <v>54.301321999999999</v>
      </c>
      <c r="BA166">
        <v>100</v>
      </c>
      <c r="BB166">
        <v>0.61338000000000004</v>
      </c>
      <c r="BC166">
        <v>30.668991999999999</v>
      </c>
      <c r="BD166">
        <v>50</v>
      </c>
      <c r="BE166">
        <v>0.56767999999999996</v>
      </c>
      <c r="BF166">
        <v>28.384001999999999</v>
      </c>
      <c r="BG166">
        <v>50</v>
      </c>
      <c r="BH166">
        <v>0</v>
      </c>
      <c r="BI166">
        <v>0.97748000000000002</v>
      </c>
      <c r="BJ166">
        <v>0.97404400000000002</v>
      </c>
      <c r="BK166">
        <v>0.98404100000000005</v>
      </c>
      <c r="BL166">
        <v>0.97584000000000004</v>
      </c>
      <c r="BM166">
        <v>0.97190600000000005</v>
      </c>
      <c r="BN166">
        <v>0.98335600000000001</v>
      </c>
      <c r="BO166">
        <v>0.96873200000000004</v>
      </c>
      <c r="BP166">
        <v>0.96099900000000005</v>
      </c>
      <c r="BQ166">
        <v>0.98301000000000005</v>
      </c>
      <c r="BR166">
        <v>0.111362</v>
      </c>
      <c r="BS166">
        <v>37.727615</v>
      </c>
      <c r="BT166">
        <v>50</v>
      </c>
      <c r="BU166">
        <v>0.142731</v>
      </c>
      <c r="BV166">
        <v>31.453831000000001</v>
      </c>
      <c r="BW166">
        <v>50</v>
      </c>
      <c r="BX166">
        <v>0.86795</v>
      </c>
      <c r="BY166">
        <v>50</v>
      </c>
      <c r="BZ166">
        <v>50</v>
      </c>
      <c r="CA166">
        <v>0.409132</v>
      </c>
      <c r="CB166">
        <v>27.27544</v>
      </c>
      <c r="CC166">
        <v>50</v>
      </c>
      <c r="CD166">
        <v>0.78927499999999995</v>
      </c>
      <c r="CE166">
        <v>41.982726</v>
      </c>
      <c r="CF166">
        <v>50</v>
      </c>
      <c r="CG166">
        <v>0.87446999999999997</v>
      </c>
      <c r="CH166">
        <v>93.028711999999999</v>
      </c>
      <c r="CI166">
        <v>100</v>
      </c>
      <c r="CJ166">
        <v>0</v>
      </c>
      <c r="CK166">
        <v>0.88858300000000001</v>
      </c>
      <c r="CL166">
        <v>94.53013</v>
      </c>
      <c r="CM166">
        <v>100</v>
      </c>
      <c r="CN166">
        <v>0.71399999999999997</v>
      </c>
      <c r="CO166">
        <v>95.255814000000001</v>
      </c>
      <c r="CP166">
        <v>100</v>
      </c>
      <c r="CQ166">
        <v>0.30174400000000001</v>
      </c>
      <c r="CR166">
        <v>0.88099700000000003</v>
      </c>
      <c r="CS166">
        <v>10.058149</v>
      </c>
      <c r="CT166">
        <v>50</v>
      </c>
      <c r="CU166">
        <v>0.43260599999999999</v>
      </c>
      <c r="CV166">
        <v>36.050491999999998</v>
      </c>
      <c r="CW166">
        <v>50</v>
      </c>
      <c r="CX166">
        <v>0.88858300000000001</v>
      </c>
      <c r="CY166">
        <v>0.94</v>
      </c>
      <c r="CZ166">
        <v>5.1416999999999997E-2</v>
      </c>
      <c r="DA166">
        <v>15.389535</v>
      </c>
      <c r="DB166">
        <v>17.608319000000002</v>
      </c>
      <c r="DC166">
        <v>16.064022999999999</v>
      </c>
      <c r="DD166">
        <v>11.115401</v>
      </c>
      <c r="DE166" t="s">
        <v>125</v>
      </c>
      <c r="DJ166" t="s">
        <v>125</v>
      </c>
      <c r="DK166" t="s">
        <v>125</v>
      </c>
      <c r="DL166" t="s">
        <v>125</v>
      </c>
      <c r="DM166" t="s">
        <v>125</v>
      </c>
      <c r="DN166" t="s">
        <v>125</v>
      </c>
      <c r="DO166" t="s">
        <v>125</v>
      </c>
      <c r="DQ166" t="s">
        <v>126</v>
      </c>
    </row>
    <row r="167" spans="1:121" x14ac:dyDescent="0.15">
      <c r="A167">
        <v>2018</v>
      </c>
      <c r="B167" t="s">
        <v>289</v>
      </c>
      <c r="C167" t="str">
        <f>"2110012"</f>
        <v>2110012</v>
      </c>
      <c r="D167" t="s">
        <v>123</v>
      </c>
      <c r="E167" t="str">
        <f t="shared" si="0"/>
        <v>0000000</v>
      </c>
      <c r="F167" t="s">
        <v>123</v>
      </c>
      <c r="G167" t="s">
        <v>123</v>
      </c>
      <c r="H167" t="s">
        <v>123</v>
      </c>
      <c r="J167" t="s">
        <v>124</v>
      </c>
      <c r="K167">
        <v>929.30106699999999</v>
      </c>
      <c r="L167">
        <v>1350</v>
      </c>
      <c r="M167">
        <v>68.837115999999995</v>
      </c>
      <c r="N167" t="s">
        <v>125</v>
      </c>
      <c r="O167">
        <v>1</v>
      </c>
      <c r="P167">
        <v>67.785780000000003</v>
      </c>
      <c r="Q167">
        <v>45.190519999999999</v>
      </c>
      <c r="R167">
        <v>50</v>
      </c>
      <c r="S167">
        <v>58.192709999999998</v>
      </c>
      <c r="T167">
        <v>75</v>
      </c>
      <c r="U167">
        <v>38.795140000000004</v>
      </c>
      <c r="V167">
        <v>50</v>
      </c>
      <c r="W167">
        <v>57.914122999999996</v>
      </c>
      <c r="X167">
        <v>38.609414999999998</v>
      </c>
      <c r="Y167">
        <v>50</v>
      </c>
      <c r="Z167">
        <v>68.003724000000005</v>
      </c>
      <c r="AA167">
        <v>46.682302</v>
      </c>
      <c r="AB167">
        <v>31.121535000000002</v>
      </c>
      <c r="AC167">
        <v>50</v>
      </c>
      <c r="AD167">
        <v>66.828322999999997</v>
      </c>
      <c r="AE167">
        <v>44.552214999999997</v>
      </c>
      <c r="AF167">
        <v>50</v>
      </c>
      <c r="AG167">
        <v>54.119667</v>
      </c>
      <c r="AH167">
        <v>75</v>
      </c>
      <c r="AI167">
        <v>36.079777999999997</v>
      </c>
      <c r="AJ167">
        <v>50</v>
      </c>
      <c r="AK167">
        <v>16.8</v>
      </c>
      <c r="AL167">
        <v>21.32</v>
      </c>
      <c r="AM167">
        <v>20.88</v>
      </c>
      <c r="AN167">
        <v>0.40505799999999997</v>
      </c>
      <c r="AO167">
        <v>40.505831999999998</v>
      </c>
      <c r="AP167">
        <v>100</v>
      </c>
      <c r="AQ167">
        <v>0.38202999999999998</v>
      </c>
      <c r="AR167">
        <v>38.203048000000003</v>
      </c>
      <c r="AS167">
        <v>100</v>
      </c>
      <c r="AT167">
        <v>0.32396200000000003</v>
      </c>
      <c r="AU167">
        <v>0.48813299999999998</v>
      </c>
      <c r="AV167">
        <v>32.396158</v>
      </c>
      <c r="AW167">
        <v>100</v>
      </c>
      <c r="AX167">
        <v>0.280831</v>
      </c>
      <c r="AY167">
        <v>0.48569800000000002</v>
      </c>
      <c r="AZ167">
        <v>28.083102</v>
      </c>
      <c r="BA167">
        <v>100</v>
      </c>
      <c r="BB167" t="s">
        <v>125</v>
      </c>
      <c r="BC167" t="s">
        <v>125</v>
      </c>
      <c r="BD167" t="s">
        <v>125</v>
      </c>
      <c r="BE167" t="s">
        <v>125</v>
      </c>
      <c r="BF167" t="s">
        <v>125</v>
      </c>
      <c r="BG167" t="s">
        <v>125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6.6372E-2</v>
      </c>
      <c r="BS167">
        <v>46.725664000000002</v>
      </c>
      <c r="BT167">
        <v>50</v>
      </c>
      <c r="BU167">
        <v>8.9286000000000004E-2</v>
      </c>
      <c r="BV167">
        <v>42.142856999999999</v>
      </c>
      <c r="BW167">
        <v>50</v>
      </c>
      <c r="BX167">
        <v>0.76388900000000004</v>
      </c>
      <c r="BY167">
        <v>50</v>
      </c>
      <c r="BZ167">
        <v>50</v>
      </c>
      <c r="CA167">
        <v>0.38888899999999998</v>
      </c>
      <c r="CB167">
        <v>25.925926</v>
      </c>
      <c r="CC167">
        <v>50</v>
      </c>
      <c r="CD167">
        <v>1</v>
      </c>
      <c r="CE167">
        <v>50</v>
      </c>
      <c r="CF167">
        <v>50</v>
      </c>
      <c r="CG167">
        <v>0.79411799999999999</v>
      </c>
      <c r="CH167">
        <v>84.480600999999993</v>
      </c>
      <c r="CI167">
        <v>100</v>
      </c>
      <c r="CJ167">
        <v>0</v>
      </c>
      <c r="CK167">
        <v>0.8</v>
      </c>
      <c r="CL167">
        <v>85.106382999999994</v>
      </c>
      <c r="CM167">
        <v>100</v>
      </c>
      <c r="CN167">
        <v>0.65400000000000003</v>
      </c>
      <c r="CO167">
        <v>87.179486999999995</v>
      </c>
      <c r="CP167">
        <v>100</v>
      </c>
      <c r="CQ167">
        <v>0.52564100000000002</v>
      </c>
      <c r="CR167">
        <v>0.98734200000000005</v>
      </c>
      <c r="CS167">
        <v>35.042735</v>
      </c>
      <c r="CT167">
        <v>50</v>
      </c>
      <c r="CU167">
        <v>0.58992800000000001</v>
      </c>
      <c r="CV167">
        <v>49.160671000000001</v>
      </c>
      <c r="CW167">
        <v>50</v>
      </c>
      <c r="CX167">
        <v>0.8</v>
      </c>
      <c r="CY167" t="s">
        <v>125</v>
      </c>
      <c r="CZ167" t="s">
        <v>125</v>
      </c>
      <c r="DA167">
        <v>15.389535</v>
      </c>
      <c r="DB167">
        <v>17.608319000000002</v>
      </c>
      <c r="DC167">
        <v>16.064022999999999</v>
      </c>
      <c r="DD167">
        <v>11.115401</v>
      </c>
      <c r="DE167" t="s">
        <v>125</v>
      </c>
      <c r="DJ167" t="s">
        <v>125</v>
      </c>
      <c r="DK167" t="s">
        <v>125</v>
      </c>
      <c r="DL167" t="s">
        <v>125</v>
      </c>
      <c r="DM167" t="s">
        <v>125</v>
      </c>
      <c r="DN167" t="s">
        <v>125</v>
      </c>
      <c r="DO167" t="s">
        <v>125</v>
      </c>
      <c r="DQ167" t="s">
        <v>126</v>
      </c>
    </row>
    <row r="168" spans="1:121" x14ac:dyDescent="0.15">
      <c r="A168">
        <v>2018</v>
      </c>
      <c r="B168" t="s">
        <v>290</v>
      </c>
      <c r="C168" t="str">
        <f>"2120012"</f>
        <v>2120012</v>
      </c>
      <c r="D168" t="s">
        <v>123</v>
      </c>
      <c r="E168" t="str">
        <f t="shared" si="0"/>
        <v>0000000</v>
      </c>
      <c r="F168" t="s">
        <v>123</v>
      </c>
      <c r="G168" t="s">
        <v>123</v>
      </c>
      <c r="H168" t="s">
        <v>123</v>
      </c>
      <c r="J168" t="s">
        <v>124</v>
      </c>
      <c r="K168">
        <v>1032.7799749999999</v>
      </c>
      <c r="L168">
        <v>1250</v>
      </c>
      <c r="M168">
        <v>82.622398000000004</v>
      </c>
      <c r="N168" t="s">
        <v>125</v>
      </c>
      <c r="O168">
        <v>0</v>
      </c>
      <c r="P168">
        <v>77.220388999999997</v>
      </c>
      <c r="Q168">
        <v>50</v>
      </c>
      <c r="R168">
        <v>50</v>
      </c>
      <c r="S168">
        <v>68.848059000000006</v>
      </c>
      <c r="T168">
        <v>75</v>
      </c>
      <c r="U168">
        <v>45.898705999999997</v>
      </c>
      <c r="V168">
        <v>50</v>
      </c>
      <c r="W168">
        <v>73.642160000000004</v>
      </c>
      <c r="X168">
        <v>49.094773000000004</v>
      </c>
      <c r="Y168">
        <v>50</v>
      </c>
      <c r="Z168">
        <v>75</v>
      </c>
      <c r="AA168">
        <v>63.800921000000002</v>
      </c>
      <c r="AB168">
        <v>42.533946999999998</v>
      </c>
      <c r="AC168">
        <v>50</v>
      </c>
      <c r="AD168">
        <v>72.138936000000001</v>
      </c>
      <c r="AE168">
        <v>48.092624000000001</v>
      </c>
      <c r="AF168">
        <v>50</v>
      </c>
      <c r="AG168">
        <v>63.877571000000003</v>
      </c>
      <c r="AH168">
        <v>75</v>
      </c>
      <c r="AI168">
        <v>42.585048</v>
      </c>
      <c r="AJ168">
        <v>50</v>
      </c>
      <c r="AK168">
        <v>6.15</v>
      </c>
      <c r="AL168">
        <v>11.19</v>
      </c>
      <c r="AM168">
        <v>11.12</v>
      </c>
      <c r="AN168">
        <v>0.65888400000000003</v>
      </c>
      <c r="AO168">
        <v>65.888362999999998</v>
      </c>
      <c r="AP168">
        <v>100</v>
      </c>
      <c r="AQ168">
        <v>0.64971699999999999</v>
      </c>
      <c r="AR168">
        <v>64.971736000000007</v>
      </c>
      <c r="AS168">
        <v>100</v>
      </c>
      <c r="AT168">
        <v>0.61680000000000001</v>
      </c>
      <c r="AU168">
        <v>0.68276099999999995</v>
      </c>
      <c r="AV168">
        <v>61.680045</v>
      </c>
      <c r="AW168">
        <v>100</v>
      </c>
      <c r="AX168">
        <v>0.54883199999999999</v>
      </c>
      <c r="AY168">
        <v>0.70624200000000004</v>
      </c>
      <c r="AZ168">
        <v>54.883194000000003</v>
      </c>
      <c r="BA168">
        <v>100</v>
      </c>
      <c r="BB168" t="s">
        <v>125</v>
      </c>
      <c r="BC168" t="s">
        <v>125</v>
      </c>
      <c r="BD168" t="s">
        <v>125</v>
      </c>
      <c r="BE168" t="s">
        <v>125</v>
      </c>
      <c r="BF168" t="s">
        <v>125</v>
      </c>
      <c r="BG168" t="s">
        <v>125</v>
      </c>
      <c r="BH168">
        <v>0</v>
      </c>
      <c r="BI168">
        <v>0.99430200000000002</v>
      </c>
      <c r="BJ168">
        <v>0.99236599999999997</v>
      </c>
      <c r="BK168">
        <v>0.99545499999999998</v>
      </c>
      <c r="BL168">
        <v>0.99430200000000002</v>
      </c>
      <c r="BM168">
        <v>0.99236599999999997</v>
      </c>
      <c r="BN168">
        <v>0.99545499999999998</v>
      </c>
      <c r="BO168">
        <v>0.99404800000000004</v>
      </c>
      <c r="BP168">
        <v>1</v>
      </c>
      <c r="BQ168">
        <v>0.99065400000000003</v>
      </c>
      <c r="BR168">
        <v>7.7759999999999996E-2</v>
      </c>
      <c r="BS168">
        <v>44.447899999999997</v>
      </c>
      <c r="BT168">
        <v>50</v>
      </c>
      <c r="BU168">
        <v>0.13122200000000001</v>
      </c>
      <c r="BV168">
        <v>33.755656000000002</v>
      </c>
      <c r="BW168">
        <v>50</v>
      </c>
      <c r="BX168">
        <v>0.71232899999999999</v>
      </c>
      <c r="BY168">
        <v>47.488584000000003</v>
      </c>
      <c r="BZ168">
        <v>50</v>
      </c>
      <c r="CA168">
        <v>0.59589000000000003</v>
      </c>
      <c r="CB168">
        <v>39.726027000000002</v>
      </c>
      <c r="CC168">
        <v>50</v>
      </c>
      <c r="CD168">
        <v>0.97196300000000002</v>
      </c>
      <c r="CE168">
        <v>50</v>
      </c>
      <c r="CF168">
        <v>50</v>
      </c>
      <c r="CG168">
        <v>0.92307700000000004</v>
      </c>
      <c r="CH168">
        <v>98.199673000000004</v>
      </c>
      <c r="CI168">
        <v>100</v>
      </c>
      <c r="CJ168">
        <v>0</v>
      </c>
      <c r="CK168" t="s">
        <v>125</v>
      </c>
      <c r="CL168" t="s">
        <v>125</v>
      </c>
      <c r="CM168" t="s">
        <v>125</v>
      </c>
      <c r="CN168">
        <v>0.73799999999999999</v>
      </c>
      <c r="CO168">
        <v>98.360656000000006</v>
      </c>
      <c r="CP168">
        <v>100</v>
      </c>
      <c r="CQ168">
        <v>0.67759599999999998</v>
      </c>
      <c r="CR168">
        <v>0.91500000000000004</v>
      </c>
      <c r="CS168">
        <v>45.173042000000002</v>
      </c>
      <c r="CT168">
        <v>50</v>
      </c>
      <c r="CU168">
        <v>0.74717</v>
      </c>
      <c r="CV168">
        <v>50</v>
      </c>
      <c r="CW168">
        <v>50</v>
      </c>
      <c r="CX168" t="s">
        <v>125</v>
      </c>
      <c r="CY168" t="s">
        <v>125</v>
      </c>
      <c r="CZ168" t="s">
        <v>125</v>
      </c>
      <c r="DA168">
        <v>15.389535</v>
      </c>
      <c r="DB168">
        <v>17.608319000000002</v>
      </c>
      <c r="DC168">
        <v>16.064022999999999</v>
      </c>
      <c r="DD168">
        <v>11.115401</v>
      </c>
      <c r="DE168" t="s">
        <v>125</v>
      </c>
      <c r="DJ168" t="s">
        <v>125</v>
      </c>
      <c r="DK168" t="s">
        <v>125</v>
      </c>
      <c r="DL168" t="s">
        <v>125</v>
      </c>
      <c r="DM168" t="s">
        <v>125</v>
      </c>
      <c r="DN168" t="s">
        <v>125</v>
      </c>
      <c r="DO168" t="s">
        <v>125</v>
      </c>
      <c r="DQ168" t="s">
        <v>126</v>
      </c>
    </row>
    <row r="169" spans="1:121" x14ac:dyDescent="0.15">
      <c r="A169">
        <v>2018</v>
      </c>
      <c r="B169" t="s">
        <v>291</v>
      </c>
      <c r="C169" t="str">
        <f>"2130012"</f>
        <v>2130012</v>
      </c>
      <c r="D169" t="s">
        <v>123</v>
      </c>
      <c r="E169" t="str">
        <f t="shared" si="0"/>
        <v>0000000</v>
      </c>
      <c r="F169" t="s">
        <v>123</v>
      </c>
      <c r="G169" t="s">
        <v>123</v>
      </c>
      <c r="H169" t="s">
        <v>123</v>
      </c>
      <c r="J169" t="s">
        <v>124</v>
      </c>
      <c r="K169">
        <v>1128.5375329999999</v>
      </c>
      <c r="L169">
        <v>1350</v>
      </c>
      <c r="M169">
        <v>83.595372999999995</v>
      </c>
      <c r="N169" t="s">
        <v>125</v>
      </c>
      <c r="O169">
        <v>1</v>
      </c>
      <c r="P169">
        <v>75.205781999999999</v>
      </c>
      <c r="Q169">
        <v>50</v>
      </c>
      <c r="R169">
        <v>50</v>
      </c>
      <c r="S169">
        <v>61.509264000000002</v>
      </c>
      <c r="T169">
        <v>75</v>
      </c>
      <c r="U169">
        <v>41.006176000000004</v>
      </c>
      <c r="V169">
        <v>50</v>
      </c>
      <c r="W169">
        <v>70.537657999999993</v>
      </c>
      <c r="X169">
        <v>47.025106000000001</v>
      </c>
      <c r="Y169">
        <v>50</v>
      </c>
      <c r="Z169">
        <v>75</v>
      </c>
      <c r="AA169">
        <v>56.442472000000002</v>
      </c>
      <c r="AB169">
        <v>37.628315000000001</v>
      </c>
      <c r="AC169">
        <v>50</v>
      </c>
      <c r="AD169">
        <v>73.947197000000003</v>
      </c>
      <c r="AE169">
        <v>49.298130999999998</v>
      </c>
      <c r="AF169">
        <v>50</v>
      </c>
      <c r="AG169">
        <v>62.217998000000001</v>
      </c>
      <c r="AH169">
        <v>75</v>
      </c>
      <c r="AI169">
        <v>41.478664999999999</v>
      </c>
      <c r="AJ169">
        <v>50</v>
      </c>
      <c r="AK169">
        <v>13.49</v>
      </c>
      <c r="AL169">
        <v>18.55</v>
      </c>
      <c r="AM169">
        <v>12.78</v>
      </c>
      <c r="AN169">
        <v>0.68909100000000001</v>
      </c>
      <c r="AO169">
        <v>68.909103999999999</v>
      </c>
      <c r="AP169">
        <v>100</v>
      </c>
      <c r="AQ169">
        <v>0.75296799999999997</v>
      </c>
      <c r="AR169">
        <v>75.296817000000004</v>
      </c>
      <c r="AS169">
        <v>100</v>
      </c>
      <c r="AT169">
        <v>0.58848100000000003</v>
      </c>
      <c r="AU169">
        <v>0.72909800000000002</v>
      </c>
      <c r="AV169">
        <v>58.848132</v>
      </c>
      <c r="AW169">
        <v>100</v>
      </c>
      <c r="AX169">
        <v>0.60012500000000002</v>
      </c>
      <c r="AY169">
        <v>0.81338600000000005</v>
      </c>
      <c r="AZ169">
        <v>60.012461000000002</v>
      </c>
      <c r="BA169">
        <v>100</v>
      </c>
      <c r="BB169" t="s">
        <v>125</v>
      </c>
      <c r="BC169" t="s">
        <v>125</v>
      </c>
      <c r="BD169" t="s">
        <v>125</v>
      </c>
      <c r="BE169" t="s">
        <v>125</v>
      </c>
      <c r="BF169" t="s">
        <v>125</v>
      </c>
      <c r="BG169" t="s">
        <v>125</v>
      </c>
      <c r="BH169">
        <v>0</v>
      </c>
      <c r="BI169">
        <v>0.99286600000000003</v>
      </c>
      <c r="BJ169">
        <v>0.98809499999999995</v>
      </c>
      <c r="BK169">
        <v>0.99490699999999999</v>
      </c>
      <c r="BL169">
        <v>0.99286600000000003</v>
      </c>
      <c r="BM169">
        <v>0.98809499999999995</v>
      </c>
      <c r="BN169">
        <v>0.99490699999999999</v>
      </c>
      <c r="BO169">
        <v>0.98944600000000005</v>
      </c>
      <c r="BP169">
        <v>0.99038499999999996</v>
      </c>
      <c r="BQ169">
        <v>0.98909100000000005</v>
      </c>
      <c r="BR169">
        <v>6.6794000000000006E-2</v>
      </c>
      <c r="BS169">
        <v>46.641221000000002</v>
      </c>
      <c r="BT169">
        <v>50</v>
      </c>
      <c r="BU169">
        <v>0.12815099999999999</v>
      </c>
      <c r="BV169">
        <v>34.369748000000001</v>
      </c>
      <c r="BW169">
        <v>50</v>
      </c>
      <c r="BX169">
        <v>0.95138900000000004</v>
      </c>
      <c r="BY169">
        <v>50</v>
      </c>
      <c r="BZ169">
        <v>50</v>
      </c>
      <c r="CA169">
        <v>0.49305599999999999</v>
      </c>
      <c r="CB169">
        <v>32.870370000000001</v>
      </c>
      <c r="CC169">
        <v>50</v>
      </c>
      <c r="CD169">
        <v>0.97033899999999995</v>
      </c>
      <c r="CE169">
        <v>50</v>
      </c>
      <c r="CF169">
        <v>50</v>
      </c>
      <c r="CG169">
        <v>0.932836</v>
      </c>
      <c r="CH169">
        <v>99.237853000000001</v>
      </c>
      <c r="CI169">
        <v>100</v>
      </c>
      <c r="CJ169">
        <v>0</v>
      </c>
      <c r="CK169">
        <v>0.95121999999999995</v>
      </c>
      <c r="CL169">
        <v>100</v>
      </c>
      <c r="CM169">
        <v>100</v>
      </c>
      <c r="CN169">
        <v>0.83799999999999997</v>
      </c>
      <c r="CO169">
        <v>100</v>
      </c>
      <c r="CP169">
        <v>100</v>
      </c>
      <c r="CQ169">
        <v>0.56614799999999998</v>
      </c>
      <c r="CR169">
        <v>0.96254700000000004</v>
      </c>
      <c r="CS169">
        <v>37.743191000000003</v>
      </c>
      <c r="CT169">
        <v>50</v>
      </c>
      <c r="CU169">
        <v>0.578067</v>
      </c>
      <c r="CV169">
        <v>48.172243000000002</v>
      </c>
      <c r="CW169">
        <v>50</v>
      </c>
      <c r="CX169">
        <v>0.95121999999999995</v>
      </c>
      <c r="CY169">
        <v>0.94</v>
      </c>
      <c r="CZ169">
        <v>-1.1220000000000001E-2</v>
      </c>
      <c r="DA169">
        <v>15.389535</v>
      </c>
      <c r="DB169">
        <v>17.608319000000002</v>
      </c>
      <c r="DC169">
        <v>16.064022999999999</v>
      </c>
      <c r="DD169">
        <v>11.115401</v>
      </c>
      <c r="DE169" t="s">
        <v>125</v>
      </c>
      <c r="DJ169" t="s">
        <v>125</v>
      </c>
      <c r="DK169" t="s">
        <v>125</v>
      </c>
      <c r="DL169" t="s">
        <v>125</v>
      </c>
      <c r="DM169" t="s">
        <v>125</v>
      </c>
      <c r="DN169" t="s">
        <v>125</v>
      </c>
      <c r="DO169" t="s">
        <v>125</v>
      </c>
      <c r="DQ169" t="s">
        <v>126</v>
      </c>
    </row>
    <row r="170" spans="1:121" x14ac:dyDescent="0.15">
      <c r="A170">
        <v>2018</v>
      </c>
      <c r="B170" t="s">
        <v>292</v>
      </c>
      <c r="C170" t="str">
        <f>"2140012"</f>
        <v>2140012</v>
      </c>
      <c r="D170" t="s">
        <v>123</v>
      </c>
      <c r="E170" t="str">
        <f t="shared" si="0"/>
        <v>0000000</v>
      </c>
      <c r="F170" t="s">
        <v>123</v>
      </c>
      <c r="G170" t="s">
        <v>123</v>
      </c>
      <c r="H170" t="s">
        <v>123</v>
      </c>
      <c r="J170" t="s">
        <v>124</v>
      </c>
      <c r="K170">
        <v>1018.3070719999999</v>
      </c>
      <c r="L170">
        <v>1350</v>
      </c>
      <c r="M170">
        <v>75.430153000000004</v>
      </c>
      <c r="N170" t="s">
        <v>125</v>
      </c>
      <c r="O170">
        <v>1</v>
      </c>
      <c r="P170">
        <v>69.382475999999997</v>
      </c>
      <c r="Q170">
        <v>46.254984</v>
      </c>
      <c r="R170">
        <v>50</v>
      </c>
      <c r="S170">
        <v>59.296489000000001</v>
      </c>
      <c r="T170">
        <v>75</v>
      </c>
      <c r="U170">
        <v>39.530993000000002</v>
      </c>
      <c r="V170">
        <v>50</v>
      </c>
      <c r="W170">
        <v>63.542997999999997</v>
      </c>
      <c r="X170">
        <v>42.361998999999997</v>
      </c>
      <c r="Y170">
        <v>50</v>
      </c>
      <c r="Z170">
        <v>69.377669999999995</v>
      </c>
      <c r="AA170">
        <v>53.22484</v>
      </c>
      <c r="AB170">
        <v>35.483226999999999</v>
      </c>
      <c r="AC170">
        <v>50</v>
      </c>
      <c r="AD170">
        <v>65.119103999999993</v>
      </c>
      <c r="AE170">
        <v>43.412736000000002</v>
      </c>
      <c r="AF170">
        <v>50</v>
      </c>
      <c r="AG170">
        <v>55.671861999999997</v>
      </c>
      <c r="AH170">
        <v>70.258403000000001</v>
      </c>
      <c r="AI170">
        <v>37.114575000000002</v>
      </c>
      <c r="AJ170">
        <v>50</v>
      </c>
      <c r="AK170">
        <v>15.7</v>
      </c>
      <c r="AL170">
        <v>16.149999999999999</v>
      </c>
      <c r="AM170">
        <v>14.58</v>
      </c>
      <c r="AN170">
        <v>0.55022099999999996</v>
      </c>
      <c r="AO170">
        <v>55.022069999999999</v>
      </c>
      <c r="AP170">
        <v>100</v>
      </c>
      <c r="AQ170">
        <v>0.66401500000000002</v>
      </c>
      <c r="AR170">
        <v>66.401494</v>
      </c>
      <c r="AS170">
        <v>100</v>
      </c>
      <c r="AT170">
        <v>0.50516700000000003</v>
      </c>
      <c r="AU170">
        <v>0.57532399999999995</v>
      </c>
      <c r="AV170">
        <v>50.516731</v>
      </c>
      <c r="AW170">
        <v>100</v>
      </c>
      <c r="AX170">
        <v>0.60385699999999998</v>
      </c>
      <c r="AY170">
        <v>0.69753399999999999</v>
      </c>
      <c r="AZ170">
        <v>60.385652999999998</v>
      </c>
      <c r="BA170">
        <v>100</v>
      </c>
      <c r="BB170" t="s">
        <v>125</v>
      </c>
      <c r="BC170" t="s">
        <v>125</v>
      </c>
      <c r="BD170" t="s">
        <v>125</v>
      </c>
      <c r="BE170" t="s">
        <v>125</v>
      </c>
      <c r="BF170" t="s">
        <v>125</v>
      </c>
      <c r="BG170" t="s">
        <v>125</v>
      </c>
      <c r="BH170">
        <v>0</v>
      </c>
      <c r="BI170">
        <v>0.99007400000000001</v>
      </c>
      <c r="BJ170">
        <v>0.98639500000000002</v>
      </c>
      <c r="BK170">
        <v>0.99218799999999996</v>
      </c>
      <c r="BL170">
        <v>0.99007400000000001</v>
      </c>
      <c r="BM170">
        <v>0.98639500000000002</v>
      </c>
      <c r="BN170">
        <v>0.99218799999999996</v>
      </c>
      <c r="BO170">
        <v>0.98232299999999995</v>
      </c>
      <c r="BP170">
        <v>0.971831</v>
      </c>
      <c r="BQ170">
        <v>0.98818899999999998</v>
      </c>
      <c r="BR170">
        <v>7.9044000000000003E-2</v>
      </c>
      <c r="BS170">
        <v>44.191175999999999</v>
      </c>
      <c r="BT170">
        <v>50</v>
      </c>
      <c r="BU170">
        <v>0.15503900000000001</v>
      </c>
      <c r="BV170">
        <v>28.992248</v>
      </c>
      <c r="BW170">
        <v>50</v>
      </c>
      <c r="BX170">
        <v>0.88304099999999996</v>
      </c>
      <c r="BY170">
        <v>50</v>
      </c>
      <c r="BZ170">
        <v>50</v>
      </c>
      <c r="CA170">
        <v>0.52046800000000004</v>
      </c>
      <c r="CB170">
        <v>34.697856000000002</v>
      </c>
      <c r="CC170">
        <v>50</v>
      </c>
      <c r="CD170">
        <v>0.98954699999999995</v>
      </c>
      <c r="CE170">
        <v>50</v>
      </c>
      <c r="CF170">
        <v>50</v>
      </c>
      <c r="CG170">
        <v>0.97382199999999997</v>
      </c>
      <c r="CH170">
        <v>100</v>
      </c>
      <c r="CI170">
        <v>100</v>
      </c>
      <c r="CJ170">
        <v>0</v>
      </c>
      <c r="CK170">
        <v>0.91666700000000001</v>
      </c>
      <c r="CL170">
        <v>97.51773</v>
      </c>
      <c r="CM170">
        <v>100</v>
      </c>
      <c r="CN170">
        <v>0.78900000000000003</v>
      </c>
      <c r="CO170">
        <v>100</v>
      </c>
      <c r="CP170">
        <v>100</v>
      </c>
      <c r="CQ170">
        <v>0.46861000000000003</v>
      </c>
      <c r="CR170">
        <v>0.88316799999999995</v>
      </c>
      <c r="CS170">
        <v>15.620329</v>
      </c>
      <c r="CT170">
        <v>50</v>
      </c>
      <c r="CU170">
        <v>0.249639</v>
      </c>
      <c r="CV170">
        <v>20.803270999999999</v>
      </c>
      <c r="CW170">
        <v>50</v>
      </c>
      <c r="CX170">
        <v>0.91666700000000001</v>
      </c>
      <c r="CY170">
        <v>0.94</v>
      </c>
      <c r="CZ170">
        <v>2.3333E-2</v>
      </c>
      <c r="DA170">
        <v>15.389535</v>
      </c>
      <c r="DB170">
        <v>17.608319000000002</v>
      </c>
      <c r="DC170">
        <v>16.064022999999999</v>
      </c>
      <c r="DD170">
        <v>11.115401</v>
      </c>
      <c r="DE170" t="s">
        <v>125</v>
      </c>
      <c r="DJ170" t="s">
        <v>125</v>
      </c>
      <c r="DK170" t="s">
        <v>125</v>
      </c>
      <c r="DL170" t="s">
        <v>125</v>
      </c>
      <c r="DM170" t="s">
        <v>125</v>
      </c>
      <c r="DN170" t="s">
        <v>125</v>
      </c>
      <c r="DO170" t="s">
        <v>125</v>
      </c>
      <c r="DQ170" t="s">
        <v>126</v>
      </c>
    </row>
    <row r="171" spans="1:121" x14ac:dyDescent="0.15">
      <c r="A171">
        <v>2018</v>
      </c>
      <c r="B171" t="s">
        <v>293</v>
      </c>
      <c r="C171" t="str">
        <f>"2150012"</f>
        <v>2150012</v>
      </c>
      <c r="D171" t="s">
        <v>123</v>
      </c>
      <c r="E171" t="str">
        <f t="shared" si="0"/>
        <v>0000000</v>
      </c>
      <c r="F171" t="s">
        <v>123</v>
      </c>
      <c r="G171" t="s">
        <v>123</v>
      </c>
      <c r="H171" t="s">
        <v>123</v>
      </c>
      <c r="J171" t="s">
        <v>124</v>
      </c>
      <c r="K171">
        <v>1213.907702</v>
      </c>
      <c r="L171">
        <v>1450</v>
      </c>
      <c r="M171">
        <v>83.717772999999994</v>
      </c>
      <c r="N171" t="s">
        <v>125</v>
      </c>
      <c r="O171">
        <v>0</v>
      </c>
      <c r="P171">
        <v>75.983647000000005</v>
      </c>
      <c r="Q171">
        <v>50</v>
      </c>
      <c r="R171">
        <v>50</v>
      </c>
      <c r="S171">
        <v>65.251956000000007</v>
      </c>
      <c r="T171">
        <v>75</v>
      </c>
      <c r="U171">
        <v>43.501303999999998</v>
      </c>
      <c r="V171">
        <v>50</v>
      </c>
      <c r="W171">
        <v>74.546899999999994</v>
      </c>
      <c r="X171">
        <v>49.697932999999999</v>
      </c>
      <c r="Y171">
        <v>50</v>
      </c>
      <c r="Z171">
        <v>75</v>
      </c>
      <c r="AA171">
        <v>62.262264999999999</v>
      </c>
      <c r="AB171">
        <v>41.508177000000003</v>
      </c>
      <c r="AC171">
        <v>50</v>
      </c>
      <c r="AD171">
        <v>72.953469999999996</v>
      </c>
      <c r="AE171">
        <v>48.635646999999999</v>
      </c>
      <c r="AF171">
        <v>50</v>
      </c>
      <c r="AG171">
        <v>62.733806999999999</v>
      </c>
      <c r="AH171">
        <v>75</v>
      </c>
      <c r="AI171">
        <v>41.822538000000002</v>
      </c>
      <c r="AJ171">
        <v>50</v>
      </c>
      <c r="AK171">
        <v>9.74</v>
      </c>
      <c r="AL171">
        <v>12.73</v>
      </c>
      <c r="AM171">
        <v>12.26</v>
      </c>
      <c r="AN171">
        <v>0.64386699999999997</v>
      </c>
      <c r="AO171">
        <v>64.38673</v>
      </c>
      <c r="AP171">
        <v>100</v>
      </c>
      <c r="AQ171">
        <v>0.69458600000000004</v>
      </c>
      <c r="AR171">
        <v>69.458601000000002</v>
      </c>
      <c r="AS171">
        <v>100</v>
      </c>
      <c r="AT171">
        <v>0.60324100000000003</v>
      </c>
      <c r="AU171">
        <v>0.65831300000000004</v>
      </c>
      <c r="AV171">
        <v>60.324145999999999</v>
      </c>
      <c r="AW171">
        <v>100</v>
      </c>
      <c r="AX171">
        <v>0.57587100000000002</v>
      </c>
      <c r="AY171">
        <v>0.73679899999999998</v>
      </c>
      <c r="AZ171">
        <v>57.587062000000003</v>
      </c>
      <c r="BA171">
        <v>100</v>
      </c>
      <c r="BB171">
        <v>0.87087199999999998</v>
      </c>
      <c r="BC171">
        <v>43.543579999999999</v>
      </c>
      <c r="BD171">
        <v>50</v>
      </c>
      <c r="BE171">
        <v>0.80697099999999999</v>
      </c>
      <c r="BF171">
        <v>40.348545000000001</v>
      </c>
      <c r="BG171">
        <v>50</v>
      </c>
      <c r="BH171">
        <v>1</v>
      </c>
      <c r="BI171">
        <v>0.98260000000000003</v>
      </c>
      <c r="BJ171">
        <v>0.96133599999999997</v>
      </c>
      <c r="BK171">
        <v>0.99133599999999999</v>
      </c>
      <c r="BL171">
        <v>0.981576</v>
      </c>
      <c r="BM171">
        <v>0.95957800000000004</v>
      </c>
      <c r="BN171">
        <v>0.99061399999999999</v>
      </c>
      <c r="BO171">
        <v>0.97760400000000003</v>
      </c>
      <c r="BP171">
        <v>0.94047599999999998</v>
      </c>
      <c r="BQ171">
        <v>0.99219999999999997</v>
      </c>
      <c r="BR171">
        <v>4.1724999999999998E-2</v>
      </c>
      <c r="BS171">
        <v>50</v>
      </c>
      <c r="BT171">
        <v>50</v>
      </c>
      <c r="BU171">
        <v>9.7280000000000005E-2</v>
      </c>
      <c r="BV171">
        <v>40.543933000000003</v>
      </c>
      <c r="BW171">
        <v>50</v>
      </c>
      <c r="BX171">
        <v>0.69860900000000004</v>
      </c>
      <c r="BY171">
        <v>46.573931000000002</v>
      </c>
      <c r="BZ171">
        <v>50</v>
      </c>
      <c r="CA171">
        <v>0.67387900000000001</v>
      </c>
      <c r="CB171">
        <v>44.925296000000003</v>
      </c>
      <c r="CC171">
        <v>50</v>
      </c>
      <c r="CD171">
        <v>0.94909699999999997</v>
      </c>
      <c r="CE171">
        <v>50</v>
      </c>
      <c r="CF171">
        <v>50</v>
      </c>
      <c r="CG171">
        <v>0.94520499999999996</v>
      </c>
      <c r="CH171">
        <v>100</v>
      </c>
      <c r="CI171">
        <v>100</v>
      </c>
      <c r="CJ171">
        <v>0</v>
      </c>
      <c r="CK171">
        <v>0.89230799999999999</v>
      </c>
      <c r="CL171">
        <v>94.926349999999999</v>
      </c>
      <c r="CM171">
        <v>100</v>
      </c>
      <c r="CN171">
        <v>0.82299999999999995</v>
      </c>
      <c r="CO171">
        <v>100</v>
      </c>
      <c r="CP171">
        <v>100</v>
      </c>
      <c r="CQ171">
        <v>0.49764399999999998</v>
      </c>
      <c r="CR171">
        <v>0.95758100000000002</v>
      </c>
      <c r="CS171">
        <v>33.176248999999999</v>
      </c>
      <c r="CT171">
        <v>50</v>
      </c>
      <c r="CU171">
        <v>0.51537200000000005</v>
      </c>
      <c r="CV171">
        <v>42.947681000000003</v>
      </c>
      <c r="CW171">
        <v>50</v>
      </c>
      <c r="CX171">
        <v>0.89230799999999999</v>
      </c>
      <c r="CY171">
        <v>0.94</v>
      </c>
      <c r="CZ171">
        <v>4.7691999999999998E-2</v>
      </c>
      <c r="DA171">
        <v>15.389535</v>
      </c>
      <c r="DB171">
        <v>17.608319000000002</v>
      </c>
      <c r="DC171">
        <v>16.064022999999999</v>
      </c>
      <c r="DD171">
        <v>11.115401</v>
      </c>
      <c r="DE171" t="s">
        <v>125</v>
      </c>
      <c r="DJ171" t="s">
        <v>125</v>
      </c>
      <c r="DK171" t="s">
        <v>125</v>
      </c>
      <c r="DL171" t="s">
        <v>125</v>
      </c>
      <c r="DM171" t="s">
        <v>125</v>
      </c>
      <c r="DN171" t="s">
        <v>125</v>
      </c>
      <c r="DO171" t="s">
        <v>125</v>
      </c>
      <c r="DQ171" t="s">
        <v>126</v>
      </c>
    </row>
    <row r="172" spans="1:121" x14ac:dyDescent="0.15">
      <c r="A172">
        <v>2018</v>
      </c>
      <c r="B172" t="s">
        <v>294</v>
      </c>
      <c r="C172" t="str">
        <f>"2160012"</f>
        <v>2160012</v>
      </c>
      <c r="D172" t="s">
        <v>123</v>
      </c>
      <c r="E172" t="str">
        <f t="shared" si="0"/>
        <v>0000000</v>
      </c>
      <c r="F172" t="s">
        <v>123</v>
      </c>
      <c r="G172" t="s">
        <v>123</v>
      </c>
      <c r="H172" t="s">
        <v>123</v>
      </c>
      <c r="J172" t="s">
        <v>124</v>
      </c>
      <c r="K172">
        <v>1167.9519399999999</v>
      </c>
      <c r="L172">
        <v>1450</v>
      </c>
      <c r="M172">
        <v>80.548410000000004</v>
      </c>
      <c r="N172" t="s">
        <v>125</v>
      </c>
      <c r="O172">
        <v>1</v>
      </c>
      <c r="P172">
        <v>74.266540000000006</v>
      </c>
      <c r="Q172">
        <v>49.511026999999999</v>
      </c>
      <c r="R172">
        <v>50</v>
      </c>
      <c r="S172">
        <v>62.113781000000003</v>
      </c>
      <c r="T172">
        <v>75</v>
      </c>
      <c r="U172">
        <v>41.409187000000003</v>
      </c>
      <c r="V172">
        <v>50</v>
      </c>
      <c r="W172">
        <v>69.878550000000004</v>
      </c>
      <c r="X172">
        <v>46.585700000000003</v>
      </c>
      <c r="Y172">
        <v>50</v>
      </c>
      <c r="Z172">
        <v>75</v>
      </c>
      <c r="AA172">
        <v>56.557940000000002</v>
      </c>
      <c r="AB172">
        <v>37.705292999999998</v>
      </c>
      <c r="AC172">
        <v>50</v>
      </c>
      <c r="AD172">
        <v>66.558847999999998</v>
      </c>
      <c r="AE172">
        <v>44.372565000000002</v>
      </c>
      <c r="AF172">
        <v>50</v>
      </c>
      <c r="AG172">
        <v>56.837733</v>
      </c>
      <c r="AH172">
        <v>70.584210999999996</v>
      </c>
      <c r="AI172">
        <v>37.891821999999998</v>
      </c>
      <c r="AJ172">
        <v>50</v>
      </c>
      <c r="AK172">
        <v>12.88</v>
      </c>
      <c r="AL172">
        <v>18.440000000000001</v>
      </c>
      <c r="AM172">
        <v>13.74</v>
      </c>
      <c r="AN172">
        <v>0.60900399999999999</v>
      </c>
      <c r="AO172">
        <v>60.900390000000002</v>
      </c>
      <c r="AP172">
        <v>100</v>
      </c>
      <c r="AQ172">
        <v>0.62701200000000001</v>
      </c>
      <c r="AR172">
        <v>62.701180999999998</v>
      </c>
      <c r="AS172">
        <v>100</v>
      </c>
      <c r="AT172">
        <v>0.56892299999999996</v>
      </c>
      <c r="AU172">
        <v>0.62478</v>
      </c>
      <c r="AV172">
        <v>56.892325999999997</v>
      </c>
      <c r="AW172">
        <v>100</v>
      </c>
      <c r="AX172">
        <v>0.50462700000000005</v>
      </c>
      <c r="AY172">
        <v>0.67518400000000001</v>
      </c>
      <c r="AZ172">
        <v>50.462732000000003</v>
      </c>
      <c r="BA172">
        <v>100</v>
      </c>
      <c r="BB172">
        <v>0.69331100000000001</v>
      </c>
      <c r="BC172">
        <v>34.665573000000002</v>
      </c>
      <c r="BD172">
        <v>50</v>
      </c>
      <c r="BE172">
        <v>0.56937599999999999</v>
      </c>
      <c r="BF172">
        <v>28.468819</v>
      </c>
      <c r="BG172">
        <v>50</v>
      </c>
      <c r="BH172">
        <v>0</v>
      </c>
      <c r="BI172">
        <v>0.98968199999999995</v>
      </c>
      <c r="BJ172">
        <v>0.97988500000000001</v>
      </c>
      <c r="BK172">
        <v>0.993865</v>
      </c>
      <c r="BL172">
        <v>0.98969099999999999</v>
      </c>
      <c r="BM172">
        <v>0.97994300000000001</v>
      </c>
      <c r="BN172">
        <v>0.993865</v>
      </c>
      <c r="BO172">
        <v>0.99032900000000001</v>
      </c>
      <c r="BP172">
        <v>0.97499999999999998</v>
      </c>
      <c r="BQ172">
        <v>0.99719899999999995</v>
      </c>
      <c r="BR172">
        <v>3.7267000000000002E-2</v>
      </c>
      <c r="BS172">
        <v>50</v>
      </c>
      <c r="BT172">
        <v>50</v>
      </c>
      <c r="BU172">
        <v>7.6547000000000004E-2</v>
      </c>
      <c r="BV172">
        <v>44.690553999999999</v>
      </c>
      <c r="BW172">
        <v>50</v>
      </c>
      <c r="BX172">
        <v>0.74712599999999996</v>
      </c>
      <c r="BY172">
        <v>49.808428999999997</v>
      </c>
      <c r="BZ172">
        <v>50</v>
      </c>
      <c r="CA172">
        <v>0.58908000000000005</v>
      </c>
      <c r="CB172">
        <v>39.272030999999998</v>
      </c>
      <c r="CC172">
        <v>50</v>
      </c>
      <c r="CD172">
        <v>0.96587900000000004</v>
      </c>
      <c r="CE172">
        <v>50</v>
      </c>
      <c r="CF172">
        <v>50</v>
      </c>
      <c r="CG172">
        <v>0.97075999999999996</v>
      </c>
      <c r="CH172">
        <v>100</v>
      </c>
      <c r="CI172">
        <v>100</v>
      </c>
      <c r="CJ172">
        <v>0</v>
      </c>
      <c r="CK172">
        <v>0.91228100000000001</v>
      </c>
      <c r="CL172">
        <v>97.051137999999995</v>
      </c>
      <c r="CM172">
        <v>100</v>
      </c>
      <c r="CN172">
        <v>0.751</v>
      </c>
      <c r="CO172">
        <v>100</v>
      </c>
      <c r="CP172">
        <v>100</v>
      </c>
      <c r="CQ172">
        <v>0.60064399999999996</v>
      </c>
      <c r="CR172">
        <v>0.93524099999999999</v>
      </c>
      <c r="CS172">
        <v>40.042940999999999</v>
      </c>
      <c r="CT172">
        <v>50</v>
      </c>
      <c r="CU172">
        <v>0.54624300000000003</v>
      </c>
      <c r="CV172">
        <v>45.520231000000003</v>
      </c>
      <c r="CW172">
        <v>50</v>
      </c>
      <c r="CX172">
        <v>0.91228100000000001</v>
      </c>
      <c r="CY172">
        <v>0.94</v>
      </c>
      <c r="CZ172">
        <v>2.7719000000000001E-2</v>
      </c>
      <c r="DA172">
        <v>15.389535</v>
      </c>
      <c r="DB172">
        <v>17.608319000000002</v>
      </c>
      <c r="DC172">
        <v>16.064022999999999</v>
      </c>
      <c r="DD172">
        <v>11.115401</v>
      </c>
      <c r="DE172" t="s">
        <v>125</v>
      </c>
      <c r="DJ172" t="s">
        <v>125</v>
      </c>
      <c r="DK172" t="s">
        <v>125</v>
      </c>
      <c r="DL172" t="s">
        <v>125</v>
      </c>
      <c r="DM172" t="s">
        <v>125</v>
      </c>
      <c r="DN172" t="s">
        <v>125</v>
      </c>
      <c r="DO172" t="s">
        <v>125</v>
      </c>
      <c r="DQ172" t="s">
        <v>126</v>
      </c>
    </row>
    <row r="173" spans="1:121" x14ac:dyDescent="0.15">
      <c r="A173">
        <v>2018</v>
      </c>
      <c r="B173" t="s">
        <v>295</v>
      </c>
      <c r="C173" t="str">
        <f>"2170012"</f>
        <v>2170012</v>
      </c>
      <c r="D173" t="s">
        <v>123</v>
      </c>
      <c r="E173" t="str">
        <f t="shared" si="0"/>
        <v>0000000</v>
      </c>
      <c r="F173" t="s">
        <v>123</v>
      </c>
      <c r="G173" t="s">
        <v>123</v>
      </c>
      <c r="H173" t="s">
        <v>123</v>
      </c>
      <c r="J173" t="s">
        <v>124</v>
      </c>
      <c r="K173">
        <v>1107.965776</v>
      </c>
      <c r="L173">
        <v>1350</v>
      </c>
      <c r="M173">
        <v>82.071539000000001</v>
      </c>
      <c r="N173" t="s">
        <v>125</v>
      </c>
      <c r="O173">
        <v>1</v>
      </c>
      <c r="P173">
        <v>75.048669000000004</v>
      </c>
      <c r="Q173">
        <v>50</v>
      </c>
      <c r="R173">
        <v>50</v>
      </c>
      <c r="S173">
        <v>62.743385000000004</v>
      </c>
      <c r="T173">
        <v>75</v>
      </c>
      <c r="U173">
        <v>41.828923000000003</v>
      </c>
      <c r="V173">
        <v>50</v>
      </c>
      <c r="W173">
        <v>70.170822000000001</v>
      </c>
      <c r="X173">
        <v>46.780548000000003</v>
      </c>
      <c r="Y173">
        <v>50</v>
      </c>
      <c r="Z173">
        <v>75</v>
      </c>
      <c r="AA173">
        <v>56.432780000000001</v>
      </c>
      <c r="AB173">
        <v>37.621853000000002</v>
      </c>
      <c r="AC173">
        <v>50</v>
      </c>
      <c r="AD173">
        <v>73.085130000000007</v>
      </c>
      <c r="AE173">
        <v>48.723419999999997</v>
      </c>
      <c r="AF173">
        <v>50</v>
      </c>
      <c r="AG173">
        <v>60.902465999999997</v>
      </c>
      <c r="AH173">
        <v>75</v>
      </c>
      <c r="AI173">
        <v>40.601644</v>
      </c>
      <c r="AJ173">
        <v>50</v>
      </c>
      <c r="AK173">
        <v>12.25</v>
      </c>
      <c r="AL173">
        <v>18.559999999999999</v>
      </c>
      <c r="AM173">
        <v>14.09</v>
      </c>
      <c r="AN173">
        <v>0.61708099999999999</v>
      </c>
      <c r="AO173">
        <v>61.708083999999999</v>
      </c>
      <c r="AP173">
        <v>100</v>
      </c>
      <c r="AQ173">
        <v>0.60013099999999997</v>
      </c>
      <c r="AR173">
        <v>60.013109</v>
      </c>
      <c r="AS173">
        <v>100</v>
      </c>
      <c r="AT173">
        <v>0.55594200000000005</v>
      </c>
      <c r="AU173">
        <v>0.63932299999999997</v>
      </c>
      <c r="AV173">
        <v>55.594237</v>
      </c>
      <c r="AW173">
        <v>100</v>
      </c>
      <c r="AX173">
        <v>0.45214700000000002</v>
      </c>
      <c r="AY173">
        <v>0.65354100000000004</v>
      </c>
      <c r="AZ173">
        <v>45.214668000000003</v>
      </c>
      <c r="BA173">
        <v>100</v>
      </c>
      <c r="BB173" t="s">
        <v>125</v>
      </c>
      <c r="BC173" t="s">
        <v>125</v>
      </c>
      <c r="BD173" t="s">
        <v>125</v>
      </c>
      <c r="BE173" t="s">
        <v>125</v>
      </c>
      <c r="BF173" t="s">
        <v>125</v>
      </c>
      <c r="BG173" t="s">
        <v>125</v>
      </c>
      <c r="BH173">
        <v>0</v>
      </c>
      <c r="BI173">
        <v>0.98447499999999999</v>
      </c>
      <c r="BJ173">
        <v>0.97658900000000004</v>
      </c>
      <c r="BK173">
        <v>0.98743700000000001</v>
      </c>
      <c r="BL173">
        <v>0.98264799999999997</v>
      </c>
      <c r="BM173">
        <v>0.96989999999999998</v>
      </c>
      <c r="BN173">
        <v>0.98743700000000001</v>
      </c>
      <c r="BO173">
        <v>0.99015699999999995</v>
      </c>
      <c r="BP173">
        <v>0.984962</v>
      </c>
      <c r="BQ173">
        <v>0.99199999999999999</v>
      </c>
      <c r="BR173">
        <v>4.2509999999999999E-2</v>
      </c>
      <c r="BS173">
        <v>50</v>
      </c>
      <c r="BT173">
        <v>50</v>
      </c>
      <c r="BU173">
        <v>8.9668999999999999E-2</v>
      </c>
      <c r="BV173">
        <v>42.066276999999999</v>
      </c>
      <c r="BW173">
        <v>50</v>
      </c>
      <c r="BX173">
        <v>0.91076900000000005</v>
      </c>
      <c r="BY173">
        <v>50</v>
      </c>
      <c r="BZ173">
        <v>50</v>
      </c>
      <c r="CA173">
        <v>0.584615</v>
      </c>
      <c r="CB173">
        <v>38.974359</v>
      </c>
      <c r="CC173">
        <v>50</v>
      </c>
      <c r="CD173">
        <v>0.98951</v>
      </c>
      <c r="CE173">
        <v>50</v>
      </c>
      <c r="CF173">
        <v>50</v>
      </c>
      <c r="CG173">
        <v>0.94642899999999996</v>
      </c>
      <c r="CH173">
        <v>100</v>
      </c>
      <c r="CI173">
        <v>100</v>
      </c>
      <c r="CJ173">
        <v>0</v>
      </c>
      <c r="CK173">
        <v>0.92105300000000001</v>
      </c>
      <c r="CL173">
        <v>97.984323000000003</v>
      </c>
      <c r="CM173">
        <v>100</v>
      </c>
      <c r="CN173">
        <v>0.8</v>
      </c>
      <c r="CO173">
        <v>100</v>
      </c>
      <c r="CP173">
        <v>100</v>
      </c>
      <c r="CQ173">
        <v>0.72139299999999995</v>
      </c>
      <c r="CR173">
        <v>0.91087600000000002</v>
      </c>
      <c r="CS173">
        <v>48.092869</v>
      </c>
      <c r="CT173">
        <v>50</v>
      </c>
      <c r="CU173">
        <v>0.51313799999999998</v>
      </c>
      <c r="CV173">
        <v>42.761462999999999</v>
      </c>
      <c r="CW173">
        <v>50</v>
      </c>
      <c r="CX173">
        <v>0.92105300000000001</v>
      </c>
      <c r="CY173">
        <v>0.94</v>
      </c>
      <c r="CZ173">
        <v>1.8946999999999999E-2</v>
      </c>
      <c r="DA173">
        <v>15.389535</v>
      </c>
      <c r="DB173">
        <v>17.608319000000002</v>
      </c>
      <c r="DC173">
        <v>16.064022999999999</v>
      </c>
      <c r="DD173">
        <v>11.115401</v>
      </c>
      <c r="DE173" t="s">
        <v>125</v>
      </c>
      <c r="DJ173" t="s">
        <v>125</v>
      </c>
      <c r="DK173" t="s">
        <v>125</v>
      </c>
      <c r="DL173" t="s">
        <v>125</v>
      </c>
      <c r="DM173" t="s">
        <v>125</v>
      </c>
      <c r="DN173" t="s">
        <v>125</v>
      </c>
      <c r="DO173" t="s">
        <v>125</v>
      </c>
      <c r="DQ173" t="s">
        <v>126</v>
      </c>
    </row>
    <row r="174" spans="1:121" x14ac:dyDescent="0.15">
      <c r="A174">
        <v>2018</v>
      </c>
      <c r="B174" t="s">
        <v>296</v>
      </c>
      <c r="C174" t="str">
        <f>"2180012"</f>
        <v>2180012</v>
      </c>
      <c r="D174" t="s">
        <v>123</v>
      </c>
      <c r="E174" t="str">
        <f t="shared" si="0"/>
        <v>0000000</v>
      </c>
      <c r="F174" t="s">
        <v>123</v>
      </c>
      <c r="G174" t="s">
        <v>123</v>
      </c>
      <c r="H174" t="s">
        <v>123</v>
      </c>
      <c r="J174" t="s">
        <v>124</v>
      </c>
      <c r="K174">
        <v>1082.9327960000001</v>
      </c>
      <c r="L174">
        <v>1250</v>
      </c>
      <c r="M174">
        <v>86.634624000000002</v>
      </c>
      <c r="N174" t="s">
        <v>125</v>
      </c>
      <c r="O174">
        <v>0</v>
      </c>
      <c r="P174">
        <v>79.987701999999999</v>
      </c>
      <c r="Q174">
        <v>50</v>
      </c>
      <c r="R174">
        <v>50</v>
      </c>
      <c r="S174">
        <v>70.515998999999994</v>
      </c>
      <c r="T174">
        <v>75</v>
      </c>
      <c r="U174">
        <v>47.010666000000001</v>
      </c>
      <c r="V174">
        <v>50</v>
      </c>
      <c r="W174">
        <v>78.108698000000004</v>
      </c>
      <c r="X174">
        <v>50</v>
      </c>
      <c r="Y174">
        <v>50</v>
      </c>
      <c r="Z174">
        <v>75</v>
      </c>
      <c r="AA174">
        <v>68.612109000000004</v>
      </c>
      <c r="AB174">
        <v>45.741405999999998</v>
      </c>
      <c r="AC174">
        <v>50</v>
      </c>
      <c r="AD174">
        <v>78.096221</v>
      </c>
      <c r="AE174">
        <v>50</v>
      </c>
      <c r="AF174">
        <v>50</v>
      </c>
      <c r="AG174">
        <v>68.458046999999993</v>
      </c>
      <c r="AH174">
        <v>75</v>
      </c>
      <c r="AI174">
        <v>45.638697999999998</v>
      </c>
      <c r="AJ174">
        <v>50</v>
      </c>
      <c r="AK174">
        <v>4.4800000000000004</v>
      </c>
      <c r="AL174">
        <v>6.38</v>
      </c>
      <c r="AM174">
        <v>6.54</v>
      </c>
      <c r="AN174">
        <v>0.67359000000000002</v>
      </c>
      <c r="AO174">
        <v>67.359026999999998</v>
      </c>
      <c r="AP174">
        <v>100</v>
      </c>
      <c r="AQ174">
        <v>0.72975800000000002</v>
      </c>
      <c r="AR174">
        <v>72.975759999999994</v>
      </c>
      <c r="AS174">
        <v>100</v>
      </c>
      <c r="AT174">
        <v>0.61881799999999998</v>
      </c>
      <c r="AU174">
        <v>0.697743</v>
      </c>
      <c r="AV174">
        <v>61.881788</v>
      </c>
      <c r="AW174">
        <v>100</v>
      </c>
      <c r="AX174">
        <v>0.66983800000000004</v>
      </c>
      <c r="AY174">
        <v>0.75606399999999996</v>
      </c>
      <c r="AZ174">
        <v>66.983784</v>
      </c>
      <c r="BA174">
        <v>100</v>
      </c>
      <c r="BB174" t="s">
        <v>125</v>
      </c>
      <c r="BC174" t="s">
        <v>125</v>
      </c>
      <c r="BD174" t="s">
        <v>125</v>
      </c>
      <c r="BE174" t="s">
        <v>125</v>
      </c>
      <c r="BF174" t="s">
        <v>125</v>
      </c>
      <c r="BG174" t="s">
        <v>125</v>
      </c>
      <c r="BH174">
        <v>0</v>
      </c>
      <c r="BI174">
        <v>0.995502</v>
      </c>
      <c r="BJ174">
        <v>0.99029100000000003</v>
      </c>
      <c r="BK174">
        <v>0.99783100000000002</v>
      </c>
      <c r="BL174">
        <v>0.995502</v>
      </c>
      <c r="BM174">
        <v>0.99029100000000003</v>
      </c>
      <c r="BN174">
        <v>0.99783100000000002</v>
      </c>
      <c r="BO174">
        <v>0.99047600000000002</v>
      </c>
      <c r="BP174">
        <v>0.98780500000000004</v>
      </c>
      <c r="BQ174">
        <v>0.99141599999999996</v>
      </c>
      <c r="BR174">
        <v>5.4559999999999997E-2</v>
      </c>
      <c r="BS174">
        <v>49.087947999999997</v>
      </c>
      <c r="BT174">
        <v>50</v>
      </c>
      <c r="BU174">
        <v>9.7059000000000006E-2</v>
      </c>
      <c r="BV174">
        <v>40.588234999999997</v>
      </c>
      <c r="BW174">
        <v>50</v>
      </c>
      <c r="BX174">
        <v>0.94693899999999998</v>
      </c>
      <c r="BY174">
        <v>50</v>
      </c>
      <c r="BZ174">
        <v>50</v>
      </c>
      <c r="CA174">
        <v>0.74693900000000002</v>
      </c>
      <c r="CB174">
        <v>49.795918</v>
      </c>
      <c r="CC174">
        <v>50</v>
      </c>
      <c r="CD174">
        <v>0.96281000000000005</v>
      </c>
      <c r="CE174">
        <v>50</v>
      </c>
      <c r="CF174">
        <v>50</v>
      </c>
      <c r="CG174">
        <v>0.95762700000000001</v>
      </c>
      <c r="CH174">
        <v>100</v>
      </c>
      <c r="CI174">
        <v>100</v>
      </c>
      <c r="CJ174">
        <v>0</v>
      </c>
      <c r="CK174" t="s">
        <v>125</v>
      </c>
      <c r="CL174" t="s">
        <v>125</v>
      </c>
      <c r="CM174" t="s">
        <v>125</v>
      </c>
      <c r="CN174">
        <v>0.81899999999999995</v>
      </c>
      <c r="CO174">
        <v>100</v>
      </c>
      <c r="CP174">
        <v>100</v>
      </c>
      <c r="CQ174">
        <v>0.53804300000000005</v>
      </c>
      <c r="CR174">
        <v>0.92929300000000004</v>
      </c>
      <c r="CS174">
        <v>35.869565000000001</v>
      </c>
      <c r="CT174">
        <v>50</v>
      </c>
      <c r="CU174">
        <v>0.60950400000000005</v>
      </c>
      <c r="CV174">
        <v>50</v>
      </c>
      <c r="CW174">
        <v>50</v>
      </c>
      <c r="CX174" t="s">
        <v>125</v>
      </c>
      <c r="CY174" t="s">
        <v>125</v>
      </c>
      <c r="CZ174" t="s">
        <v>125</v>
      </c>
      <c r="DA174">
        <v>15.389535</v>
      </c>
      <c r="DB174">
        <v>17.608319000000002</v>
      </c>
      <c r="DC174">
        <v>16.064022999999999</v>
      </c>
      <c r="DD174">
        <v>11.115401</v>
      </c>
      <c r="DE174" t="s">
        <v>125</v>
      </c>
      <c r="DJ174" t="s">
        <v>125</v>
      </c>
      <c r="DK174" t="s">
        <v>125</v>
      </c>
      <c r="DL174" t="s">
        <v>125</v>
      </c>
      <c r="DM174" t="s">
        <v>125</v>
      </c>
      <c r="DN174" t="s">
        <v>125</v>
      </c>
      <c r="DO174" t="s">
        <v>125</v>
      </c>
      <c r="DQ174" t="s">
        <v>126</v>
      </c>
    </row>
    <row r="175" spans="1:121" x14ac:dyDescent="0.15">
      <c r="A175">
        <v>2018</v>
      </c>
      <c r="B175" t="s">
        <v>297</v>
      </c>
      <c r="C175" t="str">
        <f>"0600011"</f>
        <v>0600011</v>
      </c>
      <c r="D175" t="s">
        <v>123</v>
      </c>
      <c r="E175" t="str">
        <f t="shared" si="0"/>
        <v>0000000</v>
      </c>
      <c r="F175" t="s">
        <v>123</v>
      </c>
      <c r="G175" t="s">
        <v>123</v>
      </c>
      <c r="H175" t="s">
        <v>123</v>
      </c>
      <c r="J175" t="s">
        <v>124</v>
      </c>
      <c r="K175">
        <v>1223.5611039999999</v>
      </c>
      <c r="L175">
        <v>1450</v>
      </c>
      <c r="M175">
        <v>84.383523999999994</v>
      </c>
      <c r="N175" t="s">
        <v>125</v>
      </c>
      <c r="O175">
        <v>0</v>
      </c>
      <c r="P175">
        <v>79.721267999999995</v>
      </c>
      <c r="Q175">
        <v>50</v>
      </c>
      <c r="R175">
        <v>50</v>
      </c>
      <c r="S175">
        <v>65.107889999999998</v>
      </c>
      <c r="T175">
        <v>75</v>
      </c>
      <c r="U175">
        <v>43.405259999999998</v>
      </c>
      <c r="V175">
        <v>50</v>
      </c>
      <c r="W175">
        <v>77.784133999999995</v>
      </c>
      <c r="X175">
        <v>50</v>
      </c>
      <c r="Y175">
        <v>50</v>
      </c>
      <c r="Z175">
        <v>75</v>
      </c>
      <c r="AA175">
        <v>62.616522000000003</v>
      </c>
      <c r="AB175">
        <v>41.744348000000002</v>
      </c>
      <c r="AC175">
        <v>50</v>
      </c>
      <c r="AD175">
        <v>75.991141999999996</v>
      </c>
      <c r="AE175">
        <v>50</v>
      </c>
      <c r="AF175">
        <v>50</v>
      </c>
      <c r="AG175">
        <v>62.451832000000003</v>
      </c>
      <c r="AH175">
        <v>75</v>
      </c>
      <c r="AI175">
        <v>41.634554999999999</v>
      </c>
      <c r="AJ175">
        <v>50</v>
      </c>
      <c r="AK175">
        <v>9.89</v>
      </c>
      <c r="AL175">
        <v>12.38</v>
      </c>
      <c r="AM175">
        <v>12.54</v>
      </c>
      <c r="AN175">
        <v>0.66503900000000005</v>
      </c>
      <c r="AO175">
        <v>66.503945000000002</v>
      </c>
      <c r="AP175">
        <v>100</v>
      </c>
      <c r="AQ175">
        <v>0.75767300000000004</v>
      </c>
      <c r="AR175">
        <v>75.767318000000003</v>
      </c>
      <c r="AS175">
        <v>100</v>
      </c>
      <c r="AT175">
        <v>0.54138299999999995</v>
      </c>
      <c r="AU175">
        <v>0.69947199999999998</v>
      </c>
      <c r="AV175">
        <v>54.138347000000003</v>
      </c>
      <c r="AW175">
        <v>100</v>
      </c>
      <c r="AX175">
        <v>0.67375399999999996</v>
      </c>
      <c r="AY175">
        <v>0.78106500000000001</v>
      </c>
      <c r="AZ175">
        <v>67.375377</v>
      </c>
      <c r="BA175">
        <v>100</v>
      </c>
      <c r="BB175">
        <v>0.61768000000000001</v>
      </c>
      <c r="BC175">
        <v>30.884015000000002</v>
      </c>
      <c r="BD175">
        <v>50</v>
      </c>
      <c r="BE175">
        <v>0.592221</v>
      </c>
      <c r="BF175">
        <v>29.611035000000001</v>
      </c>
      <c r="BG175">
        <v>50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5.6437000000000001E-2</v>
      </c>
      <c r="BS175">
        <v>48.712629999999997</v>
      </c>
      <c r="BT175">
        <v>50</v>
      </c>
      <c r="BU175">
        <v>9.8930000000000004E-2</v>
      </c>
      <c r="BV175">
        <v>40.213903999999999</v>
      </c>
      <c r="BW175">
        <v>50</v>
      </c>
      <c r="BX175">
        <v>0.63814599999999999</v>
      </c>
      <c r="BY175">
        <v>42.543078000000001</v>
      </c>
      <c r="BZ175">
        <v>50</v>
      </c>
      <c r="CA175">
        <v>0.69696999999999998</v>
      </c>
      <c r="CB175">
        <v>46.464646000000002</v>
      </c>
      <c r="CC175">
        <v>50</v>
      </c>
      <c r="CD175">
        <v>0.94291000000000003</v>
      </c>
      <c r="CE175">
        <v>50</v>
      </c>
      <c r="CF175">
        <v>50</v>
      </c>
      <c r="CG175">
        <v>0.96969700000000003</v>
      </c>
      <c r="CH175">
        <v>100</v>
      </c>
      <c r="CI175">
        <v>100</v>
      </c>
      <c r="CJ175">
        <v>0</v>
      </c>
      <c r="CK175">
        <v>0.88888900000000004</v>
      </c>
      <c r="CL175">
        <v>94.562647999999996</v>
      </c>
      <c r="CM175">
        <v>100</v>
      </c>
      <c r="CN175">
        <v>0.79900000000000004</v>
      </c>
      <c r="CO175">
        <v>100</v>
      </c>
      <c r="CP175">
        <v>100</v>
      </c>
      <c r="CQ175">
        <v>0.75164600000000004</v>
      </c>
      <c r="CR175">
        <v>0.96812399999999998</v>
      </c>
      <c r="CS175">
        <v>50</v>
      </c>
      <c r="CT175">
        <v>50</v>
      </c>
      <c r="CU175">
        <v>0.69694199999999995</v>
      </c>
      <c r="CV175">
        <v>50</v>
      </c>
      <c r="CW175">
        <v>50</v>
      </c>
      <c r="CX175">
        <v>0.88888900000000004</v>
      </c>
      <c r="CY175">
        <v>0.94</v>
      </c>
      <c r="CZ175">
        <v>5.1110999999999997E-2</v>
      </c>
      <c r="DA175">
        <v>15.389535</v>
      </c>
      <c r="DB175">
        <v>17.608319000000002</v>
      </c>
      <c r="DC175">
        <v>16.064022999999999</v>
      </c>
      <c r="DD175">
        <v>11.115401</v>
      </c>
      <c r="DE175" t="s">
        <v>125</v>
      </c>
      <c r="DJ175" t="s">
        <v>125</v>
      </c>
      <c r="DK175" t="s">
        <v>125</v>
      </c>
      <c r="DL175" t="s">
        <v>125</v>
      </c>
      <c r="DM175" t="s">
        <v>125</v>
      </c>
      <c r="DN175" t="s">
        <v>125</v>
      </c>
      <c r="DO175" t="s">
        <v>125</v>
      </c>
      <c r="DQ175" t="s">
        <v>126</v>
      </c>
    </row>
    <row r="176" spans="1:121" x14ac:dyDescent="0.15">
      <c r="A176">
        <v>2018</v>
      </c>
      <c r="B176" t="s">
        <v>298</v>
      </c>
      <c r="C176" t="str">
        <f>"1090011"</f>
        <v>1090011</v>
      </c>
      <c r="D176" t="s">
        <v>123</v>
      </c>
      <c r="E176" t="str">
        <f t="shared" si="0"/>
        <v>0000000</v>
      </c>
      <c r="F176" t="s">
        <v>123</v>
      </c>
      <c r="G176" t="s">
        <v>123</v>
      </c>
      <c r="H176" t="s">
        <v>123</v>
      </c>
      <c r="J176" t="s">
        <v>124</v>
      </c>
      <c r="K176">
        <v>1030.0568229999999</v>
      </c>
      <c r="L176">
        <v>1450</v>
      </c>
      <c r="M176">
        <v>71.038402000000005</v>
      </c>
      <c r="N176" t="s">
        <v>125</v>
      </c>
      <c r="O176">
        <v>0</v>
      </c>
      <c r="P176">
        <v>67.374882999999997</v>
      </c>
      <c r="Q176">
        <v>44.916587999999997</v>
      </c>
      <c r="R176">
        <v>50</v>
      </c>
      <c r="S176">
        <v>63.169393999999997</v>
      </c>
      <c r="T176">
        <v>73.911242999999999</v>
      </c>
      <c r="U176">
        <v>42.112929999999999</v>
      </c>
      <c r="V176">
        <v>50</v>
      </c>
      <c r="W176">
        <v>61.175700999999997</v>
      </c>
      <c r="X176">
        <v>40.783800999999997</v>
      </c>
      <c r="Y176">
        <v>50</v>
      </c>
      <c r="Z176">
        <v>67.472667999999999</v>
      </c>
      <c r="AA176">
        <v>57.114682999999999</v>
      </c>
      <c r="AB176">
        <v>38.076455000000003</v>
      </c>
      <c r="AC176">
        <v>50</v>
      </c>
      <c r="AD176">
        <v>59.303972000000002</v>
      </c>
      <c r="AE176">
        <v>39.535981</v>
      </c>
      <c r="AF176">
        <v>50</v>
      </c>
      <c r="AG176">
        <v>56.101134999999999</v>
      </c>
      <c r="AH176">
        <v>63.395634999999999</v>
      </c>
      <c r="AI176">
        <v>37.400756000000001</v>
      </c>
      <c r="AJ176">
        <v>50</v>
      </c>
      <c r="AK176">
        <v>10.74</v>
      </c>
      <c r="AL176">
        <v>10.35</v>
      </c>
      <c r="AM176">
        <v>7.29</v>
      </c>
      <c r="AN176">
        <v>0.61463000000000001</v>
      </c>
      <c r="AO176">
        <v>61.462978</v>
      </c>
      <c r="AP176">
        <v>100</v>
      </c>
      <c r="AQ176">
        <v>0.59396199999999999</v>
      </c>
      <c r="AR176">
        <v>59.396231</v>
      </c>
      <c r="AS176">
        <v>100</v>
      </c>
      <c r="AT176">
        <v>0.61937799999999998</v>
      </c>
      <c r="AU176">
        <v>0.60763800000000001</v>
      </c>
      <c r="AV176">
        <v>61.937848000000002</v>
      </c>
      <c r="AW176">
        <v>100</v>
      </c>
      <c r="AX176">
        <v>0.564168</v>
      </c>
      <c r="AY176">
        <v>0.63768599999999998</v>
      </c>
      <c r="AZ176">
        <v>56.416843999999998</v>
      </c>
      <c r="BA176">
        <v>100</v>
      </c>
      <c r="BB176">
        <v>0.66445600000000005</v>
      </c>
      <c r="BC176">
        <v>33.222783999999997</v>
      </c>
      <c r="BD176">
        <v>50</v>
      </c>
      <c r="BE176">
        <v>0.58732899999999999</v>
      </c>
      <c r="BF176">
        <v>29.366467</v>
      </c>
      <c r="BG176">
        <v>50</v>
      </c>
      <c r="BH176">
        <v>0</v>
      </c>
      <c r="BI176">
        <v>0.97925700000000004</v>
      </c>
      <c r="BJ176">
        <v>0.96969700000000003</v>
      </c>
      <c r="BK176">
        <v>0.99536000000000002</v>
      </c>
      <c r="BL176">
        <v>0.97927500000000001</v>
      </c>
      <c r="BM176">
        <v>0.96836299999999997</v>
      </c>
      <c r="BN176">
        <v>0.99768000000000001</v>
      </c>
      <c r="BO176">
        <v>0.97455999999999998</v>
      </c>
      <c r="BP176">
        <v>0.96308700000000003</v>
      </c>
      <c r="BQ176">
        <v>0.99060999999999999</v>
      </c>
      <c r="BR176">
        <v>0.12984499999999999</v>
      </c>
      <c r="BS176">
        <v>34.031008</v>
      </c>
      <c r="BT176">
        <v>50</v>
      </c>
      <c r="BU176">
        <v>0.16731799999999999</v>
      </c>
      <c r="BV176">
        <v>26.536356999999999</v>
      </c>
      <c r="BW176">
        <v>50</v>
      </c>
      <c r="BX176">
        <v>0.716418</v>
      </c>
      <c r="BY176">
        <v>47.761194000000003</v>
      </c>
      <c r="BZ176">
        <v>50</v>
      </c>
      <c r="CA176">
        <v>0.23283599999999999</v>
      </c>
      <c r="CB176">
        <v>15.522387999999999</v>
      </c>
      <c r="CC176">
        <v>50</v>
      </c>
      <c r="CD176">
        <v>0.91872799999999999</v>
      </c>
      <c r="CE176">
        <v>48.868505999999996</v>
      </c>
      <c r="CF176">
        <v>50</v>
      </c>
      <c r="CG176">
        <v>0.84302299999999997</v>
      </c>
      <c r="CH176">
        <v>89.683324999999996</v>
      </c>
      <c r="CI176">
        <v>100</v>
      </c>
      <c r="CJ176">
        <v>1</v>
      </c>
      <c r="CK176">
        <v>0.75</v>
      </c>
      <c r="CL176">
        <v>79.787233999999998</v>
      </c>
      <c r="CM176">
        <v>100</v>
      </c>
      <c r="CN176">
        <v>0.52300000000000002</v>
      </c>
      <c r="CO176">
        <v>69.716775999999996</v>
      </c>
      <c r="CP176">
        <v>100</v>
      </c>
      <c r="CQ176">
        <v>0.467692</v>
      </c>
      <c r="CR176">
        <v>1.006192</v>
      </c>
      <c r="CS176">
        <v>31.179487000000002</v>
      </c>
      <c r="CT176">
        <v>50</v>
      </c>
      <c r="CU176">
        <v>0.50809099999999996</v>
      </c>
      <c r="CV176">
        <v>42.340885</v>
      </c>
      <c r="CW176">
        <v>50</v>
      </c>
      <c r="CX176">
        <v>0.75</v>
      </c>
      <c r="CY176">
        <v>0.94</v>
      </c>
      <c r="CZ176">
        <v>0.19</v>
      </c>
      <c r="DA176">
        <v>15.389535</v>
      </c>
      <c r="DB176">
        <v>17.608319000000002</v>
      </c>
      <c r="DC176">
        <v>16.064022999999999</v>
      </c>
      <c r="DD176">
        <v>11.115401</v>
      </c>
      <c r="DE176" t="s">
        <v>125</v>
      </c>
      <c r="DJ176" t="s">
        <v>125</v>
      </c>
      <c r="DK176" t="s">
        <v>125</v>
      </c>
      <c r="DL176" t="s">
        <v>125</v>
      </c>
      <c r="DM176" t="s">
        <v>125</v>
      </c>
      <c r="DN176" t="s">
        <v>125</v>
      </c>
      <c r="DO176" t="s">
        <v>125</v>
      </c>
      <c r="DQ176" t="s">
        <v>126</v>
      </c>
    </row>
    <row r="177" spans="1:121" x14ac:dyDescent="0.15">
      <c r="A177">
        <v>2018</v>
      </c>
      <c r="B177" t="s">
        <v>299</v>
      </c>
      <c r="C177" t="str">
        <f>"1100011"</f>
        <v>1100011</v>
      </c>
      <c r="D177" t="s">
        <v>123</v>
      </c>
      <c r="E177" t="str">
        <f t="shared" si="0"/>
        <v>0000000</v>
      </c>
      <c r="F177" t="s">
        <v>123</v>
      </c>
      <c r="G177" t="s">
        <v>123</v>
      </c>
      <c r="H177" t="s">
        <v>123</v>
      </c>
      <c r="J177" t="s">
        <v>124</v>
      </c>
      <c r="K177">
        <v>1107.9815920000001</v>
      </c>
      <c r="L177">
        <v>1450</v>
      </c>
      <c r="M177">
        <v>76.412524000000005</v>
      </c>
      <c r="N177" t="s">
        <v>125</v>
      </c>
      <c r="O177">
        <v>0</v>
      </c>
      <c r="P177">
        <v>70.425036000000006</v>
      </c>
      <c r="Q177">
        <v>46.950023999999999</v>
      </c>
      <c r="R177">
        <v>50</v>
      </c>
      <c r="S177">
        <v>64.942666000000003</v>
      </c>
      <c r="T177">
        <v>75</v>
      </c>
      <c r="U177">
        <v>43.295110999999999</v>
      </c>
      <c r="V177">
        <v>50</v>
      </c>
      <c r="W177">
        <v>65.940263999999999</v>
      </c>
      <c r="X177">
        <v>43.960175999999997</v>
      </c>
      <c r="Y177">
        <v>50</v>
      </c>
      <c r="Z177">
        <v>72.518766999999997</v>
      </c>
      <c r="AA177">
        <v>58.945546</v>
      </c>
      <c r="AB177">
        <v>39.297029999999999</v>
      </c>
      <c r="AC177">
        <v>50</v>
      </c>
      <c r="AD177">
        <v>63.984574000000002</v>
      </c>
      <c r="AE177">
        <v>42.656382999999998</v>
      </c>
      <c r="AF177">
        <v>50</v>
      </c>
      <c r="AG177">
        <v>57.550493000000003</v>
      </c>
      <c r="AH177">
        <v>69.277861000000001</v>
      </c>
      <c r="AI177">
        <v>38.366995000000003</v>
      </c>
      <c r="AJ177">
        <v>50</v>
      </c>
      <c r="AK177">
        <v>10.050000000000001</v>
      </c>
      <c r="AL177">
        <v>13.57</v>
      </c>
      <c r="AM177">
        <v>11.72</v>
      </c>
      <c r="AN177">
        <v>0.63546599999999998</v>
      </c>
      <c r="AO177">
        <v>63.546599999999998</v>
      </c>
      <c r="AP177">
        <v>100</v>
      </c>
      <c r="AQ177">
        <v>0.63576900000000003</v>
      </c>
      <c r="AR177">
        <v>63.576909000000001</v>
      </c>
      <c r="AS177">
        <v>100</v>
      </c>
      <c r="AT177">
        <v>0.61695699999999998</v>
      </c>
      <c r="AU177">
        <v>0.65146800000000005</v>
      </c>
      <c r="AV177">
        <v>61.695739000000003</v>
      </c>
      <c r="AW177">
        <v>100</v>
      </c>
      <c r="AX177">
        <v>0.56437800000000005</v>
      </c>
      <c r="AY177">
        <v>0.69749099999999997</v>
      </c>
      <c r="AZ177">
        <v>56.437842000000003</v>
      </c>
      <c r="BA177">
        <v>100</v>
      </c>
      <c r="BB177">
        <v>0.491923</v>
      </c>
      <c r="BC177">
        <v>24.596152</v>
      </c>
      <c r="BD177">
        <v>50</v>
      </c>
      <c r="BE177">
        <v>0.53036000000000005</v>
      </c>
      <c r="BF177">
        <v>26.518018000000001</v>
      </c>
      <c r="BG177">
        <v>50</v>
      </c>
      <c r="BH177">
        <v>0</v>
      </c>
      <c r="BI177">
        <v>0.99587099999999995</v>
      </c>
      <c r="BJ177">
        <v>0.99335499999999999</v>
      </c>
      <c r="BK177">
        <v>0.99835799999999997</v>
      </c>
      <c r="BL177">
        <v>0.99503299999999995</v>
      </c>
      <c r="BM177">
        <v>0.99165300000000001</v>
      </c>
      <c r="BN177">
        <v>0.99835799999999997</v>
      </c>
      <c r="BO177">
        <v>0.986792</v>
      </c>
      <c r="BP177">
        <v>0.97967499999999996</v>
      </c>
      <c r="BQ177">
        <v>0.99295800000000001</v>
      </c>
      <c r="BR177">
        <v>9.3404000000000001E-2</v>
      </c>
      <c r="BS177">
        <v>41.319167999999998</v>
      </c>
      <c r="BT177">
        <v>50</v>
      </c>
      <c r="BU177">
        <v>0.14763200000000001</v>
      </c>
      <c r="BV177">
        <v>30.473538000000001</v>
      </c>
      <c r="BW177">
        <v>50</v>
      </c>
      <c r="BX177">
        <v>0.71098300000000003</v>
      </c>
      <c r="BY177">
        <v>47.398843999999997</v>
      </c>
      <c r="BZ177">
        <v>50</v>
      </c>
      <c r="CA177">
        <v>0.42196499999999998</v>
      </c>
      <c r="CB177">
        <v>28.131021</v>
      </c>
      <c r="CC177">
        <v>50</v>
      </c>
      <c r="CD177">
        <v>0.89007999999999998</v>
      </c>
      <c r="CE177">
        <v>47.344704</v>
      </c>
      <c r="CF177">
        <v>50</v>
      </c>
      <c r="CG177">
        <v>0.89534899999999995</v>
      </c>
      <c r="CH177">
        <v>95.249876</v>
      </c>
      <c r="CI177">
        <v>100</v>
      </c>
      <c r="CJ177">
        <v>0</v>
      </c>
      <c r="CK177">
        <v>0.83561600000000003</v>
      </c>
      <c r="CL177">
        <v>88.895365999999996</v>
      </c>
      <c r="CM177">
        <v>100</v>
      </c>
      <c r="CN177">
        <v>0.67100000000000004</v>
      </c>
      <c r="CO177">
        <v>89.440994000000003</v>
      </c>
      <c r="CP177">
        <v>100</v>
      </c>
      <c r="CQ177">
        <v>0.58246699999999996</v>
      </c>
      <c r="CR177">
        <v>0.96974099999999996</v>
      </c>
      <c r="CS177">
        <v>38.831105000000001</v>
      </c>
      <c r="CT177">
        <v>50</v>
      </c>
      <c r="CU177">
        <v>0.63610699999999998</v>
      </c>
      <c r="CV177">
        <v>50</v>
      </c>
      <c r="CW177">
        <v>50</v>
      </c>
      <c r="CX177">
        <v>0.83561600000000003</v>
      </c>
      <c r="CY177">
        <v>0.94</v>
      </c>
      <c r="CZ177">
        <v>0.104384</v>
      </c>
      <c r="DA177">
        <v>15.389535</v>
      </c>
      <c r="DB177">
        <v>17.608319000000002</v>
      </c>
      <c r="DC177">
        <v>16.064022999999999</v>
      </c>
      <c r="DD177">
        <v>11.115401</v>
      </c>
      <c r="DE177" t="s">
        <v>125</v>
      </c>
      <c r="DJ177" t="s">
        <v>125</v>
      </c>
      <c r="DK177" t="s">
        <v>125</v>
      </c>
      <c r="DL177" t="s">
        <v>125</v>
      </c>
      <c r="DM177" t="s">
        <v>125</v>
      </c>
      <c r="DN177" t="s">
        <v>125</v>
      </c>
      <c r="DO177" t="s">
        <v>125</v>
      </c>
      <c r="DQ177" t="s">
        <v>126</v>
      </c>
    </row>
    <row r="178" spans="1:121" x14ac:dyDescent="0.15">
      <c r="A178">
        <v>2018</v>
      </c>
      <c r="B178" t="s">
        <v>300</v>
      </c>
      <c r="C178" t="str">
        <f>"1110011"</f>
        <v>1110011</v>
      </c>
      <c r="D178" t="s">
        <v>123</v>
      </c>
      <c r="E178" t="str">
        <f t="shared" si="0"/>
        <v>0000000</v>
      </c>
      <c r="F178" t="s">
        <v>123</v>
      </c>
      <c r="G178" t="s">
        <v>123</v>
      </c>
      <c r="H178" t="s">
        <v>123</v>
      </c>
      <c r="J178" t="s">
        <v>124</v>
      </c>
      <c r="K178">
        <v>1136.91068</v>
      </c>
      <c r="L178">
        <v>1450</v>
      </c>
      <c r="M178">
        <v>78.407633000000004</v>
      </c>
      <c r="N178" t="s">
        <v>125</v>
      </c>
      <c r="O178">
        <v>0</v>
      </c>
      <c r="P178">
        <v>69.028837999999993</v>
      </c>
      <c r="Q178">
        <v>46.019224999999999</v>
      </c>
      <c r="R178">
        <v>50</v>
      </c>
      <c r="S178">
        <v>63.608625000000004</v>
      </c>
      <c r="T178">
        <v>74.259634000000005</v>
      </c>
      <c r="U178">
        <v>42.405749999999998</v>
      </c>
      <c r="V178">
        <v>50</v>
      </c>
      <c r="W178">
        <v>66.039769000000007</v>
      </c>
      <c r="X178">
        <v>44.026513000000001</v>
      </c>
      <c r="Y178">
        <v>50</v>
      </c>
      <c r="Z178">
        <v>71.880053000000004</v>
      </c>
      <c r="AA178">
        <v>59.987997999999997</v>
      </c>
      <c r="AB178">
        <v>39.991999</v>
      </c>
      <c r="AC178">
        <v>50</v>
      </c>
      <c r="AD178">
        <v>63.605041999999997</v>
      </c>
      <c r="AE178">
        <v>42.403362000000001</v>
      </c>
      <c r="AF178">
        <v>50</v>
      </c>
      <c r="AG178">
        <v>58.240133999999998</v>
      </c>
      <c r="AH178">
        <v>68.044966000000002</v>
      </c>
      <c r="AI178">
        <v>38.826756000000003</v>
      </c>
      <c r="AJ178">
        <v>50</v>
      </c>
      <c r="AK178">
        <v>10.65</v>
      </c>
      <c r="AL178">
        <v>11.89</v>
      </c>
      <c r="AM178">
        <v>9.8000000000000007</v>
      </c>
      <c r="AN178">
        <v>0.69079000000000002</v>
      </c>
      <c r="AO178">
        <v>69.078986</v>
      </c>
      <c r="AP178">
        <v>100</v>
      </c>
      <c r="AQ178">
        <v>0.66444300000000001</v>
      </c>
      <c r="AR178">
        <v>66.444317999999996</v>
      </c>
      <c r="AS178">
        <v>100</v>
      </c>
      <c r="AT178">
        <v>0.69526699999999997</v>
      </c>
      <c r="AU178">
        <v>0.68664700000000001</v>
      </c>
      <c r="AV178">
        <v>69.526747</v>
      </c>
      <c r="AW178">
        <v>100</v>
      </c>
      <c r="AX178">
        <v>0.61292100000000005</v>
      </c>
      <c r="AY178">
        <v>0.71211500000000005</v>
      </c>
      <c r="AZ178">
        <v>61.292074</v>
      </c>
      <c r="BA178">
        <v>100</v>
      </c>
      <c r="BB178">
        <v>0.59140199999999998</v>
      </c>
      <c r="BC178">
        <v>29.570086</v>
      </c>
      <c r="BD178">
        <v>50</v>
      </c>
      <c r="BE178">
        <v>0.56804299999999996</v>
      </c>
      <c r="BF178">
        <v>28.402165</v>
      </c>
      <c r="BG178">
        <v>50</v>
      </c>
      <c r="BH178">
        <v>0</v>
      </c>
      <c r="BI178">
        <v>0.98809499999999995</v>
      </c>
      <c r="BJ178">
        <v>0.98157899999999998</v>
      </c>
      <c r="BK178">
        <v>0.99468100000000004</v>
      </c>
      <c r="BL178">
        <v>0.98809499999999995</v>
      </c>
      <c r="BM178">
        <v>0.98157899999999998</v>
      </c>
      <c r="BN178">
        <v>0.99468100000000004</v>
      </c>
      <c r="BO178">
        <v>0.98773</v>
      </c>
      <c r="BP178">
        <v>0.980132</v>
      </c>
      <c r="BQ178">
        <v>0.994286</v>
      </c>
      <c r="BR178">
        <v>8.5011000000000003E-2</v>
      </c>
      <c r="BS178">
        <v>42.997762999999999</v>
      </c>
      <c r="BT178">
        <v>50</v>
      </c>
      <c r="BU178">
        <v>0.12661900000000001</v>
      </c>
      <c r="BV178">
        <v>34.676259000000002</v>
      </c>
      <c r="BW178">
        <v>50</v>
      </c>
      <c r="BX178">
        <v>0.79820599999999997</v>
      </c>
      <c r="BY178">
        <v>50</v>
      </c>
      <c r="BZ178">
        <v>50</v>
      </c>
      <c r="CA178">
        <v>0.39013500000000001</v>
      </c>
      <c r="CB178">
        <v>26.008969</v>
      </c>
      <c r="CC178">
        <v>50</v>
      </c>
      <c r="CD178">
        <v>0.89805800000000002</v>
      </c>
      <c r="CE178">
        <v>47.769055999999999</v>
      </c>
      <c r="CF178">
        <v>50</v>
      </c>
      <c r="CG178">
        <v>0.92424200000000001</v>
      </c>
      <c r="CH178">
        <v>98.323661999999999</v>
      </c>
      <c r="CI178">
        <v>100</v>
      </c>
      <c r="CJ178">
        <v>0</v>
      </c>
      <c r="CK178">
        <v>0.90196100000000001</v>
      </c>
      <c r="CL178">
        <v>95.953275000000005</v>
      </c>
      <c r="CM178">
        <v>100</v>
      </c>
      <c r="CN178">
        <v>0.61599999999999999</v>
      </c>
      <c r="CO178">
        <v>82.133332999999993</v>
      </c>
      <c r="CP178">
        <v>100</v>
      </c>
      <c r="CQ178">
        <v>0.67282299999999995</v>
      </c>
      <c r="CR178">
        <v>0.92892200000000003</v>
      </c>
      <c r="CS178">
        <v>44.854880999999999</v>
      </c>
      <c r="CT178">
        <v>50</v>
      </c>
      <c r="CU178">
        <v>0.43446600000000002</v>
      </c>
      <c r="CV178">
        <v>36.205502000000003</v>
      </c>
      <c r="CW178">
        <v>50</v>
      </c>
      <c r="CX178">
        <v>0.90196100000000001</v>
      </c>
      <c r="CY178">
        <v>0.94</v>
      </c>
      <c r="CZ178">
        <v>3.8039000000000003E-2</v>
      </c>
      <c r="DA178">
        <v>15.389535</v>
      </c>
      <c r="DB178">
        <v>17.608319000000002</v>
      </c>
      <c r="DC178">
        <v>16.064022999999999</v>
      </c>
      <c r="DD178">
        <v>11.115401</v>
      </c>
      <c r="DE178" t="s">
        <v>125</v>
      </c>
      <c r="DJ178" t="s">
        <v>125</v>
      </c>
      <c r="DK178" t="s">
        <v>125</v>
      </c>
      <c r="DL178" t="s">
        <v>125</v>
      </c>
      <c r="DM178" t="s">
        <v>125</v>
      </c>
      <c r="DN178" t="s">
        <v>125</v>
      </c>
      <c r="DO178" t="s">
        <v>125</v>
      </c>
      <c r="DQ178" t="s">
        <v>126</v>
      </c>
    </row>
    <row r="179" spans="1:121" x14ac:dyDescent="0.15">
      <c r="A179">
        <v>2018</v>
      </c>
      <c r="B179" t="s">
        <v>301</v>
      </c>
      <c r="C179" t="str">
        <f>"1120011"</f>
        <v>1120011</v>
      </c>
      <c r="D179" t="s">
        <v>123</v>
      </c>
      <c r="E179" t="str">
        <f t="shared" si="0"/>
        <v>0000000</v>
      </c>
      <c r="F179" t="s">
        <v>123</v>
      </c>
      <c r="G179" t="s">
        <v>123</v>
      </c>
      <c r="H179" t="s">
        <v>123</v>
      </c>
      <c r="J179" t="s">
        <v>124</v>
      </c>
      <c r="K179">
        <v>695.22688400000004</v>
      </c>
      <c r="L179">
        <v>900</v>
      </c>
      <c r="M179">
        <v>77.247432000000003</v>
      </c>
      <c r="N179" t="s">
        <v>125</v>
      </c>
      <c r="O179">
        <v>0</v>
      </c>
      <c r="P179">
        <v>74.996005999999994</v>
      </c>
      <c r="Q179">
        <v>49.997337999999999</v>
      </c>
      <c r="R179">
        <v>50</v>
      </c>
      <c r="S179">
        <v>68.288494999999998</v>
      </c>
      <c r="T179">
        <v>75</v>
      </c>
      <c r="U179">
        <v>45.525663000000002</v>
      </c>
      <c r="V179">
        <v>50</v>
      </c>
      <c r="W179">
        <v>73.986571999999995</v>
      </c>
      <c r="X179">
        <v>49.324381000000002</v>
      </c>
      <c r="Y179">
        <v>50</v>
      </c>
      <c r="Z179">
        <v>75</v>
      </c>
      <c r="AA179">
        <v>66.410439999999994</v>
      </c>
      <c r="AB179">
        <v>44.273626999999998</v>
      </c>
      <c r="AC179">
        <v>50</v>
      </c>
      <c r="AD179">
        <v>71.687865000000002</v>
      </c>
      <c r="AE179">
        <v>47.791910000000001</v>
      </c>
      <c r="AF179">
        <v>50</v>
      </c>
      <c r="AG179">
        <v>69.835603000000006</v>
      </c>
      <c r="AH179">
        <v>72.400273999999996</v>
      </c>
      <c r="AI179">
        <v>46.557068000000001</v>
      </c>
      <c r="AJ179">
        <v>50</v>
      </c>
      <c r="AK179">
        <v>6.71</v>
      </c>
      <c r="AL179">
        <v>8.58</v>
      </c>
      <c r="AM179">
        <v>2.56</v>
      </c>
      <c r="AN179">
        <v>0.56247199999999997</v>
      </c>
      <c r="AO179">
        <v>56.247171999999999</v>
      </c>
      <c r="AP179">
        <v>100</v>
      </c>
      <c r="AQ179">
        <v>0.62291399999999997</v>
      </c>
      <c r="AR179">
        <v>62.291370000000001</v>
      </c>
      <c r="AS179">
        <v>100</v>
      </c>
      <c r="AT179">
        <v>0.57201599999999997</v>
      </c>
      <c r="AU179">
        <v>0.55870600000000004</v>
      </c>
      <c r="AV179">
        <v>57.201552</v>
      </c>
      <c r="AW179">
        <v>100</v>
      </c>
      <c r="AX179">
        <v>0.58338900000000005</v>
      </c>
      <c r="AY179">
        <v>0.63824000000000003</v>
      </c>
      <c r="AZ179">
        <v>58.338909000000001</v>
      </c>
      <c r="BA179">
        <v>100</v>
      </c>
      <c r="BB179" t="s">
        <v>125</v>
      </c>
      <c r="BC179" t="s">
        <v>125</v>
      </c>
      <c r="BD179" t="s">
        <v>125</v>
      </c>
      <c r="BE179" t="s">
        <v>125</v>
      </c>
      <c r="BF179" t="s">
        <v>125</v>
      </c>
      <c r="BG179" t="s">
        <v>125</v>
      </c>
      <c r="BH179">
        <v>0</v>
      </c>
      <c r="BI179">
        <v>0.99628300000000003</v>
      </c>
      <c r="BJ179">
        <v>1</v>
      </c>
      <c r="BK179">
        <v>0.99462399999999995</v>
      </c>
      <c r="BL179">
        <v>0.99256500000000003</v>
      </c>
      <c r="BM179">
        <v>0.98795200000000005</v>
      </c>
      <c r="BN179">
        <v>0.99462399999999995</v>
      </c>
      <c r="BO179">
        <v>1</v>
      </c>
      <c r="BP179">
        <v>1</v>
      </c>
      <c r="BQ179">
        <v>1</v>
      </c>
      <c r="BR179">
        <v>1.9074000000000001E-2</v>
      </c>
      <c r="BS179">
        <v>50</v>
      </c>
      <c r="BT179">
        <v>50</v>
      </c>
      <c r="BU179">
        <v>5.3096999999999998E-2</v>
      </c>
      <c r="BV179">
        <v>49.380530999999998</v>
      </c>
      <c r="BW179">
        <v>50</v>
      </c>
      <c r="BX179" t="s">
        <v>125</v>
      </c>
      <c r="BY179" t="s">
        <v>125</v>
      </c>
      <c r="BZ179" t="s">
        <v>125</v>
      </c>
      <c r="CA179" t="s">
        <v>125</v>
      </c>
      <c r="CB179" t="s">
        <v>125</v>
      </c>
      <c r="CC179" t="s">
        <v>125</v>
      </c>
      <c r="CD179">
        <v>0.97499999999999998</v>
      </c>
      <c r="CE179">
        <v>50</v>
      </c>
      <c r="CF179">
        <v>50</v>
      </c>
      <c r="CG179" t="s">
        <v>125</v>
      </c>
      <c r="CH179" t="s">
        <v>125</v>
      </c>
      <c r="CI179" t="s">
        <v>125</v>
      </c>
      <c r="CJ179" t="s">
        <v>125</v>
      </c>
      <c r="CK179" t="s">
        <v>125</v>
      </c>
      <c r="CL179" t="s">
        <v>125</v>
      </c>
      <c r="CM179" t="s">
        <v>125</v>
      </c>
      <c r="CN179" t="s">
        <v>125</v>
      </c>
      <c r="CO179" t="s">
        <v>125</v>
      </c>
      <c r="CP179" t="s">
        <v>125</v>
      </c>
      <c r="CQ179">
        <v>0.42446</v>
      </c>
      <c r="CR179">
        <v>0.97887299999999999</v>
      </c>
      <c r="CS179">
        <v>28.297362</v>
      </c>
      <c r="CT179">
        <v>50</v>
      </c>
      <c r="CU179" t="s">
        <v>125</v>
      </c>
      <c r="CV179" t="s">
        <v>125</v>
      </c>
      <c r="CW179" t="s">
        <v>125</v>
      </c>
      <c r="CX179" t="s">
        <v>125</v>
      </c>
      <c r="CY179" t="s">
        <v>125</v>
      </c>
      <c r="CZ179" t="s">
        <v>125</v>
      </c>
      <c r="DA179">
        <v>15.389535</v>
      </c>
      <c r="DB179">
        <v>17.608319000000002</v>
      </c>
      <c r="DC179">
        <v>16.064022999999999</v>
      </c>
      <c r="DD179" t="s">
        <v>125</v>
      </c>
      <c r="DE179" t="s">
        <v>125</v>
      </c>
      <c r="DJ179" t="s">
        <v>125</v>
      </c>
      <c r="DK179" t="s">
        <v>125</v>
      </c>
      <c r="DL179" t="s">
        <v>125</v>
      </c>
      <c r="DM179" t="s">
        <v>125</v>
      </c>
      <c r="DN179" t="s">
        <v>125</v>
      </c>
      <c r="DO179" t="s">
        <v>125</v>
      </c>
      <c r="DQ179" t="s">
        <v>126</v>
      </c>
    </row>
    <row r="180" spans="1:121" x14ac:dyDescent="0.15">
      <c r="A180">
        <v>2018</v>
      </c>
      <c r="B180" t="s">
        <v>302</v>
      </c>
      <c r="C180" t="str">
        <f>"1130011"</f>
        <v>1130011</v>
      </c>
      <c r="D180" t="s">
        <v>123</v>
      </c>
      <c r="E180" t="str">
        <f t="shared" si="0"/>
        <v>0000000</v>
      </c>
      <c r="F180" t="s">
        <v>123</v>
      </c>
      <c r="G180" t="s">
        <v>123</v>
      </c>
      <c r="H180" t="s">
        <v>123</v>
      </c>
      <c r="J180" t="s">
        <v>124</v>
      </c>
      <c r="K180">
        <v>1146.844388</v>
      </c>
      <c r="L180">
        <v>1450</v>
      </c>
      <c r="M180">
        <v>79.092715999999996</v>
      </c>
      <c r="N180" t="s">
        <v>125</v>
      </c>
      <c r="O180">
        <v>1</v>
      </c>
      <c r="P180">
        <v>72.637210999999994</v>
      </c>
      <c r="Q180">
        <v>48.424807000000001</v>
      </c>
      <c r="R180">
        <v>50</v>
      </c>
      <c r="S180">
        <v>60.386386999999999</v>
      </c>
      <c r="T180">
        <v>75</v>
      </c>
      <c r="U180">
        <v>40.257590999999998</v>
      </c>
      <c r="V180">
        <v>50</v>
      </c>
      <c r="W180">
        <v>69.901807000000005</v>
      </c>
      <c r="X180">
        <v>46.601205</v>
      </c>
      <c r="Y180">
        <v>50</v>
      </c>
      <c r="Z180">
        <v>75</v>
      </c>
      <c r="AA180">
        <v>56.388815999999998</v>
      </c>
      <c r="AB180">
        <v>37.592543999999997</v>
      </c>
      <c r="AC180">
        <v>50</v>
      </c>
      <c r="AD180">
        <v>69.871089999999995</v>
      </c>
      <c r="AE180">
        <v>46.580727000000003</v>
      </c>
      <c r="AF180">
        <v>50</v>
      </c>
      <c r="AG180">
        <v>59.415726999999997</v>
      </c>
      <c r="AH180">
        <v>75</v>
      </c>
      <c r="AI180">
        <v>39.610484999999997</v>
      </c>
      <c r="AJ180">
        <v>50</v>
      </c>
      <c r="AK180">
        <v>14.61</v>
      </c>
      <c r="AL180">
        <v>18.61</v>
      </c>
      <c r="AM180">
        <v>15.58</v>
      </c>
      <c r="AN180">
        <v>0.57378300000000004</v>
      </c>
      <c r="AO180">
        <v>57.378332</v>
      </c>
      <c r="AP180">
        <v>100</v>
      </c>
      <c r="AQ180">
        <v>0.68869199999999997</v>
      </c>
      <c r="AR180">
        <v>68.869247999999999</v>
      </c>
      <c r="AS180">
        <v>100</v>
      </c>
      <c r="AT180">
        <v>0.46260200000000001</v>
      </c>
      <c r="AU180">
        <v>0.63097199999999998</v>
      </c>
      <c r="AV180">
        <v>46.260213</v>
      </c>
      <c r="AW180">
        <v>100</v>
      </c>
      <c r="AX180">
        <v>0.61536400000000002</v>
      </c>
      <c r="AY180">
        <v>0.72617699999999996</v>
      </c>
      <c r="AZ180">
        <v>61.536360000000002</v>
      </c>
      <c r="BA180">
        <v>100</v>
      </c>
      <c r="BB180">
        <v>0.47548400000000002</v>
      </c>
      <c r="BC180">
        <v>23.774218000000001</v>
      </c>
      <c r="BD180">
        <v>50</v>
      </c>
      <c r="BE180">
        <v>0.329511</v>
      </c>
      <c r="BF180">
        <v>16.475560999999999</v>
      </c>
      <c r="BG180">
        <v>50</v>
      </c>
      <c r="BH180">
        <v>0</v>
      </c>
      <c r="BI180">
        <v>0.98016999999999999</v>
      </c>
      <c r="BJ180">
        <v>0.98795200000000005</v>
      </c>
      <c r="BK180">
        <v>0.97592999999999996</v>
      </c>
      <c r="BL180">
        <v>0.97875400000000001</v>
      </c>
      <c r="BM180">
        <v>0.98393600000000003</v>
      </c>
      <c r="BN180">
        <v>0.97592999999999996</v>
      </c>
      <c r="BO180">
        <v>0.98705500000000002</v>
      </c>
      <c r="BP180">
        <v>0.981132</v>
      </c>
      <c r="BQ180">
        <v>0.99014800000000003</v>
      </c>
      <c r="BR180">
        <v>6.9369E-2</v>
      </c>
      <c r="BS180">
        <v>46.126266999999999</v>
      </c>
      <c r="BT180">
        <v>50</v>
      </c>
      <c r="BU180">
        <v>6.4132999999999996E-2</v>
      </c>
      <c r="BV180">
        <v>47.173397000000001</v>
      </c>
      <c r="BW180">
        <v>50</v>
      </c>
      <c r="BX180">
        <v>0.868421</v>
      </c>
      <c r="BY180">
        <v>50</v>
      </c>
      <c r="BZ180">
        <v>50</v>
      </c>
      <c r="CA180">
        <v>0.54210499999999995</v>
      </c>
      <c r="CB180">
        <v>36.140351000000003</v>
      </c>
      <c r="CC180">
        <v>50</v>
      </c>
      <c r="CD180">
        <v>0.93596100000000004</v>
      </c>
      <c r="CE180">
        <v>49.785138000000003</v>
      </c>
      <c r="CF180">
        <v>50</v>
      </c>
      <c r="CG180">
        <v>0.91764699999999999</v>
      </c>
      <c r="CH180">
        <v>97.622028</v>
      </c>
      <c r="CI180">
        <v>100</v>
      </c>
      <c r="CJ180">
        <v>0</v>
      </c>
      <c r="CK180">
        <v>0.92</v>
      </c>
      <c r="CL180">
        <v>97.872339999999994</v>
      </c>
      <c r="CM180">
        <v>100</v>
      </c>
      <c r="CN180">
        <v>0.81</v>
      </c>
      <c r="CO180">
        <v>100</v>
      </c>
      <c r="CP180">
        <v>100</v>
      </c>
      <c r="CQ180">
        <v>0.58145400000000003</v>
      </c>
      <c r="CR180">
        <v>0.96144600000000002</v>
      </c>
      <c r="CS180">
        <v>38.763576</v>
      </c>
      <c r="CT180">
        <v>50</v>
      </c>
      <c r="CU180">
        <v>0.80462699999999998</v>
      </c>
      <c r="CV180">
        <v>50</v>
      </c>
      <c r="CW180">
        <v>50</v>
      </c>
      <c r="CX180">
        <v>0.92</v>
      </c>
      <c r="CY180">
        <v>0.94</v>
      </c>
      <c r="CZ180">
        <v>0.02</v>
      </c>
      <c r="DA180">
        <v>15.389535</v>
      </c>
      <c r="DB180">
        <v>17.608319000000002</v>
      </c>
      <c r="DC180">
        <v>16.064022999999999</v>
      </c>
      <c r="DD180">
        <v>11.115401</v>
      </c>
      <c r="DE180" t="s">
        <v>125</v>
      </c>
      <c r="DJ180" t="s">
        <v>125</v>
      </c>
      <c r="DK180" t="s">
        <v>125</v>
      </c>
      <c r="DL180" t="s">
        <v>125</v>
      </c>
      <c r="DM180" t="s">
        <v>125</v>
      </c>
      <c r="DN180" t="s">
        <v>125</v>
      </c>
      <c r="DO180" t="s">
        <v>125</v>
      </c>
      <c r="DQ180" t="s">
        <v>126</v>
      </c>
    </row>
    <row r="181" spans="1:121" x14ac:dyDescent="0.15">
      <c r="A181">
        <v>2018</v>
      </c>
      <c r="B181" t="s">
        <v>303</v>
      </c>
      <c r="C181" t="str">
        <f>"1140011"</f>
        <v>1140011</v>
      </c>
      <c r="D181" t="s">
        <v>123</v>
      </c>
      <c r="E181" t="str">
        <f t="shared" si="0"/>
        <v>0000000</v>
      </c>
      <c r="F181" t="s">
        <v>123</v>
      </c>
      <c r="G181" t="s">
        <v>123</v>
      </c>
      <c r="H181" t="s">
        <v>123</v>
      </c>
      <c r="J181" t="s">
        <v>124</v>
      </c>
      <c r="K181">
        <v>658.05540699999995</v>
      </c>
      <c r="L181">
        <v>900</v>
      </c>
      <c r="M181">
        <v>73.117266999999998</v>
      </c>
      <c r="N181" t="s">
        <v>125</v>
      </c>
      <c r="O181">
        <v>0</v>
      </c>
      <c r="P181">
        <v>71.010463999999999</v>
      </c>
      <c r="Q181">
        <v>47.340308999999998</v>
      </c>
      <c r="R181">
        <v>50</v>
      </c>
      <c r="S181">
        <v>63.464860999999999</v>
      </c>
      <c r="T181">
        <v>75</v>
      </c>
      <c r="U181">
        <v>42.309907000000003</v>
      </c>
      <c r="V181">
        <v>50</v>
      </c>
      <c r="W181">
        <v>66.001907000000003</v>
      </c>
      <c r="X181">
        <v>44.001271000000003</v>
      </c>
      <c r="Y181">
        <v>50</v>
      </c>
      <c r="Z181">
        <v>71.862826999999996</v>
      </c>
      <c r="AA181">
        <v>58.102404999999997</v>
      </c>
      <c r="AB181">
        <v>38.734937000000002</v>
      </c>
      <c r="AC181">
        <v>50</v>
      </c>
      <c r="AD181">
        <v>63.954115999999999</v>
      </c>
      <c r="AE181">
        <v>42.636077</v>
      </c>
      <c r="AF181">
        <v>50</v>
      </c>
      <c r="AG181">
        <v>57.89761</v>
      </c>
      <c r="AH181">
        <v>68.468965999999995</v>
      </c>
      <c r="AI181">
        <v>38.598407000000002</v>
      </c>
      <c r="AJ181">
        <v>50</v>
      </c>
      <c r="AK181">
        <v>11.53</v>
      </c>
      <c r="AL181">
        <v>13.76</v>
      </c>
      <c r="AM181">
        <v>10.57</v>
      </c>
      <c r="AN181">
        <v>0.60147300000000004</v>
      </c>
      <c r="AO181">
        <v>60.147271000000003</v>
      </c>
      <c r="AP181">
        <v>100</v>
      </c>
      <c r="AQ181">
        <v>0.63587000000000005</v>
      </c>
      <c r="AR181">
        <v>63.587001000000001</v>
      </c>
      <c r="AS181">
        <v>100</v>
      </c>
      <c r="AT181">
        <v>0.55004900000000001</v>
      </c>
      <c r="AU181">
        <v>0.63808600000000004</v>
      </c>
      <c r="AV181">
        <v>55.004944000000002</v>
      </c>
      <c r="AW181">
        <v>100</v>
      </c>
      <c r="AX181">
        <v>0.54902300000000004</v>
      </c>
      <c r="AY181">
        <v>0.69770500000000002</v>
      </c>
      <c r="AZ181">
        <v>54.902301999999999</v>
      </c>
      <c r="BA181">
        <v>100</v>
      </c>
      <c r="BB181" t="s">
        <v>125</v>
      </c>
      <c r="BC181" t="s">
        <v>125</v>
      </c>
      <c r="BD181" t="s">
        <v>125</v>
      </c>
      <c r="BE181" t="s">
        <v>125</v>
      </c>
      <c r="BF181" t="s">
        <v>125</v>
      </c>
      <c r="BG181" t="s">
        <v>125</v>
      </c>
      <c r="BH181">
        <v>0</v>
      </c>
      <c r="BI181">
        <v>0.99642900000000001</v>
      </c>
      <c r="BJ181">
        <v>1</v>
      </c>
      <c r="BK181">
        <v>0.99367099999999997</v>
      </c>
      <c r="BL181">
        <v>0.99642900000000001</v>
      </c>
      <c r="BM181">
        <v>1</v>
      </c>
      <c r="BN181">
        <v>0.99367099999999997</v>
      </c>
      <c r="BO181">
        <v>1</v>
      </c>
      <c r="BP181">
        <v>1</v>
      </c>
      <c r="BQ181">
        <v>1</v>
      </c>
      <c r="BR181">
        <v>5.7971000000000002E-2</v>
      </c>
      <c r="BS181">
        <v>48.405797</v>
      </c>
      <c r="BT181">
        <v>50</v>
      </c>
      <c r="BU181">
        <v>8.1966999999999998E-2</v>
      </c>
      <c r="BV181">
        <v>43.606557000000002</v>
      </c>
      <c r="BW181">
        <v>50</v>
      </c>
      <c r="BX181" t="s">
        <v>125</v>
      </c>
      <c r="BY181" t="s">
        <v>125</v>
      </c>
      <c r="BZ181" t="s">
        <v>125</v>
      </c>
      <c r="CA181" t="s">
        <v>125</v>
      </c>
      <c r="CB181" t="s">
        <v>125</v>
      </c>
      <c r="CC181" t="s">
        <v>125</v>
      </c>
      <c r="CD181">
        <v>0.91891900000000004</v>
      </c>
      <c r="CE181">
        <v>48.878666000000003</v>
      </c>
      <c r="CF181">
        <v>50</v>
      </c>
      <c r="CG181" t="s">
        <v>125</v>
      </c>
      <c r="CH181" t="s">
        <v>125</v>
      </c>
      <c r="CI181" t="s">
        <v>125</v>
      </c>
      <c r="CJ181" t="s">
        <v>125</v>
      </c>
      <c r="CK181" t="s">
        <v>125</v>
      </c>
      <c r="CL181" t="s">
        <v>125</v>
      </c>
      <c r="CM181" t="s">
        <v>125</v>
      </c>
      <c r="CN181" t="s">
        <v>125</v>
      </c>
      <c r="CO181" t="s">
        <v>125</v>
      </c>
      <c r="CP181" t="s">
        <v>125</v>
      </c>
      <c r="CQ181">
        <v>0.44852900000000001</v>
      </c>
      <c r="CR181">
        <v>0.95104900000000003</v>
      </c>
      <c r="CS181">
        <v>29.901961</v>
      </c>
      <c r="CT181">
        <v>50</v>
      </c>
      <c r="CU181" t="s">
        <v>125</v>
      </c>
      <c r="CV181" t="s">
        <v>125</v>
      </c>
      <c r="CW181" t="s">
        <v>125</v>
      </c>
      <c r="CX181" t="s">
        <v>125</v>
      </c>
      <c r="CY181" t="s">
        <v>125</v>
      </c>
      <c r="CZ181" t="s">
        <v>125</v>
      </c>
      <c r="DA181">
        <v>15.389535</v>
      </c>
      <c r="DB181">
        <v>17.608319000000002</v>
      </c>
      <c r="DC181">
        <v>16.064022999999999</v>
      </c>
      <c r="DD181" t="s">
        <v>125</v>
      </c>
      <c r="DE181" t="s">
        <v>125</v>
      </c>
      <c r="DJ181" t="s">
        <v>125</v>
      </c>
      <c r="DK181" t="s">
        <v>125</v>
      </c>
      <c r="DL181" t="s">
        <v>125</v>
      </c>
      <c r="DM181" t="s">
        <v>125</v>
      </c>
      <c r="DN181" t="s">
        <v>125</v>
      </c>
      <c r="DO181" t="s">
        <v>125</v>
      </c>
      <c r="DQ181" t="s">
        <v>126</v>
      </c>
    </row>
    <row r="182" spans="1:121" x14ac:dyDescent="0.15">
      <c r="A182">
        <v>2018</v>
      </c>
      <c r="B182" t="s">
        <v>304</v>
      </c>
      <c r="C182" t="str">
        <f>"1160011"</f>
        <v>1160011</v>
      </c>
      <c r="D182" t="s">
        <v>123</v>
      </c>
      <c r="E182" t="str">
        <f t="shared" si="0"/>
        <v>0000000</v>
      </c>
      <c r="F182" t="s">
        <v>123</v>
      </c>
      <c r="G182" t="s">
        <v>123</v>
      </c>
      <c r="H182" t="s">
        <v>123</v>
      </c>
      <c r="J182" t="s">
        <v>124</v>
      </c>
      <c r="K182">
        <v>1024.4249689999999</v>
      </c>
      <c r="L182">
        <v>1450</v>
      </c>
      <c r="M182">
        <v>70.649997999999997</v>
      </c>
      <c r="N182" t="s">
        <v>125</v>
      </c>
      <c r="O182">
        <v>0</v>
      </c>
      <c r="P182">
        <v>65.236813999999995</v>
      </c>
      <c r="Q182">
        <v>43.491208999999998</v>
      </c>
      <c r="R182">
        <v>50</v>
      </c>
      <c r="S182">
        <v>61.001134</v>
      </c>
      <c r="T182">
        <v>74.249398999999997</v>
      </c>
      <c r="U182">
        <v>40.667422999999999</v>
      </c>
      <c r="V182">
        <v>50</v>
      </c>
      <c r="W182">
        <v>57.963205000000002</v>
      </c>
      <c r="X182">
        <v>38.642136999999998</v>
      </c>
      <c r="Y182">
        <v>50</v>
      </c>
      <c r="Z182">
        <v>67.126137999999997</v>
      </c>
      <c r="AA182">
        <v>53.645592999999998</v>
      </c>
      <c r="AB182">
        <v>35.763728999999998</v>
      </c>
      <c r="AC182">
        <v>50</v>
      </c>
      <c r="AD182">
        <v>61.214078999999998</v>
      </c>
      <c r="AE182">
        <v>40.809386000000003</v>
      </c>
      <c r="AF182">
        <v>50</v>
      </c>
      <c r="AG182">
        <v>56.100572999999997</v>
      </c>
      <c r="AH182">
        <v>71.749133</v>
      </c>
      <c r="AI182">
        <v>37.400382</v>
      </c>
      <c r="AJ182">
        <v>50</v>
      </c>
      <c r="AK182">
        <v>13.24</v>
      </c>
      <c r="AL182">
        <v>13.48</v>
      </c>
      <c r="AM182">
        <v>15.64</v>
      </c>
      <c r="AN182">
        <v>0.51211399999999996</v>
      </c>
      <c r="AO182">
        <v>51.211433999999997</v>
      </c>
      <c r="AP182">
        <v>100</v>
      </c>
      <c r="AQ182">
        <v>0.49401800000000001</v>
      </c>
      <c r="AR182">
        <v>49.401795999999997</v>
      </c>
      <c r="AS182">
        <v>100</v>
      </c>
      <c r="AT182">
        <v>0.51565000000000005</v>
      </c>
      <c r="AU182">
        <v>0.504467</v>
      </c>
      <c r="AV182">
        <v>51.565038999999999</v>
      </c>
      <c r="AW182">
        <v>100</v>
      </c>
      <c r="AX182">
        <v>0.46574700000000002</v>
      </c>
      <c r="AY182">
        <v>0.554504</v>
      </c>
      <c r="AZ182">
        <v>46.574711000000001</v>
      </c>
      <c r="BA182">
        <v>100</v>
      </c>
      <c r="BB182">
        <v>0.70530899999999996</v>
      </c>
      <c r="BC182">
        <v>35.265450999999999</v>
      </c>
      <c r="BD182">
        <v>50</v>
      </c>
      <c r="BE182">
        <v>0.66998199999999997</v>
      </c>
      <c r="BF182">
        <v>33.499111999999997</v>
      </c>
      <c r="BG182">
        <v>50</v>
      </c>
      <c r="BH182">
        <v>0</v>
      </c>
      <c r="BI182">
        <v>0.98509899999999995</v>
      </c>
      <c r="BJ182">
        <v>0.97820799999999997</v>
      </c>
      <c r="BK182">
        <v>1</v>
      </c>
      <c r="BL182">
        <v>0.98344399999999998</v>
      </c>
      <c r="BM182">
        <v>0.97578699999999996</v>
      </c>
      <c r="BN182">
        <v>1</v>
      </c>
      <c r="BO182">
        <v>0.97058800000000001</v>
      </c>
      <c r="BP182">
        <v>0.95698899999999998</v>
      </c>
      <c r="BQ182">
        <v>1</v>
      </c>
      <c r="BR182">
        <v>0.110108</v>
      </c>
      <c r="BS182">
        <v>37.978338999999998</v>
      </c>
      <c r="BT182">
        <v>50</v>
      </c>
      <c r="BU182">
        <v>0.14709900000000001</v>
      </c>
      <c r="BV182">
        <v>30.580297000000002</v>
      </c>
      <c r="BW182">
        <v>50</v>
      </c>
      <c r="BX182">
        <v>0.70253200000000005</v>
      </c>
      <c r="BY182">
        <v>46.835442999999998</v>
      </c>
      <c r="BZ182">
        <v>50</v>
      </c>
      <c r="CA182">
        <v>0.17721500000000001</v>
      </c>
      <c r="CB182">
        <v>11.814346</v>
      </c>
      <c r="CC182">
        <v>50</v>
      </c>
      <c r="CD182">
        <v>0.89583299999999999</v>
      </c>
      <c r="CE182">
        <v>47.650708999999999</v>
      </c>
      <c r="CF182">
        <v>50</v>
      </c>
      <c r="CG182">
        <v>0.887324</v>
      </c>
      <c r="CH182">
        <v>94.396163999999999</v>
      </c>
      <c r="CI182">
        <v>100</v>
      </c>
      <c r="CJ182">
        <v>0</v>
      </c>
      <c r="CK182">
        <v>0.92592600000000003</v>
      </c>
      <c r="CL182">
        <v>98.502758</v>
      </c>
      <c r="CM182">
        <v>100</v>
      </c>
      <c r="CN182">
        <v>0.56100000000000005</v>
      </c>
      <c r="CO182">
        <v>74.747474999999994</v>
      </c>
      <c r="CP182">
        <v>100</v>
      </c>
      <c r="CQ182">
        <v>0.414414</v>
      </c>
      <c r="CR182">
        <v>0.99700599999999995</v>
      </c>
      <c r="CS182">
        <v>27.627628000000001</v>
      </c>
      <c r="CT182">
        <v>50</v>
      </c>
      <c r="CU182">
        <v>0.68421100000000001</v>
      </c>
      <c r="CV182">
        <v>50</v>
      </c>
      <c r="CW182">
        <v>50</v>
      </c>
      <c r="CX182">
        <v>0.92592600000000003</v>
      </c>
      <c r="CY182" t="s">
        <v>125</v>
      </c>
      <c r="CZ182" t="s">
        <v>125</v>
      </c>
      <c r="DA182">
        <v>15.389535</v>
      </c>
      <c r="DB182">
        <v>17.608319000000002</v>
      </c>
      <c r="DC182">
        <v>16.064022999999999</v>
      </c>
      <c r="DD182">
        <v>11.115401</v>
      </c>
      <c r="DE182" t="s">
        <v>125</v>
      </c>
      <c r="DJ182" t="s">
        <v>125</v>
      </c>
      <c r="DK182" t="s">
        <v>125</v>
      </c>
      <c r="DL182" t="s">
        <v>125</v>
      </c>
      <c r="DM182" t="s">
        <v>125</v>
      </c>
      <c r="DN182" t="s">
        <v>125</v>
      </c>
      <c r="DO182" t="s">
        <v>125</v>
      </c>
      <c r="DQ182" t="s">
        <v>126</v>
      </c>
    </row>
    <row r="183" spans="1:121" x14ac:dyDescent="0.15">
      <c r="A183">
        <v>2018</v>
      </c>
      <c r="B183" t="s">
        <v>305</v>
      </c>
      <c r="C183" t="str">
        <f>"3470015"</f>
        <v>3470015</v>
      </c>
      <c r="D183" t="s">
        <v>123</v>
      </c>
      <c r="E183" t="str">
        <f t="shared" si="0"/>
        <v>0000000</v>
      </c>
      <c r="F183" t="s">
        <v>123</v>
      </c>
      <c r="G183" t="s">
        <v>123</v>
      </c>
      <c r="H183" t="s">
        <v>123</v>
      </c>
      <c r="J183" t="s">
        <v>124</v>
      </c>
      <c r="K183">
        <v>159.08962</v>
      </c>
      <c r="L183">
        <v>450</v>
      </c>
      <c r="M183">
        <v>35.353248999999998</v>
      </c>
      <c r="N183" t="s">
        <v>125</v>
      </c>
      <c r="O183" t="s">
        <v>125</v>
      </c>
      <c r="P183" t="s">
        <v>125</v>
      </c>
      <c r="Q183" t="s">
        <v>125</v>
      </c>
      <c r="R183" t="s">
        <v>125</v>
      </c>
      <c r="S183" t="s">
        <v>125</v>
      </c>
      <c r="T183" t="s">
        <v>125</v>
      </c>
      <c r="U183" t="s">
        <v>125</v>
      </c>
      <c r="V183" t="s">
        <v>125</v>
      </c>
      <c r="W183" t="s">
        <v>125</v>
      </c>
      <c r="X183" t="s">
        <v>125</v>
      </c>
      <c r="Y183" t="s">
        <v>125</v>
      </c>
      <c r="Z183" t="s">
        <v>125</v>
      </c>
      <c r="AA183" t="s">
        <v>125</v>
      </c>
      <c r="AB183" t="s">
        <v>125</v>
      </c>
      <c r="AC183" t="s">
        <v>125</v>
      </c>
      <c r="AD183" t="s">
        <v>125</v>
      </c>
      <c r="AE183" t="s">
        <v>125</v>
      </c>
      <c r="AF183" t="s">
        <v>125</v>
      </c>
      <c r="AG183" t="s">
        <v>125</v>
      </c>
      <c r="AH183" t="s">
        <v>125</v>
      </c>
      <c r="AI183" t="s">
        <v>125</v>
      </c>
      <c r="AJ183" t="s">
        <v>125</v>
      </c>
      <c r="AK183" t="s">
        <v>125</v>
      </c>
      <c r="AL183" t="s">
        <v>125</v>
      </c>
      <c r="AM183" t="s">
        <v>125</v>
      </c>
      <c r="AN183" t="s">
        <v>125</v>
      </c>
      <c r="AO183" t="s">
        <v>125</v>
      </c>
      <c r="AP183" t="s">
        <v>125</v>
      </c>
      <c r="AQ183" t="s">
        <v>125</v>
      </c>
      <c r="AR183" t="s">
        <v>125</v>
      </c>
      <c r="AS183" t="s">
        <v>125</v>
      </c>
      <c r="AT183" t="s">
        <v>125</v>
      </c>
      <c r="AU183" t="s">
        <v>125</v>
      </c>
      <c r="AV183" t="s">
        <v>125</v>
      </c>
      <c r="AW183" t="s">
        <v>125</v>
      </c>
      <c r="AX183" t="s">
        <v>125</v>
      </c>
      <c r="AY183" t="s">
        <v>125</v>
      </c>
      <c r="AZ183" t="s">
        <v>125</v>
      </c>
      <c r="BA183" t="s">
        <v>125</v>
      </c>
      <c r="BB183" t="s">
        <v>125</v>
      </c>
      <c r="BC183" t="s">
        <v>125</v>
      </c>
      <c r="BD183" t="s">
        <v>125</v>
      </c>
      <c r="BE183" t="s">
        <v>125</v>
      </c>
      <c r="BF183" t="s">
        <v>125</v>
      </c>
      <c r="BG183" t="s">
        <v>125</v>
      </c>
      <c r="BH183">
        <v>1</v>
      </c>
      <c r="BI183">
        <v>0.92982500000000001</v>
      </c>
      <c r="BJ183">
        <v>0.92982500000000001</v>
      </c>
      <c r="BK183" t="s">
        <v>125</v>
      </c>
      <c r="BL183">
        <v>0.91666700000000001</v>
      </c>
      <c r="BM183">
        <v>0.91666700000000001</v>
      </c>
      <c r="BN183" t="s">
        <v>125</v>
      </c>
      <c r="BO183">
        <v>0.94871799999999995</v>
      </c>
      <c r="BP183">
        <v>0.94871799999999995</v>
      </c>
      <c r="BQ183" t="s">
        <v>125</v>
      </c>
      <c r="BR183">
        <v>0.21782199999999999</v>
      </c>
      <c r="BS183">
        <v>16.435644</v>
      </c>
      <c r="BT183">
        <v>50</v>
      </c>
      <c r="BU183">
        <v>0.21782199999999999</v>
      </c>
      <c r="BV183">
        <v>16.435644</v>
      </c>
      <c r="BW183">
        <v>50</v>
      </c>
      <c r="BX183" t="s">
        <v>125</v>
      </c>
      <c r="BY183" t="s">
        <v>125</v>
      </c>
      <c r="BZ183" t="s">
        <v>125</v>
      </c>
      <c r="CA183" t="s">
        <v>125</v>
      </c>
      <c r="CB183" t="s">
        <v>125</v>
      </c>
      <c r="CC183" t="s">
        <v>125</v>
      </c>
      <c r="CD183">
        <v>0.36363600000000001</v>
      </c>
      <c r="CE183">
        <v>19.342359999999999</v>
      </c>
      <c r="CF183">
        <v>50</v>
      </c>
      <c r="CG183">
        <v>0.12</v>
      </c>
      <c r="CH183">
        <v>12.765957</v>
      </c>
      <c r="CI183">
        <v>100</v>
      </c>
      <c r="CJ183">
        <v>0</v>
      </c>
      <c r="CK183">
        <v>0.414634</v>
      </c>
      <c r="CL183">
        <v>44.110016000000002</v>
      </c>
      <c r="CM183">
        <v>100</v>
      </c>
      <c r="CN183" t="s">
        <v>125</v>
      </c>
      <c r="CO183" t="s">
        <v>125</v>
      </c>
      <c r="CP183" t="s">
        <v>125</v>
      </c>
      <c r="CQ183" t="s">
        <v>125</v>
      </c>
      <c r="CR183" t="s">
        <v>125</v>
      </c>
      <c r="CS183">
        <v>0</v>
      </c>
      <c r="CT183">
        <v>50</v>
      </c>
      <c r="CU183">
        <v>0.77049199999999995</v>
      </c>
      <c r="CV183">
        <v>50</v>
      </c>
      <c r="CW183">
        <v>50</v>
      </c>
      <c r="CX183">
        <v>0.414634</v>
      </c>
      <c r="CY183" t="s">
        <v>125</v>
      </c>
      <c r="CZ183" t="s">
        <v>125</v>
      </c>
      <c r="DA183" t="s">
        <v>125</v>
      </c>
      <c r="DB183" t="s">
        <v>125</v>
      </c>
      <c r="DC183" t="s">
        <v>125</v>
      </c>
      <c r="DD183">
        <v>11.115401</v>
      </c>
      <c r="DE183" t="s">
        <v>125</v>
      </c>
      <c r="DJ183" t="s">
        <v>125</v>
      </c>
      <c r="DK183" t="s">
        <v>125</v>
      </c>
      <c r="DL183" t="s">
        <v>125</v>
      </c>
      <c r="DM183" t="s">
        <v>125</v>
      </c>
      <c r="DN183" t="s">
        <v>125</v>
      </c>
      <c r="DO183" t="s">
        <v>125</v>
      </c>
      <c r="DQ183" t="s">
        <v>126</v>
      </c>
    </row>
    <row r="184" spans="1:121" x14ac:dyDescent="0.15">
      <c r="A184">
        <v>2018</v>
      </c>
      <c r="B184" t="s">
        <v>306</v>
      </c>
      <c r="C184" t="str">
        <f>"9000016"</f>
        <v>9000016</v>
      </c>
      <c r="D184" t="s">
        <v>123</v>
      </c>
      <c r="E184" t="str">
        <f t="shared" si="0"/>
        <v>0000000</v>
      </c>
      <c r="F184" t="s">
        <v>123</v>
      </c>
      <c r="G184" t="s">
        <v>123</v>
      </c>
      <c r="H184" t="s">
        <v>123</v>
      </c>
      <c r="J184" t="s">
        <v>124</v>
      </c>
      <c r="K184">
        <v>1049.1361710000001</v>
      </c>
      <c r="L184">
        <v>1550</v>
      </c>
      <c r="M184">
        <v>67.686205000000001</v>
      </c>
      <c r="N184" t="s">
        <v>125</v>
      </c>
      <c r="O184">
        <v>0</v>
      </c>
      <c r="P184">
        <v>46.510852999999997</v>
      </c>
      <c r="Q184">
        <v>93.021705999999995</v>
      </c>
      <c r="R184">
        <v>150</v>
      </c>
      <c r="S184">
        <v>44.119512999999998</v>
      </c>
      <c r="T184">
        <v>50.693652999999998</v>
      </c>
      <c r="U184">
        <v>88.239026999999993</v>
      </c>
      <c r="V184">
        <v>150</v>
      </c>
      <c r="W184">
        <v>42.850270000000002</v>
      </c>
      <c r="X184">
        <v>85.700539000000006</v>
      </c>
      <c r="Y184">
        <v>150</v>
      </c>
      <c r="Z184">
        <v>46.690421999999998</v>
      </c>
      <c r="AA184">
        <v>40.654823999999998</v>
      </c>
      <c r="AB184">
        <v>81.309647999999996</v>
      </c>
      <c r="AC184">
        <v>150</v>
      </c>
      <c r="AD184">
        <v>50.140346999999998</v>
      </c>
      <c r="AE184">
        <v>66.853796000000003</v>
      </c>
      <c r="AF184">
        <v>100</v>
      </c>
      <c r="AG184">
        <v>47.056356000000001</v>
      </c>
      <c r="AH184">
        <v>55.531148000000002</v>
      </c>
      <c r="AI184">
        <v>62.741809000000003</v>
      </c>
      <c r="AJ184">
        <v>100</v>
      </c>
      <c r="AK184">
        <v>6.57</v>
      </c>
      <c r="AL184">
        <v>6.03</v>
      </c>
      <c r="AM184">
        <v>8.4700000000000006</v>
      </c>
      <c r="AN184" t="s">
        <v>125</v>
      </c>
      <c r="AO184" t="s">
        <v>125</v>
      </c>
      <c r="AP184" t="s">
        <v>125</v>
      </c>
      <c r="AQ184" t="s">
        <v>125</v>
      </c>
      <c r="AR184" t="s">
        <v>125</v>
      </c>
      <c r="AS184" t="s">
        <v>125</v>
      </c>
      <c r="AT184" t="s">
        <v>125</v>
      </c>
      <c r="AU184" t="s">
        <v>125</v>
      </c>
      <c r="AV184" t="s">
        <v>125</v>
      </c>
      <c r="AW184" t="s">
        <v>125</v>
      </c>
      <c r="AX184" t="s">
        <v>125</v>
      </c>
      <c r="AY184" t="s">
        <v>125</v>
      </c>
      <c r="AZ184" t="s">
        <v>125</v>
      </c>
      <c r="BA184" t="s">
        <v>125</v>
      </c>
      <c r="BB184">
        <v>0.41923199999999999</v>
      </c>
      <c r="BC184">
        <v>20.961576999999998</v>
      </c>
      <c r="BD184">
        <v>50</v>
      </c>
      <c r="BE184">
        <v>0.55657000000000001</v>
      </c>
      <c r="BF184">
        <v>27.828519</v>
      </c>
      <c r="BG184">
        <v>50</v>
      </c>
      <c r="BH184">
        <v>0</v>
      </c>
      <c r="BI184">
        <v>0.99505999999999994</v>
      </c>
      <c r="BJ184">
        <v>0.99224800000000002</v>
      </c>
      <c r="BK184">
        <v>1</v>
      </c>
      <c r="BL184">
        <v>0.99505999999999994</v>
      </c>
      <c r="BM184">
        <v>0.99224800000000002</v>
      </c>
      <c r="BN184">
        <v>1</v>
      </c>
      <c r="BO184">
        <v>0.99132900000000002</v>
      </c>
      <c r="BP184">
        <v>0.98963699999999999</v>
      </c>
      <c r="BQ184">
        <v>0.99430499999999999</v>
      </c>
      <c r="BR184">
        <v>9.8913000000000001E-2</v>
      </c>
      <c r="BS184">
        <v>40.217453999999996</v>
      </c>
      <c r="BT184">
        <v>50</v>
      </c>
      <c r="BU184">
        <v>0.121603</v>
      </c>
      <c r="BV184">
        <v>35.679409999999997</v>
      </c>
      <c r="BW184">
        <v>50</v>
      </c>
      <c r="BX184">
        <v>0.99851500000000004</v>
      </c>
      <c r="BY184">
        <v>50</v>
      </c>
      <c r="BZ184">
        <v>50</v>
      </c>
      <c r="CA184">
        <v>0.11858299999999999</v>
      </c>
      <c r="CB184">
        <v>7.9055299999999997</v>
      </c>
      <c r="CC184">
        <v>50</v>
      </c>
      <c r="CD184">
        <v>0.98563100000000003</v>
      </c>
      <c r="CE184">
        <v>50</v>
      </c>
      <c r="CF184">
        <v>50</v>
      </c>
      <c r="CG184">
        <v>0.97027300000000005</v>
      </c>
      <c r="CH184">
        <v>100</v>
      </c>
      <c r="CI184">
        <v>100</v>
      </c>
      <c r="CJ184">
        <v>0</v>
      </c>
      <c r="CK184">
        <v>0.97292299999999998</v>
      </c>
      <c r="CL184">
        <v>100</v>
      </c>
      <c r="CM184">
        <v>100</v>
      </c>
      <c r="CN184">
        <v>0.44600000000000001</v>
      </c>
      <c r="CO184">
        <v>59.447265000000002</v>
      </c>
      <c r="CP184">
        <v>100</v>
      </c>
      <c r="CQ184">
        <v>0.44383699999999998</v>
      </c>
      <c r="CR184">
        <v>0.99492000000000003</v>
      </c>
      <c r="CS184">
        <v>29.589108</v>
      </c>
      <c r="CT184">
        <v>50</v>
      </c>
      <c r="CU184">
        <v>0.59568900000000002</v>
      </c>
      <c r="CV184">
        <v>49.640783999999996</v>
      </c>
      <c r="CW184">
        <v>50</v>
      </c>
      <c r="CX184">
        <v>0.97292299999999998</v>
      </c>
      <c r="CY184">
        <v>0.94</v>
      </c>
      <c r="CZ184">
        <v>-3.2923000000000001E-2</v>
      </c>
      <c r="DA184">
        <v>15.389535</v>
      </c>
      <c r="DB184">
        <v>17.608319000000002</v>
      </c>
      <c r="DC184">
        <v>16.064022999999999</v>
      </c>
      <c r="DD184">
        <v>11.115401</v>
      </c>
      <c r="DE184" t="s">
        <v>125</v>
      </c>
      <c r="DJ184" t="s">
        <v>125</v>
      </c>
      <c r="DK184" t="s">
        <v>125</v>
      </c>
      <c r="DL184" t="s">
        <v>125</v>
      </c>
      <c r="DM184" t="s">
        <v>125</v>
      </c>
      <c r="DN184" t="s">
        <v>125</v>
      </c>
      <c r="DO184" t="s">
        <v>125</v>
      </c>
      <c r="DQ184" t="s">
        <v>126</v>
      </c>
    </row>
    <row r="185" spans="1:121" x14ac:dyDescent="0.15">
      <c r="A185">
        <v>2018</v>
      </c>
      <c r="B185" t="s">
        <v>307</v>
      </c>
      <c r="C185" t="str">
        <f>"0670011"</f>
        <v>0670011</v>
      </c>
      <c r="D185" t="s">
        <v>123</v>
      </c>
      <c r="E185" t="str">
        <f t="shared" si="0"/>
        <v>0000000</v>
      </c>
      <c r="F185" t="s">
        <v>123</v>
      </c>
      <c r="G185" t="s">
        <v>123</v>
      </c>
      <c r="H185" t="s">
        <v>123</v>
      </c>
      <c r="J185" t="s">
        <v>124</v>
      </c>
      <c r="K185">
        <v>622.48799599999995</v>
      </c>
      <c r="L185">
        <v>850</v>
      </c>
      <c r="M185">
        <v>73.233881999999994</v>
      </c>
      <c r="N185" t="s">
        <v>125</v>
      </c>
      <c r="O185">
        <v>0</v>
      </c>
      <c r="P185">
        <v>74.062211000000005</v>
      </c>
      <c r="Q185">
        <v>49.374806999999997</v>
      </c>
      <c r="R185">
        <v>50</v>
      </c>
      <c r="S185">
        <v>62.397460000000002</v>
      </c>
      <c r="T185">
        <v>75</v>
      </c>
      <c r="U185">
        <v>41.598306000000001</v>
      </c>
      <c r="V185">
        <v>50</v>
      </c>
      <c r="W185">
        <v>72.819040999999999</v>
      </c>
      <c r="X185">
        <v>48.546028</v>
      </c>
      <c r="Y185">
        <v>50</v>
      </c>
      <c r="Z185">
        <v>75</v>
      </c>
      <c r="AA185">
        <v>59.698532999999998</v>
      </c>
      <c r="AB185">
        <v>39.799022000000001</v>
      </c>
      <c r="AC185">
        <v>50</v>
      </c>
      <c r="AD185">
        <v>72.586444</v>
      </c>
      <c r="AE185">
        <v>48.390962999999999</v>
      </c>
      <c r="AF185">
        <v>50</v>
      </c>
      <c r="AG185">
        <v>63</v>
      </c>
      <c r="AH185">
        <v>75</v>
      </c>
      <c r="AI185">
        <v>42</v>
      </c>
      <c r="AJ185">
        <v>50</v>
      </c>
      <c r="AK185">
        <v>12.6</v>
      </c>
      <c r="AL185">
        <v>15.3</v>
      </c>
      <c r="AM185">
        <v>12</v>
      </c>
      <c r="AN185">
        <v>0.59662800000000005</v>
      </c>
      <c r="AO185">
        <v>59.662818000000001</v>
      </c>
      <c r="AP185">
        <v>100</v>
      </c>
      <c r="AQ185">
        <v>0.66219399999999995</v>
      </c>
      <c r="AR185">
        <v>66.219419000000002</v>
      </c>
      <c r="AS185">
        <v>100</v>
      </c>
      <c r="AT185">
        <v>0.44948199999999999</v>
      </c>
      <c r="AU185">
        <v>0.66147199999999995</v>
      </c>
      <c r="AV185">
        <v>44.948163999999998</v>
      </c>
      <c r="AW185">
        <v>100</v>
      </c>
      <c r="AX185">
        <v>0.575299</v>
      </c>
      <c r="AY185">
        <v>0.70048699999999997</v>
      </c>
      <c r="AZ185">
        <v>57.529864000000003</v>
      </c>
      <c r="BA185">
        <v>100</v>
      </c>
      <c r="BB185" t="s">
        <v>125</v>
      </c>
      <c r="BC185" t="s">
        <v>125</v>
      </c>
      <c r="BD185" t="s">
        <v>125</v>
      </c>
      <c r="BE185" t="s">
        <v>125</v>
      </c>
      <c r="BF185" t="s">
        <v>125</v>
      </c>
      <c r="BG185" t="s">
        <v>125</v>
      </c>
      <c r="BH185">
        <v>0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1.8707000000000001E-2</v>
      </c>
      <c r="BS185">
        <v>50</v>
      </c>
      <c r="BT185">
        <v>50</v>
      </c>
      <c r="BU185">
        <v>3.2258000000000002E-2</v>
      </c>
      <c r="BV185">
        <v>50</v>
      </c>
      <c r="BW185">
        <v>50</v>
      </c>
      <c r="BX185" t="s">
        <v>125</v>
      </c>
      <c r="BY185" t="s">
        <v>125</v>
      </c>
      <c r="BZ185" t="s">
        <v>125</v>
      </c>
      <c r="CA185" t="s">
        <v>125</v>
      </c>
      <c r="CB185" t="s">
        <v>125</v>
      </c>
      <c r="CC185" t="s">
        <v>125</v>
      </c>
      <c r="CD185" t="s">
        <v>125</v>
      </c>
      <c r="CE185" t="s">
        <v>125</v>
      </c>
      <c r="CF185" t="s">
        <v>125</v>
      </c>
      <c r="CG185" t="s">
        <v>125</v>
      </c>
      <c r="CH185" t="s">
        <v>125</v>
      </c>
      <c r="CI185" t="s">
        <v>125</v>
      </c>
      <c r="CJ185" t="s">
        <v>125</v>
      </c>
      <c r="CK185" t="s">
        <v>125</v>
      </c>
      <c r="CL185" t="s">
        <v>125</v>
      </c>
      <c r="CM185" t="s">
        <v>125</v>
      </c>
      <c r="CN185" t="s">
        <v>125</v>
      </c>
      <c r="CO185" t="s">
        <v>125</v>
      </c>
      <c r="CP185" t="s">
        <v>125</v>
      </c>
      <c r="CQ185">
        <v>0.36627900000000002</v>
      </c>
      <c r="CR185">
        <v>1.011765</v>
      </c>
      <c r="CS185">
        <v>24.418604999999999</v>
      </c>
      <c r="CT185">
        <v>50</v>
      </c>
      <c r="CU185" t="s">
        <v>125</v>
      </c>
      <c r="CV185" t="s">
        <v>125</v>
      </c>
      <c r="CW185" t="s">
        <v>125</v>
      </c>
      <c r="CX185" t="s">
        <v>125</v>
      </c>
      <c r="CY185" t="s">
        <v>125</v>
      </c>
      <c r="CZ185" t="s">
        <v>125</v>
      </c>
      <c r="DA185">
        <v>15.389535</v>
      </c>
      <c r="DB185">
        <v>17.608319000000002</v>
      </c>
      <c r="DC185">
        <v>16.064022999999999</v>
      </c>
      <c r="DD185" t="s">
        <v>125</v>
      </c>
      <c r="DE185" t="s">
        <v>125</v>
      </c>
      <c r="DJ185" t="s">
        <v>125</v>
      </c>
      <c r="DK185" t="s">
        <v>125</v>
      </c>
      <c r="DL185" t="s">
        <v>125</v>
      </c>
      <c r="DM185" t="s">
        <v>125</v>
      </c>
      <c r="DN185" t="s">
        <v>125</v>
      </c>
      <c r="DO185" t="s">
        <v>125</v>
      </c>
      <c r="DQ185" t="s">
        <v>126</v>
      </c>
    </row>
    <row r="186" spans="1:121" x14ac:dyDescent="0.15">
      <c r="A186">
        <v>2018</v>
      </c>
      <c r="B186" t="s">
        <v>308</v>
      </c>
      <c r="C186" t="str">
        <f>"0680011"</f>
        <v>0680011</v>
      </c>
      <c r="D186" t="s">
        <v>123</v>
      </c>
      <c r="E186" t="str">
        <f t="shared" si="0"/>
        <v>0000000</v>
      </c>
      <c r="F186" t="s">
        <v>123</v>
      </c>
      <c r="G186" t="s">
        <v>123</v>
      </c>
      <c r="H186" t="s">
        <v>123</v>
      </c>
      <c r="J186" t="s">
        <v>124</v>
      </c>
      <c r="K186">
        <v>639.53706</v>
      </c>
      <c r="L186">
        <v>800</v>
      </c>
      <c r="M186">
        <v>79.942132000000001</v>
      </c>
      <c r="N186" t="s">
        <v>125</v>
      </c>
      <c r="O186">
        <v>0</v>
      </c>
      <c r="P186">
        <v>85.088340000000002</v>
      </c>
      <c r="Q186">
        <v>50</v>
      </c>
      <c r="R186">
        <v>50</v>
      </c>
      <c r="S186">
        <v>72.490071</v>
      </c>
      <c r="T186">
        <v>75</v>
      </c>
      <c r="U186">
        <v>48.326714000000003</v>
      </c>
      <c r="V186">
        <v>50</v>
      </c>
      <c r="W186">
        <v>76.283510000000007</v>
      </c>
      <c r="X186">
        <v>50</v>
      </c>
      <c r="Y186">
        <v>50</v>
      </c>
      <c r="Z186">
        <v>75</v>
      </c>
      <c r="AA186">
        <v>66.952200000000005</v>
      </c>
      <c r="AB186">
        <v>44.634799999999998</v>
      </c>
      <c r="AC186">
        <v>50</v>
      </c>
      <c r="AD186">
        <v>83.709816000000004</v>
      </c>
      <c r="AE186">
        <v>50</v>
      </c>
      <c r="AF186">
        <v>50</v>
      </c>
      <c r="AG186" t="s">
        <v>125</v>
      </c>
      <c r="AH186">
        <v>75</v>
      </c>
      <c r="AI186" t="s">
        <v>125</v>
      </c>
      <c r="AJ186" t="s">
        <v>125</v>
      </c>
      <c r="AK186">
        <v>2.5</v>
      </c>
      <c r="AL186">
        <v>8.0399999999999991</v>
      </c>
      <c r="AM186" t="s">
        <v>125</v>
      </c>
      <c r="AN186">
        <v>0.72571399999999997</v>
      </c>
      <c r="AO186">
        <v>72.571365</v>
      </c>
      <c r="AP186">
        <v>100</v>
      </c>
      <c r="AQ186">
        <v>0.68511900000000003</v>
      </c>
      <c r="AR186">
        <v>68.511893999999998</v>
      </c>
      <c r="AS186">
        <v>100</v>
      </c>
      <c r="AT186">
        <v>0.55296000000000001</v>
      </c>
      <c r="AU186">
        <v>0.79907499999999998</v>
      </c>
      <c r="AV186">
        <v>55.296028999999997</v>
      </c>
      <c r="AW186">
        <v>100</v>
      </c>
      <c r="AX186">
        <v>0.62822500000000003</v>
      </c>
      <c r="AY186">
        <v>0.70927899999999999</v>
      </c>
      <c r="AZ186">
        <v>62.822519999999997</v>
      </c>
      <c r="BA186">
        <v>100</v>
      </c>
      <c r="BB186" t="s">
        <v>125</v>
      </c>
      <c r="BC186" t="s">
        <v>125</v>
      </c>
      <c r="BD186" t="s">
        <v>125</v>
      </c>
      <c r="BE186" t="s">
        <v>125</v>
      </c>
      <c r="BF186" t="s">
        <v>125</v>
      </c>
      <c r="BG186" t="s">
        <v>125</v>
      </c>
      <c r="BH186">
        <v>0</v>
      </c>
      <c r="BI186">
        <v>0.97080299999999997</v>
      </c>
      <c r="BJ186">
        <v>0.95121999999999995</v>
      </c>
      <c r="BK186">
        <v>0.97916700000000001</v>
      </c>
      <c r="BL186">
        <v>0.97080299999999997</v>
      </c>
      <c r="BM186">
        <v>0.95121999999999995</v>
      </c>
      <c r="BN186">
        <v>0.97916700000000001</v>
      </c>
      <c r="BO186">
        <v>0.98</v>
      </c>
      <c r="BP186" t="s">
        <v>125</v>
      </c>
      <c r="BQ186">
        <v>0.97297299999999998</v>
      </c>
      <c r="BR186">
        <v>2.6041999999999999E-2</v>
      </c>
      <c r="BS186">
        <v>50</v>
      </c>
      <c r="BT186">
        <v>50</v>
      </c>
      <c r="BU186">
        <v>3.5088000000000001E-2</v>
      </c>
      <c r="BV186">
        <v>50</v>
      </c>
      <c r="BW186">
        <v>50</v>
      </c>
      <c r="BX186" t="s">
        <v>125</v>
      </c>
      <c r="BY186" t="s">
        <v>125</v>
      </c>
      <c r="BZ186" t="s">
        <v>125</v>
      </c>
      <c r="CA186" t="s">
        <v>125</v>
      </c>
      <c r="CB186" t="s">
        <v>125</v>
      </c>
      <c r="CC186" t="s">
        <v>125</v>
      </c>
      <c r="CD186" t="s">
        <v>125</v>
      </c>
      <c r="CE186" t="s">
        <v>125</v>
      </c>
      <c r="CF186" t="s">
        <v>125</v>
      </c>
      <c r="CG186" t="s">
        <v>125</v>
      </c>
      <c r="CH186" t="s">
        <v>125</v>
      </c>
      <c r="CI186" t="s">
        <v>125</v>
      </c>
      <c r="CJ186" t="s">
        <v>125</v>
      </c>
      <c r="CK186" t="s">
        <v>125</v>
      </c>
      <c r="CL186" t="s">
        <v>125</v>
      </c>
      <c r="CM186" t="s">
        <v>125</v>
      </c>
      <c r="CN186" t="s">
        <v>125</v>
      </c>
      <c r="CO186" t="s">
        <v>125</v>
      </c>
      <c r="CP186" t="s">
        <v>125</v>
      </c>
      <c r="CQ186">
        <v>0.56060600000000005</v>
      </c>
      <c r="CR186">
        <v>0.97058800000000001</v>
      </c>
      <c r="CS186">
        <v>37.373736999999998</v>
      </c>
      <c r="CT186">
        <v>50</v>
      </c>
      <c r="CU186" t="s">
        <v>125</v>
      </c>
      <c r="CV186" t="s">
        <v>125</v>
      </c>
      <c r="CW186" t="s">
        <v>125</v>
      </c>
      <c r="CX186" t="s">
        <v>125</v>
      </c>
      <c r="CY186" t="s">
        <v>125</v>
      </c>
      <c r="CZ186" t="s">
        <v>125</v>
      </c>
      <c r="DA186">
        <v>15.389535</v>
      </c>
      <c r="DB186">
        <v>17.608319000000002</v>
      </c>
      <c r="DC186">
        <v>16.064022999999999</v>
      </c>
      <c r="DD186" t="s">
        <v>125</v>
      </c>
      <c r="DE186" t="s">
        <v>125</v>
      </c>
      <c r="DJ186" t="s">
        <v>125</v>
      </c>
      <c r="DK186" t="s">
        <v>125</v>
      </c>
      <c r="DL186" t="s">
        <v>125</v>
      </c>
      <c r="DM186" t="s">
        <v>125</v>
      </c>
      <c r="DN186" t="s">
        <v>125</v>
      </c>
      <c r="DO186" t="s">
        <v>125</v>
      </c>
      <c r="DQ186" t="s">
        <v>126</v>
      </c>
    </row>
    <row r="187" spans="1:121" x14ac:dyDescent="0.15">
      <c r="A187">
        <v>2018</v>
      </c>
      <c r="B187" t="s">
        <v>309</v>
      </c>
      <c r="C187" t="str">
        <f>"1360011"</f>
        <v>1360011</v>
      </c>
      <c r="D187" t="s">
        <v>123</v>
      </c>
      <c r="E187" t="str">
        <f t="shared" si="0"/>
        <v>0000000</v>
      </c>
      <c r="F187" t="s">
        <v>123</v>
      </c>
      <c r="G187" t="s">
        <v>123</v>
      </c>
      <c r="H187" t="s">
        <v>123</v>
      </c>
      <c r="J187" t="s">
        <v>124</v>
      </c>
      <c r="K187">
        <v>550.22136899999998</v>
      </c>
      <c r="L187">
        <v>900</v>
      </c>
      <c r="M187">
        <v>61.135708000000001</v>
      </c>
      <c r="N187" t="s">
        <v>125</v>
      </c>
      <c r="O187">
        <v>0</v>
      </c>
      <c r="P187">
        <v>63.533504000000001</v>
      </c>
      <c r="Q187">
        <v>42.355668999999999</v>
      </c>
      <c r="R187">
        <v>50</v>
      </c>
      <c r="S187">
        <v>54.960464000000002</v>
      </c>
      <c r="T187">
        <v>70.301693</v>
      </c>
      <c r="U187">
        <v>36.640309999999999</v>
      </c>
      <c r="V187">
        <v>50</v>
      </c>
      <c r="W187">
        <v>56.225143000000003</v>
      </c>
      <c r="X187">
        <v>37.483429000000001</v>
      </c>
      <c r="Y187">
        <v>50</v>
      </c>
      <c r="Z187">
        <v>63.859209999999997</v>
      </c>
      <c r="AA187">
        <v>46.628030000000003</v>
      </c>
      <c r="AB187">
        <v>31.085353000000001</v>
      </c>
      <c r="AC187">
        <v>50</v>
      </c>
      <c r="AD187">
        <v>62.642724999999999</v>
      </c>
      <c r="AE187">
        <v>41.761816000000003</v>
      </c>
      <c r="AF187">
        <v>50</v>
      </c>
      <c r="AG187">
        <v>54.690505999999999</v>
      </c>
      <c r="AH187">
        <v>68.050234000000003</v>
      </c>
      <c r="AI187">
        <v>36.460337000000003</v>
      </c>
      <c r="AJ187">
        <v>50</v>
      </c>
      <c r="AK187">
        <v>15.34</v>
      </c>
      <c r="AL187">
        <v>17.23</v>
      </c>
      <c r="AM187">
        <v>13.35</v>
      </c>
      <c r="AN187">
        <v>0.44156699999999999</v>
      </c>
      <c r="AO187">
        <v>44.156668000000003</v>
      </c>
      <c r="AP187">
        <v>100</v>
      </c>
      <c r="AQ187">
        <v>0.474721</v>
      </c>
      <c r="AR187">
        <v>47.472110000000001</v>
      </c>
      <c r="AS187">
        <v>100</v>
      </c>
      <c r="AT187">
        <v>0.38084800000000002</v>
      </c>
      <c r="AU187">
        <v>0.488985</v>
      </c>
      <c r="AV187">
        <v>38.084788000000003</v>
      </c>
      <c r="AW187">
        <v>100</v>
      </c>
      <c r="AX187">
        <v>0.42437599999999998</v>
      </c>
      <c r="AY187">
        <v>0.51441599999999998</v>
      </c>
      <c r="AZ187">
        <v>42.437573</v>
      </c>
      <c r="BA187">
        <v>100</v>
      </c>
      <c r="BB187" t="s">
        <v>125</v>
      </c>
      <c r="BC187" t="s">
        <v>125</v>
      </c>
      <c r="BD187" t="s">
        <v>125</v>
      </c>
      <c r="BE187" t="s">
        <v>125</v>
      </c>
      <c r="BF187" t="s">
        <v>125</v>
      </c>
      <c r="BG187" t="s">
        <v>125</v>
      </c>
      <c r="BH187">
        <v>0</v>
      </c>
      <c r="BI187">
        <v>0.98387100000000005</v>
      </c>
      <c r="BJ187">
        <v>0.97247700000000004</v>
      </c>
      <c r="BK187">
        <v>0.99280599999999997</v>
      </c>
      <c r="BL187">
        <v>0.98387100000000005</v>
      </c>
      <c r="BM187">
        <v>0.97247700000000004</v>
      </c>
      <c r="BN187">
        <v>0.99280599999999997</v>
      </c>
      <c r="BO187">
        <v>0.98876399999999998</v>
      </c>
      <c r="BP187">
        <v>1</v>
      </c>
      <c r="BQ187">
        <v>0.98148100000000005</v>
      </c>
      <c r="BR187">
        <v>8.2596000000000003E-2</v>
      </c>
      <c r="BS187">
        <v>43.480826</v>
      </c>
      <c r="BT187">
        <v>50</v>
      </c>
      <c r="BU187">
        <v>0.13333300000000001</v>
      </c>
      <c r="BV187">
        <v>33.333333000000003</v>
      </c>
      <c r="BW187">
        <v>50</v>
      </c>
      <c r="BX187" t="s">
        <v>125</v>
      </c>
      <c r="BY187" t="s">
        <v>125</v>
      </c>
      <c r="BZ187" t="s">
        <v>125</v>
      </c>
      <c r="CA187" t="s">
        <v>125</v>
      </c>
      <c r="CB187" t="s">
        <v>125</v>
      </c>
      <c r="CC187" t="s">
        <v>125</v>
      </c>
      <c r="CD187">
        <v>0.93023299999999998</v>
      </c>
      <c r="CE187">
        <v>49.480454999999999</v>
      </c>
      <c r="CF187">
        <v>50</v>
      </c>
      <c r="CG187" t="s">
        <v>125</v>
      </c>
      <c r="CH187" t="s">
        <v>125</v>
      </c>
      <c r="CI187" t="s">
        <v>125</v>
      </c>
      <c r="CJ187" t="s">
        <v>125</v>
      </c>
      <c r="CK187" t="s">
        <v>125</v>
      </c>
      <c r="CL187" t="s">
        <v>125</v>
      </c>
      <c r="CM187" t="s">
        <v>125</v>
      </c>
      <c r="CN187" t="s">
        <v>125</v>
      </c>
      <c r="CO187" t="s">
        <v>125</v>
      </c>
      <c r="CP187" t="s">
        <v>125</v>
      </c>
      <c r="CQ187">
        <v>0.38983099999999998</v>
      </c>
      <c r="CR187">
        <v>0.94399999999999995</v>
      </c>
      <c r="CS187">
        <v>25.988700999999999</v>
      </c>
      <c r="CT187">
        <v>50</v>
      </c>
      <c r="CU187" t="s">
        <v>125</v>
      </c>
      <c r="CV187" t="s">
        <v>125</v>
      </c>
      <c r="CW187" t="s">
        <v>125</v>
      </c>
      <c r="CX187" t="s">
        <v>125</v>
      </c>
      <c r="CY187" t="s">
        <v>125</v>
      </c>
      <c r="CZ187" t="s">
        <v>125</v>
      </c>
      <c r="DA187">
        <v>15.389535</v>
      </c>
      <c r="DB187">
        <v>17.608319000000002</v>
      </c>
      <c r="DC187">
        <v>16.064022999999999</v>
      </c>
      <c r="DD187" t="s">
        <v>125</v>
      </c>
      <c r="DE187" t="s">
        <v>125</v>
      </c>
      <c r="DJ187" t="s">
        <v>125</v>
      </c>
      <c r="DK187" t="s">
        <v>125</v>
      </c>
      <c r="DL187" t="s">
        <v>125</v>
      </c>
      <c r="DM187" t="s">
        <v>125</v>
      </c>
      <c r="DN187" t="s">
        <v>125</v>
      </c>
      <c r="DO187" t="s">
        <v>125</v>
      </c>
      <c r="DQ187" t="s">
        <v>126</v>
      </c>
    </row>
    <row r="188" spans="1:121" x14ac:dyDescent="0.15">
      <c r="A188">
        <v>2018</v>
      </c>
      <c r="B188" t="s">
        <v>310</v>
      </c>
      <c r="C188" t="str">
        <f>"1370011"</f>
        <v>1370011</v>
      </c>
      <c r="D188" t="s">
        <v>123</v>
      </c>
      <c r="E188" t="str">
        <f t="shared" si="0"/>
        <v>0000000</v>
      </c>
      <c r="F188" t="s">
        <v>123</v>
      </c>
      <c r="G188" t="s">
        <v>123</v>
      </c>
      <c r="H188" t="s">
        <v>123</v>
      </c>
      <c r="J188" t="s">
        <v>124</v>
      </c>
      <c r="K188">
        <v>1105.715091</v>
      </c>
      <c r="L188">
        <v>1350</v>
      </c>
      <c r="M188">
        <v>81.904821999999996</v>
      </c>
      <c r="N188" t="s">
        <v>125</v>
      </c>
      <c r="O188">
        <v>0</v>
      </c>
      <c r="P188">
        <v>76.991533000000004</v>
      </c>
      <c r="Q188">
        <v>50</v>
      </c>
      <c r="R188">
        <v>50</v>
      </c>
      <c r="S188">
        <v>68.398919000000006</v>
      </c>
      <c r="T188">
        <v>75</v>
      </c>
      <c r="U188">
        <v>45.599279000000003</v>
      </c>
      <c r="V188">
        <v>50</v>
      </c>
      <c r="W188">
        <v>71.633154000000005</v>
      </c>
      <c r="X188">
        <v>47.755436000000003</v>
      </c>
      <c r="Y188">
        <v>50</v>
      </c>
      <c r="Z188">
        <v>75</v>
      </c>
      <c r="AA188">
        <v>61.708060000000003</v>
      </c>
      <c r="AB188">
        <v>41.138706999999997</v>
      </c>
      <c r="AC188">
        <v>50</v>
      </c>
      <c r="AD188">
        <v>72.191805000000002</v>
      </c>
      <c r="AE188">
        <v>48.127870000000001</v>
      </c>
      <c r="AF188">
        <v>50</v>
      </c>
      <c r="AG188">
        <v>64.201787999999993</v>
      </c>
      <c r="AH188">
        <v>75</v>
      </c>
      <c r="AI188">
        <v>42.801192</v>
      </c>
      <c r="AJ188">
        <v>50</v>
      </c>
      <c r="AK188">
        <v>6.6</v>
      </c>
      <c r="AL188">
        <v>13.29</v>
      </c>
      <c r="AM188">
        <v>10.79</v>
      </c>
      <c r="AN188">
        <v>0.67186000000000001</v>
      </c>
      <c r="AO188">
        <v>67.185975999999997</v>
      </c>
      <c r="AP188">
        <v>100</v>
      </c>
      <c r="AQ188">
        <v>0.69663399999999998</v>
      </c>
      <c r="AR188">
        <v>69.663357000000005</v>
      </c>
      <c r="AS188">
        <v>100</v>
      </c>
      <c r="AT188">
        <v>0.62031999999999998</v>
      </c>
      <c r="AU188">
        <v>0.70201800000000003</v>
      </c>
      <c r="AV188">
        <v>62.032001000000001</v>
      </c>
      <c r="AW188">
        <v>100</v>
      </c>
      <c r="AX188">
        <v>0.61253800000000003</v>
      </c>
      <c r="AY188">
        <v>0.74565899999999996</v>
      </c>
      <c r="AZ188">
        <v>61.253753000000003</v>
      </c>
      <c r="BA188">
        <v>100</v>
      </c>
      <c r="BB188" t="s">
        <v>125</v>
      </c>
      <c r="BC188" t="s">
        <v>125</v>
      </c>
      <c r="BD188" t="s">
        <v>125</v>
      </c>
      <c r="BE188" t="s">
        <v>125</v>
      </c>
      <c r="BF188" t="s">
        <v>125</v>
      </c>
      <c r="BG188" t="s">
        <v>125</v>
      </c>
      <c r="BH188">
        <v>0</v>
      </c>
      <c r="BI188">
        <v>0.99347600000000003</v>
      </c>
      <c r="BJ188">
        <v>0.98288500000000001</v>
      </c>
      <c r="BK188">
        <v>1</v>
      </c>
      <c r="BL188">
        <v>0.99254399999999998</v>
      </c>
      <c r="BM188">
        <v>0.98043999999999998</v>
      </c>
      <c r="BN188">
        <v>1</v>
      </c>
      <c r="BO188">
        <v>0.99147099999999999</v>
      </c>
      <c r="BP188">
        <v>0.97499999999999998</v>
      </c>
      <c r="BQ188">
        <v>1</v>
      </c>
      <c r="BR188">
        <v>9.2424000000000006E-2</v>
      </c>
      <c r="BS188">
        <v>41.515152</v>
      </c>
      <c r="BT188">
        <v>50</v>
      </c>
      <c r="BU188">
        <v>0.15909100000000001</v>
      </c>
      <c r="BV188">
        <v>28.181818</v>
      </c>
      <c r="BW188">
        <v>50</v>
      </c>
      <c r="BX188">
        <v>0.793605</v>
      </c>
      <c r="BY188">
        <v>50</v>
      </c>
      <c r="BZ188">
        <v>50</v>
      </c>
      <c r="CA188">
        <v>0.57267400000000002</v>
      </c>
      <c r="CB188">
        <v>38.178294999999999</v>
      </c>
      <c r="CC188">
        <v>50</v>
      </c>
      <c r="CD188">
        <v>0.98717900000000003</v>
      </c>
      <c r="CE188">
        <v>50</v>
      </c>
      <c r="CF188">
        <v>50</v>
      </c>
      <c r="CG188">
        <v>0.93820199999999998</v>
      </c>
      <c r="CH188">
        <v>99.808750000000003</v>
      </c>
      <c r="CI188">
        <v>100</v>
      </c>
      <c r="CJ188">
        <v>0</v>
      </c>
      <c r="CK188">
        <v>0.88461500000000004</v>
      </c>
      <c r="CL188">
        <v>94.108019999999996</v>
      </c>
      <c r="CM188">
        <v>100</v>
      </c>
      <c r="CN188">
        <v>0.78100000000000003</v>
      </c>
      <c r="CO188">
        <v>100</v>
      </c>
      <c r="CP188">
        <v>100</v>
      </c>
      <c r="CQ188">
        <v>0.710758</v>
      </c>
      <c r="CR188">
        <v>0.87096799999999996</v>
      </c>
      <c r="CS188">
        <v>23.691946000000002</v>
      </c>
      <c r="CT188">
        <v>50</v>
      </c>
      <c r="CU188">
        <v>0.53608199999999995</v>
      </c>
      <c r="CV188">
        <v>44.673540000000003</v>
      </c>
      <c r="CW188">
        <v>50</v>
      </c>
      <c r="CX188">
        <v>0.88461500000000004</v>
      </c>
      <c r="CY188">
        <v>0.94</v>
      </c>
      <c r="CZ188">
        <v>5.5384999999999997E-2</v>
      </c>
      <c r="DA188">
        <v>15.389535</v>
      </c>
      <c r="DB188">
        <v>17.608319000000002</v>
      </c>
      <c r="DC188">
        <v>16.064022999999999</v>
      </c>
      <c r="DD188">
        <v>11.115401</v>
      </c>
      <c r="DE188" t="s">
        <v>125</v>
      </c>
      <c r="DJ188" t="s">
        <v>125</v>
      </c>
      <c r="DK188" t="s">
        <v>125</v>
      </c>
      <c r="DL188" t="s">
        <v>125</v>
      </c>
      <c r="DM188" t="s">
        <v>125</v>
      </c>
      <c r="DN188" t="s">
        <v>125</v>
      </c>
      <c r="DO188" t="s">
        <v>125</v>
      </c>
      <c r="DQ188" t="s">
        <v>126</v>
      </c>
    </row>
    <row r="189" spans="1:121" x14ac:dyDescent="0.15">
      <c r="A189">
        <v>2018</v>
      </c>
      <c r="B189" t="s">
        <v>311</v>
      </c>
      <c r="C189" t="str">
        <f>"2780013"</f>
        <v>2780013</v>
      </c>
      <c r="D189" t="s">
        <v>123</v>
      </c>
      <c r="E189" t="str">
        <f t="shared" si="0"/>
        <v>0000000</v>
      </c>
      <c r="F189" t="s">
        <v>123</v>
      </c>
      <c r="G189" t="s">
        <v>123</v>
      </c>
      <c r="H189" t="s">
        <v>123</v>
      </c>
      <c r="J189" t="s">
        <v>124</v>
      </c>
      <c r="K189">
        <v>516.61743100000001</v>
      </c>
      <c r="L189">
        <v>900</v>
      </c>
      <c r="M189">
        <v>57.401936999999997</v>
      </c>
      <c r="N189" t="s">
        <v>125</v>
      </c>
      <c r="O189">
        <v>0</v>
      </c>
      <c r="P189">
        <v>49.265135000000001</v>
      </c>
      <c r="Q189">
        <v>32.843423999999999</v>
      </c>
      <c r="R189">
        <v>50</v>
      </c>
      <c r="S189">
        <v>48.409213999999999</v>
      </c>
      <c r="T189">
        <v>52.346454000000001</v>
      </c>
      <c r="U189">
        <v>32.272809000000002</v>
      </c>
      <c r="V189">
        <v>50</v>
      </c>
      <c r="W189">
        <v>35.727752000000002</v>
      </c>
      <c r="X189">
        <v>23.818501000000001</v>
      </c>
      <c r="Y189">
        <v>50</v>
      </c>
      <c r="Z189">
        <v>37.896659</v>
      </c>
      <c r="AA189">
        <v>35.125278000000002</v>
      </c>
      <c r="AB189">
        <v>23.416851999999999</v>
      </c>
      <c r="AC189">
        <v>50</v>
      </c>
      <c r="AD189">
        <v>43.364398999999999</v>
      </c>
      <c r="AE189">
        <v>28.909599</v>
      </c>
      <c r="AF189">
        <v>50</v>
      </c>
      <c r="AG189">
        <v>43.241379000000002</v>
      </c>
      <c r="AH189" t="s">
        <v>125</v>
      </c>
      <c r="AI189">
        <v>28.827586</v>
      </c>
      <c r="AJ189">
        <v>50</v>
      </c>
      <c r="AK189">
        <v>3.93</v>
      </c>
      <c r="AL189">
        <v>2.77</v>
      </c>
      <c r="AM189" t="s">
        <v>125</v>
      </c>
      <c r="AN189">
        <v>0.537968</v>
      </c>
      <c r="AO189">
        <v>53.796807999999999</v>
      </c>
      <c r="AP189">
        <v>100</v>
      </c>
      <c r="AQ189">
        <v>0.37008200000000002</v>
      </c>
      <c r="AR189">
        <v>37.008159999999997</v>
      </c>
      <c r="AS189">
        <v>100</v>
      </c>
      <c r="AT189">
        <v>0.56554300000000002</v>
      </c>
      <c r="AU189">
        <v>0.446052</v>
      </c>
      <c r="AV189">
        <v>56.554301000000002</v>
      </c>
      <c r="AW189">
        <v>100</v>
      </c>
      <c r="AX189">
        <v>0.415491</v>
      </c>
      <c r="AY189">
        <v>0.218718</v>
      </c>
      <c r="AZ189">
        <v>41.549081000000001</v>
      </c>
      <c r="BA189">
        <v>100</v>
      </c>
      <c r="BB189" t="s">
        <v>125</v>
      </c>
      <c r="BC189" t="s">
        <v>125</v>
      </c>
      <c r="BD189" t="s">
        <v>125</v>
      </c>
      <c r="BE189" t="s">
        <v>125</v>
      </c>
      <c r="BF189" t="s">
        <v>125</v>
      </c>
      <c r="BG189" t="s">
        <v>125</v>
      </c>
      <c r="BH189">
        <v>1</v>
      </c>
      <c r="BI189">
        <v>0.97637799999999997</v>
      </c>
      <c r="BJ189">
        <v>1</v>
      </c>
      <c r="BK189">
        <v>0.89655200000000002</v>
      </c>
      <c r="BL189">
        <v>0.96850400000000003</v>
      </c>
      <c r="BM189">
        <v>0.98979600000000001</v>
      </c>
      <c r="BN189">
        <v>0.89655200000000002</v>
      </c>
      <c r="BO189">
        <v>0.90909099999999998</v>
      </c>
      <c r="BP189">
        <v>0.87878800000000001</v>
      </c>
      <c r="BQ189" t="s">
        <v>125</v>
      </c>
      <c r="BR189">
        <v>3.1746000000000003E-2</v>
      </c>
      <c r="BS189">
        <v>50</v>
      </c>
      <c r="BT189">
        <v>50</v>
      </c>
      <c r="BU189">
        <v>3.2786999999999997E-2</v>
      </c>
      <c r="BV189">
        <v>50</v>
      </c>
      <c r="BW189">
        <v>50</v>
      </c>
      <c r="BX189" t="s">
        <v>125</v>
      </c>
      <c r="BY189" t="s">
        <v>125</v>
      </c>
      <c r="BZ189" t="s">
        <v>125</v>
      </c>
      <c r="CA189" t="s">
        <v>125</v>
      </c>
      <c r="CB189" t="s">
        <v>125</v>
      </c>
      <c r="CC189" t="s">
        <v>125</v>
      </c>
      <c r="CD189">
        <v>0.56521699999999997</v>
      </c>
      <c r="CE189">
        <v>30.064755000000002</v>
      </c>
      <c r="CF189">
        <v>50</v>
      </c>
      <c r="CG189" t="s">
        <v>125</v>
      </c>
      <c r="CH189" t="s">
        <v>125</v>
      </c>
      <c r="CI189" t="s">
        <v>125</v>
      </c>
      <c r="CJ189" t="s">
        <v>125</v>
      </c>
      <c r="CK189" t="s">
        <v>125</v>
      </c>
      <c r="CL189" t="s">
        <v>125</v>
      </c>
      <c r="CM189" t="s">
        <v>125</v>
      </c>
      <c r="CN189" t="s">
        <v>125</v>
      </c>
      <c r="CO189" t="s">
        <v>125</v>
      </c>
      <c r="CP189" t="s">
        <v>125</v>
      </c>
      <c r="CQ189">
        <v>0.41333300000000001</v>
      </c>
      <c r="CR189">
        <v>0.91463399999999995</v>
      </c>
      <c r="CS189">
        <v>27.555555999999999</v>
      </c>
      <c r="CT189">
        <v>50</v>
      </c>
      <c r="CU189" t="s">
        <v>125</v>
      </c>
      <c r="CV189" t="s">
        <v>125</v>
      </c>
      <c r="CW189" t="s">
        <v>125</v>
      </c>
      <c r="CX189" t="s">
        <v>125</v>
      </c>
      <c r="CY189" t="s">
        <v>125</v>
      </c>
      <c r="CZ189" t="s">
        <v>125</v>
      </c>
      <c r="DA189">
        <v>15.389535</v>
      </c>
      <c r="DB189">
        <v>17.608319000000002</v>
      </c>
      <c r="DC189">
        <v>16.064022999999999</v>
      </c>
      <c r="DD189" t="s">
        <v>125</v>
      </c>
      <c r="DE189" t="s">
        <v>125</v>
      </c>
      <c r="DJ189" t="s">
        <v>125</v>
      </c>
      <c r="DK189" t="s">
        <v>125</v>
      </c>
      <c r="DL189" t="s">
        <v>125</v>
      </c>
      <c r="DM189" t="s">
        <v>125</v>
      </c>
      <c r="DN189" t="s">
        <v>125</v>
      </c>
      <c r="DO189" t="s">
        <v>125</v>
      </c>
      <c r="DQ189" t="s">
        <v>126</v>
      </c>
    </row>
    <row r="190" spans="1:121" x14ac:dyDescent="0.15">
      <c r="A190">
        <v>2018</v>
      </c>
      <c r="B190" t="s">
        <v>312</v>
      </c>
      <c r="C190" t="str">
        <f>"2790013"</f>
        <v>2790013</v>
      </c>
      <c r="D190" t="s">
        <v>123</v>
      </c>
      <c r="E190" t="str">
        <f t="shared" si="0"/>
        <v>0000000</v>
      </c>
      <c r="F190" t="s">
        <v>123</v>
      </c>
      <c r="G190" t="s">
        <v>123</v>
      </c>
      <c r="H190" t="s">
        <v>123</v>
      </c>
      <c r="J190" t="s">
        <v>124</v>
      </c>
      <c r="K190">
        <v>1158.9113890000001</v>
      </c>
      <c r="L190">
        <v>1450</v>
      </c>
      <c r="M190">
        <v>79.924923000000007</v>
      </c>
      <c r="N190" t="s">
        <v>125</v>
      </c>
      <c r="O190">
        <v>0</v>
      </c>
      <c r="P190">
        <v>66.904189000000002</v>
      </c>
      <c r="Q190">
        <v>44.602792999999998</v>
      </c>
      <c r="R190">
        <v>50</v>
      </c>
      <c r="S190">
        <v>66.904189000000002</v>
      </c>
      <c r="T190" t="s">
        <v>125</v>
      </c>
      <c r="U190">
        <v>44.602792999999998</v>
      </c>
      <c r="V190">
        <v>50</v>
      </c>
      <c r="W190">
        <v>63.654426000000001</v>
      </c>
      <c r="X190">
        <v>42.436284000000001</v>
      </c>
      <c r="Y190">
        <v>50</v>
      </c>
      <c r="Z190" t="s">
        <v>125</v>
      </c>
      <c r="AA190">
        <v>63.654426000000001</v>
      </c>
      <c r="AB190">
        <v>42.436284000000001</v>
      </c>
      <c r="AC190">
        <v>50</v>
      </c>
      <c r="AD190">
        <v>58.209553</v>
      </c>
      <c r="AE190">
        <v>38.806368999999997</v>
      </c>
      <c r="AF190">
        <v>50</v>
      </c>
      <c r="AG190">
        <v>58.209553</v>
      </c>
      <c r="AH190" t="s">
        <v>125</v>
      </c>
      <c r="AI190">
        <v>38.806368999999997</v>
      </c>
      <c r="AJ190">
        <v>50</v>
      </c>
      <c r="AK190" t="s">
        <v>125</v>
      </c>
      <c r="AL190" t="s">
        <v>125</v>
      </c>
      <c r="AM190" t="s">
        <v>125</v>
      </c>
      <c r="AN190">
        <v>0.63679600000000003</v>
      </c>
      <c r="AO190">
        <v>63.679642999999999</v>
      </c>
      <c r="AP190">
        <v>100</v>
      </c>
      <c r="AQ190">
        <v>0.64774699999999996</v>
      </c>
      <c r="AR190">
        <v>64.774736000000004</v>
      </c>
      <c r="AS190">
        <v>100</v>
      </c>
      <c r="AT190">
        <v>0.63679600000000003</v>
      </c>
      <c r="AU190" t="s">
        <v>125</v>
      </c>
      <c r="AV190">
        <v>63.679642999999999</v>
      </c>
      <c r="AW190">
        <v>100</v>
      </c>
      <c r="AX190">
        <v>0.64774699999999996</v>
      </c>
      <c r="AY190" t="s">
        <v>125</v>
      </c>
      <c r="AZ190">
        <v>64.774736000000004</v>
      </c>
      <c r="BA190">
        <v>100</v>
      </c>
      <c r="BB190">
        <v>0.52819499999999997</v>
      </c>
      <c r="BC190">
        <v>26.409754</v>
      </c>
      <c r="BD190">
        <v>50</v>
      </c>
      <c r="BE190">
        <v>0.62043599999999999</v>
      </c>
      <c r="BF190">
        <v>31.021809000000001</v>
      </c>
      <c r="BG190">
        <v>50</v>
      </c>
      <c r="BH190">
        <v>0</v>
      </c>
      <c r="BI190">
        <v>0.99310299999999996</v>
      </c>
      <c r="BJ190">
        <v>0.99310299999999996</v>
      </c>
      <c r="BK190" t="s">
        <v>125</v>
      </c>
      <c r="BL190">
        <v>0.99137900000000001</v>
      </c>
      <c r="BM190">
        <v>0.99137900000000001</v>
      </c>
      <c r="BN190" t="s">
        <v>125</v>
      </c>
      <c r="BO190">
        <v>0.96943199999999996</v>
      </c>
      <c r="BP190">
        <v>0.96943199999999996</v>
      </c>
      <c r="BQ190" t="s">
        <v>125</v>
      </c>
      <c r="BR190">
        <v>7.1084999999999995E-2</v>
      </c>
      <c r="BS190">
        <v>45.782901000000003</v>
      </c>
      <c r="BT190">
        <v>50</v>
      </c>
      <c r="BU190">
        <v>6.4802999999999999E-2</v>
      </c>
      <c r="BV190">
        <v>47.039389999999997</v>
      </c>
      <c r="BW190">
        <v>50</v>
      </c>
      <c r="BX190">
        <v>1</v>
      </c>
      <c r="BY190">
        <v>50</v>
      </c>
      <c r="BZ190">
        <v>50</v>
      </c>
      <c r="CA190">
        <v>0.524752</v>
      </c>
      <c r="CB190">
        <v>34.983497999999997</v>
      </c>
      <c r="CC190">
        <v>50</v>
      </c>
      <c r="CD190">
        <v>0.944828</v>
      </c>
      <c r="CE190">
        <v>50</v>
      </c>
      <c r="CF190">
        <v>50</v>
      </c>
      <c r="CG190">
        <v>0.95454499999999998</v>
      </c>
      <c r="CH190">
        <v>100</v>
      </c>
      <c r="CI190">
        <v>100</v>
      </c>
      <c r="CJ190">
        <v>0</v>
      </c>
      <c r="CK190">
        <v>0.96428599999999998</v>
      </c>
      <c r="CL190">
        <v>100</v>
      </c>
      <c r="CM190">
        <v>100</v>
      </c>
      <c r="CN190">
        <v>0.91100000000000003</v>
      </c>
      <c r="CO190">
        <v>100</v>
      </c>
      <c r="CP190">
        <v>100</v>
      </c>
      <c r="CQ190">
        <v>0.27652700000000002</v>
      </c>
      <c r="CR190">
        <v>0.94528900000000005</v>
      </c>
      <c r="CS190">
        <v>18.435155000000002</v>
      </c>
      <c r="CT190">
        <v>50</v>
      </c>
      <c r="CU190">
        <v>0.55967100000000003</v>
      </c>
      <c r="CV190">
        <v>46.639232</v>
      </c>
      <c r="CW190">
        <v>50</v>
      </c>
      <c r="CX190">
        <v>0.96428599999999998</v>
      </c>
      <c r="CY190" t="s">
        <v>125</v>
      </c>
      <c r="CZ190" t="s">
        <v>125</v>
      </c>
      <c r="DA190">
        <v>15.389535</v>
      </c>
      <c r="DB190">
        <v>17.608319000000002</v>
      </c>
      <c r="DC190">
        <v>16.064022999999999</v>
      </c>
      <c r="DD190">
        <v>11.115401</v>
      </c>
      <c r="DE190" t="s">
        <v>125</v>
      </c>
      <c r="DJ190" t="s">
        <v>125</v>
      </c>
      <c r="DK190" t="s">
        <v>125</v>
      </c>
      <c r="DL190" t="s">
        <v>125</v>
      </c>
      <c r="DM190" t="s">
        <v>125</v>
      </c>
      <c r="DN190" t="s">
        <v>125</v>
      </c>
      <c r="DO190" t="s">
        <v>125</v>
      </c>
      <c r="DQ190" t="s">
        <v>126</v>
      </c>
    </row>
    <row r="191" spans="1:121" x14ac:dyDescent="0.15">
      <c r="A191">
        <v>2018</v>
      </c>
      <c r="B191" t="s">
        <v>313</v>
      </c>
      <c r="C191" t="str">
        <f>"2800013"</f>
        <v>2800013</v>
      </c>
      <c r="D191" t="s">
        <v>123</v>
      </c>
      <c r="E191" t="str">
        <f t="shared" si="0"/>
        <v>0000000</v>
      </c>
      <c r="F191" t="s">
        <v>123</v>
      </c>
      <c r="G191" t="s">
        <v>123</v>
      </c>
      <c r="H191" t="s">
        <v>123</v>
      </c>
      <c r="J191" t="s">
        <v>124</v>
      </c>
      <c r="K191">
        <v>604.93026799999996</v>
      </c>
      <c r="L191">
        <v>900</v>
      </c>
      <c r="M191">
        <v>67.214473999999996</v>
      </c>
      <c r="N191" t="s">
        <v>125</v>
      </c>
      <c r="O191">
        <v>0</v>
      </c>
      <c r="P191">
        <v>59.334319999999998</v>
      </c>
      <c r="Q191">
        <v>39.556213</v>
      </c>
      <c r="R191">
        <v>50</v>
      </c>
      <c r="S191">
        <v>58.805492000000001</v>
      </c>
      <c r="T191">
        <v>63.640495000000001</v>
      </c>
      <c r="U191">
        <v>39.203660999999997</v>
      </c>
      <c r="V191">
        <v>50</v>
      </c>
      <c r="W191">
        <v>51.125101999999998</v>
      </c>
      <c r="X191">
        <v>34.083401000000002</v>
      </c>
      <c r="Y191">
        <v>50</v>
      </c>
      <c r="Z191">
        <v>55.469557000000002</v>
      </c>
      <c r="AA191">
        <v>50.591571999999999</v>
      </c>
      <c r="AB191">
        <v>33.727715000000003</v>
      </c>
      <c r="AC191">
        <v>50</v>
      </c>
      <c r="AD191">
        <v>55.260351</v>
      </c>
      <c r="AE191">
        <v>36.840234000000002</v>
      </c>
      <c r="AF191">
        <v>50</v>
      </c>
      <c r="AG191">
        <v>54.319876999999998</v>
      </c>
      <c r="AH191" t="s">
        <v>125</v>
      </c>
      <c r="AI191">
        <v>36.213251</v>
      </c>
      <c r="AJ191">
        <v>50</v>
      </c>
      <c r="AK191">
        <v>4.83</v>
      </c>
      <c r="AL191">
        <v>4.87</v>
      </c>
      <c r="AM191" t="s">
        <v>125</v>
      </c>
      <c r="AN191">
        <v>0.62781299999999995</v>
      </c>
      <c r="AO191">
        <v>62.781300000000002</v>
      </c>
      <c r="AP191">
        <v>100</v>
      </c>
      <c r="AQ191">
        <v>0.72543500000000005</v>
      </c>
      <c r="AR191">
        <v>72.543451000000005</v>
      </c>
      <c r="AS191">
        <v>100</v>
      </c>
      <c r="AT191">
        <v>0.622556</v>
      </c>
      <c r="AU191" t="s">
        <v>125</v>
      </c>
      <c r="AV191">
        <v>62.255588000000003</v>
      </c>
      <c r="AW191">
        <v>100</v>
      </c>
      <c r="AX191">
        <v>0.72268100000000002</v>
      </c>
      <c r="AY191" t="s">
        <v>125</v>
      </c>
      <c r="AZ191">
        <v>72.268130999999997</v>
      </c>
      <c r="BA191">
        <v>100</v>
      </c>
      <c r="BB191" t="s">
        <v>125</v>
      </c>
      <c r="BC191" t="s">
        <v>125</v>
      </c>
      <c r="BD191" t="s">
        <v>125</v>
      </c>
      <c r="BE191" t="s">
        <v>125</v>
      </c>
      <c r="BF191" t="s">
        <v>125</v>
      </c>
      <c r="BG191" t="s">
        <v>125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 t="s">
        <v>125</v>
      </c>
      <c r="BR191">
        <v>0.12230199999999999</v>
      </c>
      <c r="BS191">
        <v>35.539568000000003</v>
      </c>
      <c r="BT191">
        <v>50</v>
      </c>
      <c r="BU191">
        <v>0.13445399999999999</v>
      </c>
      <c r="BV191">
        <v>33.109243999999997</v>
      </c>
      <c r="BW191">
        <v>50</v>
      </c>
      <c r="BX191" t="s">
        <v>125</v>
      </c>
      <c r="BY191" t="s">
        <v>125</v>
      </c>
      <c r="BZ191" t="s">
        <v>125</v>
      </c>
      <c r="CA191" t="s">
        <v>125</v>
      </c>
      <c r="CB191" t="s">
        <v>125</v>
      </c>
      <c r="CC191" t="s">
        <v>125</v>
      </c>
      <c r="CD191">
        <v>0.88</v>
      </c>
      <c r="CE191">
        <v>46.808511000000003</v>
      </c>
      <c r="CF191">
        <v>50</v>
      </c>
      <c r="CG191" t="s">
        <v>125</v>
      </c>
      <c r="CH191" t="s">
        <v>125</v>
      </c>
      <c r="CI191" t="s">
        <v>125</v>
      </c>
      <c r="CJ191" t="s">
        <v>125</v>
      </c>
      <c r="CK191" t="s">
        <v>125</v>
      </c>
      <c r="CL191" t="s">
        <v>125</v>
      </c>
      <c r="CM191" t="s">
        <v>125</v>
      </c>
      <c r="CN191" t="s">
        <v>125</v>
      </c>
      <c r="CO191" t="s">
        <v>125</v>
      </c>
      <c r="CP191" t="s">
        <v>125</v>
      </c>
      <c r="CQ191" t="s">
        <v>125</v>
      </c>
      <c r="CR191">
        <v>0</v>
      </c>
      <c r="CS191">
        <v>0</v>
      </c>
      <c r="CT191">
        <v>50</v>
      </c>
      <c r="CU191" t="s">
        <v>125</v>
      </c>
      <c r="CV191" t="s">
        <v>125</v>
      </c>
      <c r="CW191" t="s">
        <v>125</v>
      </c>
      <c r="CX191" t="s">
        <v>125</v>
      </c>
      <c r="CY191" t="s">
        <v>125</v>
      </c>
      <c r="CZ191" t="s">
        <v>125</v>
      </c>
      <c r="DA191">
        <v>15.389535</v>
      </c>
      <c r="DB191">
        <v>17.608319000000002</v>
      </c>
      <c r="DC191">
        <v>16.064022999999999</v>
      </c>
      <c r="DD191" t="s">
        <v>125</v>
      </c>
      <c r="DE191" t="s">
        <v>125</v>
      </c>
      <c r="DJ191" t="s">
        <v>125</v>
      </c>
      <c r="DK191" t="s">
        <v>125</v>
      </c>
      <c r="DL191" t="s">
        <v>125</v>
      </c>
      <c r="DM191" t="s">
        <v>125</v>
      </c>
      <c r="DN191" t="s">
        <v>125</v>
      </c>
      <c r="DO191" t="s">
        <v>125</v>
      </c>
      <c r="DQ191" t="s">
        <v>126</v>
      </c>
    </row>
    <row r="192" spans="1:121" x14ac:dyDescent="0.15">
      <c r="A192">
        <v>2018</v>
      </c>
      <c r="B192" t="s">
        <v>314</v>
      </c>
      <c r="C192" t="str">
        <f>"2820013"</f>
        <v>2820013</v>
      </c>
      <c r="D192" t="s">
        <v>123</v>
      </c>
      <c r="E192" t="str">
        <f t="shared" si="0"/>
        <v>0000000</v>
      </c>
      <c r="F192" t="s">
        <v>123</v>
      </c>
      <c r="G192" t="s">
        <v>123</v>
      </c>
      <c r="H192" t="s">
        <v>123</v>
      </c>
      <c r="J192" t="s">
        <v>124</v>
      </c>
      <c r="K192">
        <v>435.348927</v>
      </c>
      <c r="L192">
        <v>1250</v>
      </c>
      <c r="M192">
        <v>34.827914</v>
      </c>
      <c r="N192" t="s">
        <v>125</v>
      </c>
      <c r="O192">
        <v>0</v>
      </c>
      <c r="P192">
        <v>33.637681000000001</v>
      </c>
      <c r="Q192">
        <v>67.275362000000001</v>
      </c>
      <c r="R192">
        <v>150</v>
      </c>
      <c r="S192">
        <v>33.637681000000001</v>
      </c>
      <c r="T192" t="s">
        <v>125</v>
      </c>
      <c r="U192">
        <v>67.275362000000001</v>
      </c>
      <c r="V192">
        <v>150</v>
      </c>
      <c r="W192">
        <v>29.173912999999999</v>
      </c>
      <c r="X192">
        <v>58.347825999999998</v>
      </c>
      <c r="Y192">
        <v>150</v>
      </c>
      <c r="Z192" t="s">
        <v>125</v>
      </c>
      <c r="AA192">
        <v>29.173912999999999</v>
      </c>
      <c r="AB192">
        <v>58.347825999999998</v>
      </c>
      <c r="AC192">
        <v>150</v>
      </c>
      <c r="AD192" t="s">
        <v>125</v>
      </c>
      <c r="AE192" t="s">
        <v>125</v>
      </c>
      <c r="AF192" t="s">
        <v>125</v>
      </c>
      <c r="AG192" t="s">
        <v>125</v>
      </c>
      <c r="AH192" t="s">
        <v>125</v>
      </c>
      <c r="AI192" t="s">
        <v>125</v>
      </c>
      <c r="AJ192" t="s">
        <v>125</v>
      </c>
      <c r="AK192" t="s">
        <v>125</v>
      </c>
      <c r="AL192" t="s">
        <v>125</v>
      </c>
      <c r="AM192" t="s">
        <v>125</v>
      </c>
      <c r="AN192" t="s">
        <v>125</v>
      </c>
      <c r="AO192" t="s">
        <v>125</v>
      </c>
      <c r="AP192" t="s">
        <v>125</v>
      </c>
      <c r="AQ192" t="s">
        <v>125</v>
      </c>
      <c r="AR192" t="s">
        <v>125</v>
      </c>
      <c r="AS192" t="s">
        <v>125</v>
      </c>
      <c r="AT192" t="s">
        <v>125</v>
      </c>
      <c r="AU192" t="s">
        <v>125</v>
      </c>
      <c r="AV192" t="s">
        <v>125</v>
      </c>
      <c r="AW192" t="s">
        <v>125</v>
      </c>
      <c r="AX192" t="s">
        <v>125</v>
      </c>
      <c r="AY192" t="s">
        <v>125</v>
      </c>
      <c r="AZ192" t="s">
        <v>125</v>
      </c>
      <c r="BA192" t="s">
        <v>125</v>
      </c>
      <c r="BB192" t="s">
        <v>125</v>
      </c>
      <c r="BC192" t="s">
        <v>125</v>
      </c>
      <c r="BD192" t="s">
        <v>125</v>
      </c>
      <c r="BE192" t="s">
        <v>125</v>
      </c>
      <c r="BF192" t="s">
        <v>125</v>
      </c>
      <c r="BG192" t="s">
        <v>125</v>
      </c>
      <c r="BH192">
        <v>1</v>
      </c>
      <c r="BI192">
        <v>0.763158</v>
      </c>
      <c r="BJ192">
        <v>0.763158</v>
      </c>
      <c r="BK192" t="s">
        <v>125</v>
      </c>
      <c r="BL192">
        <v>0.763158</v>
      </c>
      <c r="BM192">
        <v>0.763158</v>
      </c>
      <c r="BN192" t="s">
        <v>125</v>
      </c>
      <c r="BO192">
        <v>0.62162200000000001</v>
      </c>
      <c r="BP192">
        <v>0.62162200000000001</v>
      </c>
      <c r="BQ192" t="s">
        <v>125</v>
      </c>
      <c r="BR192">
        <v>0.73333300000000001</v>
      </c>
      <c r="BS192">
        <v>0</v>
      </c>
      <c r="BT192">
        <v>50</v>
      </c>
      <c r="BU192">
        <v>0.72580599999999995</v>
      </c>
      <c r="BV192">
        <v>0</v>
      </c>
      <c r="BW192">
        <v>50</v>
      </c>
      <c r="BX192">
        <v>0</v>
      </c>
      <c r="BY192">
        <v>0</v>
      </c>
      <c r="BZ192">
        <v>50</v>
      </c>
      <c r="CA192" t="s">
        <v>125</v>
      </c>
      <c r="CB192" t="s">
        <v>125</v>
      </c>
      <c r="CC192">
        <v>50</v>
      </c>
      <c r="CD192">
        <v>0.17499999999999999</v>
      </c>
      <c r="CE192">
        <v>9.3085109999999993</v>
      </c>
      <c r="CF192">
        <v>50</v>
      </c>
      <c r="CG192">
        <v>0.45454499999999998</v>
      </c>
      <c r="CH192">
        <v>48.355899000000001</v>
      </c>
      <c r="CI192">
        <v>100</v>
      </c>
      <c r="CJ192">
        <v>0</v>
      </c>
      <c r="CK192">
        <v>0.44</v>
      </c>
      <c r="CL192">
        <v>46.808511000000003</v>
      </c>
      <c r="CM192">
        <v>100</v>
      </c>
      <c r="CN192">
        <v>0.16700000000000001</v>
      </c>
      <c r="CO192">
        <v>22.222221999999999</v>
      </c>
      <c r="CP192">
        <v>100</v>
      </c>
      <c r="CQ192">
        <v>0.111111</v>
      </c>
      <c r="CR192">
        <v>1.5</v>
      </c>
      <c r="CS192">
        <v>7.4074070000000001</v>
      </c>
      <c r="CT192">
        <v>50</v>
      </c>
      <c r="CU192">
        <v>0.73333300000000001</v>
      </c>
      <c r="CV192">
        <v>50</v>
      </c>
      <c r="CW192">
        <v>50</v>
      </c>
      <c r="CX192">
        <v>0.44</v>
      </c>
      <c r="CY192" t="s">
        <v>125</v>
      </c>
      <c r="CZ192" t="s">
        <v>125</v>
      </c>
      <c r="DA192">
        <v>15.389535</v>
      </c>
      <c r="DB192">
        <v>17.608319000000002</v>
      </c>
      <c r="DC192">
        <v>16.064022999999999</v>
      </c>
      <c r="DD192">
        <v>11.115401</v>
      </c>
      <c r="DE192" t="s">
        <v>125</v>
      </c>
      <c r="DJ192" t="s">
        <v>125</v>
      </c>
      <c r="DK192" t="s">
        <v>125</v>
      </c>
      <c r="DL192" t="s">
        <v>125</v>
      </c>
      <c r="DM192" t="s">
        <v>125</v>
      </c>
      <c r="DN192" t="s">
        <v>125</v>
      </c>
      <c r="DO192" t="s">
        <v>125</v>
      </c>
      <c r="DQ192" t="s">
        <v>126</v>
      </c>
    </row>
    <row r="193" spans="1:121" x14ac:dyDescent="0.15">
      <c r="A193">
        <v>2018</v>
      </c>
      <c r="B193" t="s">
        <v>315</v>
      </c>
      <c r="C193" t="str">
        <f>"2830013"</f>
        <v>2830013</v>
      </c>
      <c r="D193" t="s">
        <v>123</v>
      </c>
      <c r="E193" t="str">
        <f t="shared" si="0"/>
        <v>0000000</v>
      </c>
      <c r="F193" t="s">
        <v>123</v>
      </c>
      <c r="G193" t="s">
        <v>123</v>
      </c>
      <c r="H193" t="s">
        <v>123</v>
      </c>
      <c r="J193" t="s">
        <v>124</v>
      </c>
      <c r="K193">
        <v>770.79726500000004</v>
      </c>
      <c r="L193">
        <v>1000</v>
      </c>
      <c r="M193">
        <v>77.079727000000005</v>
      </c>
      <c r="N193" t="s">
        <v>125</v>
      </c>
      <c r="O193">
        <v>0</v>
      </c>
      <c r="P193">
        <v>65.141030000000001</v>
      </c>
      <c r="Q193">
        <v>43.427354000000001</v>
      </c>
      <c r="R193">
        <v>50</v>
      </c>
      <c r="S193">
        <v>63.915284999999997</v>
      </c>
      <c r="T193">
        <v>72.670608000000001</v>
      </c>
      <c r="U193">
        <v>42.610190000000003</v>
      </c>
      <c r="V193">
        <v>50</v>
      </c>
      <c r="W193">
        <v>58.415045999999997</v>
      </c>
      <c r="X193">
        <v>38.943364000000003</v>
      </c>
      <c r="Y193">
        <v>50</v>
      </c>
      <c r="Z193">
        <v>64.457650000000001</v>
      </c>
      <c r="AA193">
        <v>57.414749999999998</v>
      </c>
      <c r="AB193">
        <v>38.276499999999999</v>
      </c>
      <c r="AC193">
        <v>50</v>
      </c>
      <c r="AD193">
        <v>63.744953000000002</v>
      </c>
      <c r="AE193">
        <v>42.496634999999998</v>
      </c>
      <c r="AF193">
        <v>50</v>
      </c>
      <c r="AG193">
        <v>63.20147</v>
      </c>
      <c r="AH193">
        <v>66.838623999999996</v>
      </c>
      <c r="AI193">
        <v>42.134312999999999</v>
      </c>
      <c r="AJ193">
        <v>50</v>
      </c>
      <c r="AK193">
        <v>8.75</v>
      </c>
      <c r="AL193">
        <v>7.04</v>
      </c>
      <c r="AM193">
        <v>3.63</v>
      </c>
      <c r="AN193">
        <v>0.75438099999999997</v>
      </c>
      <c r="AO193">
        <v>75.438101000000003</v>
      </c>
      <c r="AP193">
        <v>100</v>
      </c>
      <c r="AQ193">
        <v>0.81030899999999995</v>
      </c>
      <c r="AR193">
        <v>81.030890999999997</v>
      </c>
      <c r="AS193">
        <v>100</v>
      </c>
      <c r="AT193">
        <v>0.75942500000000002</v>
      </c>
      <c r="AU193">
        <v>0.72306400000000004</v>
      </c>
      <c r="AV193">
        <v>75.942536000000004</v>
      </c>
      <c r="AW193">
        <v>100</v>
      </c>
      <c r="AX193">
        <v>0.78960600000000003</v>
      </c>
      <c r="AY193">
        <v>0.93668200000000001</v>
      </c>
      <c r="AZ193">
        <v>78.960622000000001</v>
      </c>
      <c r="BA193">
        <v>100</v>
      </c>
      <c r="BB193">
        <v>0.56246700000000005</v>
      </c>
      <c r="BC193">
        <v>28.123346000000002</v>
      </c>
      <c r="BD193">
        <v>50</v>
      </c>
      <c r="BE193">
        <v>0.69819799999999999</v>
      </c>
      <c r="BF193">
        <v>34.90992</v>
      </c>
      <c r="BG193">
        <v>50</v>
      </c>
      <c r="BH193">
        <v>0</v>
      </c>
      <c r="BI193">
        <v>1</v>
      </c>
      <c r="BJ193">
        <v>1</v>
      </c>
      <c r="BK193">
        <v>1</v>
      </c>
      <c r="BL193">
        <v>0.98853899999999995</v>
      </c>
      <c r="BM193">
        <v>0.98666699999999996</v>
      </c>
      <c r="BN193">
        <v>1</v>
      </c>
      <c r="BO193">
        <v>1</v>
      </c>
      <c r="BP193">
        <v>1</v>
      </c>
      <c r="BQ193">
        <v>1</v>
      </c>
      <c r="BR193">
        <v>3.7248999999999997E-2</v>
      </c>
      <c r="BS193">
        <v>50</v>
      </c>
      <c r="BT193">
        <v>50</v>
      </c>
      <c r="BU193">
        <v>0.04</v>
      </c>
      <c r="BV193">
        <v>50</v>
      </c>
      <c r="BW193">
        <v>50</v>
      </c>
      <c r="BX193" t="s">
        <v>125</v>
      </c>
      <c r="BY193" t="s">
        <v>125</v>
      </c>
      <c r="BZ193" t="s">
        <v>125</v>
      </c>
      <c r="CA193" t="s">
        <v>125</v>
      </c>
      <c r="CB193" t="s">
        <v>125</v>
      </c>
      <c r="CC193" t="s">
        <v>125</v>
      </c>
      <c r="CD193">
        <v>0.836364</v>
      </c>
      <c r="CE193">
        <v>44.487426999999997</v>
      </c>
      <c r="CF193">
        <v>50</v>
      </c>
      <c r="CG193" t="s">
        <v>125</v>
      </c>
      <c r="CH193" t="s">
        <v>125</v>
      </c>
      <c r="CI193" t="s">
        <v>125</v>
      </c>
      <c r="CJ193" t="s">
        <v>125</v>
      </c>
      <c r="CK193" t="s">
        <v>125</v>
      </c>
      <c r="CL193" t="s">
        <v>125</v>
      </c>
      <c r="CM193" t="s">
        <v>125</v>
      </c>
      <c r="CN193" t="s">
        <v>125</v>
      </c>
      <c r="CO193" t="s">
        <v>125</v>
      </c>
      <c r="CP193" t="s">
        <v>125</v>
      </c>
      <c r="CQ193">
        <v>6.0241000000000003E-2</v>
      </c>
      <c r="CR193">
        <v>1</v>
      </c>
      <c r="CS193">
        <v>4.0160640000000001</v>
      </c>
      <c r="CT193">
        <v>50</v>
      </c>
      <c r="CU193" t="s">
        <v>125</v>
      </c>
      <c r="CV193" t="s">
        <v>125</v>
      </c>
      <c r="CW193" t="s">
        <v>125</v>
      </c>
      <c r="CX193" t="s">
        <v>125</v>
      </c>
      <c r="CY193" t="s">
        <v>125</v>
      </c>
      <c r="CZ193" t="s">
        <v>125</v>
      </c>
      <c r="DA193">
        <v>15.389535</v>
      </c>
      <c r="DB193">
        <v>17.608319000000002</v>
      </c>
      <c r="DC193">
        <v>16.064022999999999</v>
      </c>
      <c r="DD193" t="s">
        <v>125</v>
      </c>
      <c r="DE193" t="s">
        <v>125</v>
      </c>
      <c r="DJ193" t="s">
        <v>125</v>
      </c>
      <c r="DK193" t="s">
        <v>125</v>
      </c>
      <c r="DL193" t="s">
        <v>125</v>
      </c>
      <c r="DM193" t="s">
        <v>125</v>
      </c>
      <c r="DN193" t="s">
        <v>125</v>
      </c>
      <c r="DO193" t="s">
        <v>125</v>
      </c>
      <c r="DQ193" t="s">
        <v>126</v>
      </c>
    </row>
    <row r="194" spans="1:121" x14ac:dyDescent="0.15">
      <c r="A194">
        <v>2018</v>
      </c>
      <c r="B194" t="s">
        <v>316</v>
      </c>
      <c r="C194" t="str">
        <f>"2850013"</f>
        <v>2850013</v>
      </c>
      <c r="D194" t="s">
        <v>123</v>
      </c>
      <c r="E194" t="str">
        <f t="shared" si="0"/>
        <v>0000000</v>
      </c>
      <c r="F194" t="s">
        <v>123</v>
      </c>
      <c r="G194" t="s">
        <v>123</v>
      </c>
      <c r="H194" t="s">
        <v>123</v>
      </c>
      <c r="J194" t="s">
        <v>124</v>
      </c>
      <c r="K194">
        <v>1172.4080509999999</v>
      </c>
      <c r="L194">
        <v>1450</v>
      </c>
      <c r="M194">
        <v>80.855727999999999</v>
      </c>
      <c r="N194" t="s">
        <v>125</v>
      </c>
      <c r="O194">
        <v>0</v>
      </c>
      <c r="P194">
        <v>72.170604999999995</v>
      </c>
      <c r="Q194">
        <v>48.113736000000003</v>
      </c>
      <c r="R194">
        <v>50</v>
      </c>
      <c r="S194">
        <v>72.264791000000002</v>
      </c>
      <c r="T194" t="s">
        <v>125</v>
      </c>
      <c r="U194">
        <v>48.176527</v>
      </c>
      <c r="V194">
        <v>50</v>
      </c>
      <c r="W194">
        <v>66.127139999999997</v>
      </c>
      <c r="X194">
        <v>44.084760000000003</v>
      </c>
      <c r="Y194">
        <v>50</v>
      </c>
      <c r="Z194" t="s">
        <v>125</v>
      </c>
      <c r="AA194">
        <v>66.207729999999998</v>
      </c>
      <c r="AB194">
        <v>44.138486999999998</v>
      </c>
      <c r="AC194">
        <v>50</v>
      </c>
      <c r="AD194">
        <v>64.022942999999998</v>
      </c>
      <c r="AE194">
        <v>42.681961999999999</v>
      </c>
      <c r="AF194">
        <v>50</v>
      </c>
      <c r="AG194">
        <v>64.037760000000006</v>
      </c>
      <c r="AH194" t="s">
        <v>125</v>
      </c>
      <c r="AI194">
        <v>42.691839999999999</v>
      </c>
      <c r="AJ194">
        <v>50</v>
      </c>
      <c r="AK194" t="s">
        <v>125</v>
      </c>
      <c r="AL194" t="s">
        <v>125</v>
      </c>
      <c r="AM194" t="s">
        <v>125</v>
      </c>
      <c r="AN194">
        <v>0.70649700000000004</v>
      </c>
      <c r="AO194">
        <v>70.649707000000006</v>
      </c>
      <c r="AP194">
        <v>100</v>
      </c>
      <c r="AQ194">
        <v>0.61767099999999997</v>
      </c>
      <c r="AR194">
        <v>61.767100999999997</v>
      </c>
      <c r="AS194">
        <v>100</v>
      </c>
      <c r="AT194">
        <v>0.70445599999999997</v>
      </c>
      <c r="AU194" t="s">
        <v>125</v>
      </c>
      <c r="AV194">
        <v>70.445586000000006</v>
      </c>
      <c r="AW194">
        <v>100</v>
      </c>
      <c r="AX194">
        <v>0.61461699999999997</v>
      </c>
      <c r="AY194" t="s">
        <v>125</v>
      </c>
      <c r="AZ194">
        <v>61.461682000000003</v>
      </c>
      <c r="BA194">
        <v>100</v>
      </c>
      <c r="BB194">
        <v>0.56917499999999999</v>
      </c>
      <c r="BC194">
        <v>28.458735999999998</v>
      </c>
      <c r="BD194">
        <v>50</v>
      </c>
      <c r="BE194">
        <v>0.49007899999999999</v>
      </c>
      <c r="BF194">
        <v>24.503962999999999</v>
      </c>
      <c r="BG194">
        <v>50</v>
      </c>
      <c r="BH194">
        <v>0</v>
      </c>
      <c r="BI194">
        <v>0.993344</v>
      </c>
      <c r="BJ194">
        <v>0.99328899999999998</v>
      </c>
      <c r="BK194" t="s">
        <v>125</v>
      </c>
      <c r="BL194">
        <v>0.99333300000000002</v>
      </c>
      <c r="BM194">
        <v>0.99327699999999997</v>
      </c>
      <c r="BN194" t="s">
        <v>125</v>
      </c>
      <c r="BO194">
        <v>0.96982800000000002</v>
      </c>
      <c r="BP194">
        <v>0.96956500000000001</v>
      </c>
      <c r="BQ194" t="s">
        <v>125</v>
      </c>
      <c r="BR194">
        <v>5.7438999999999997E-2</v>
      </c>
      <c r="BS194">
        <v>48.512241000000003</v>
      </c>
      <c r="BT194">
        <v>50</v>
      </c>
      <c r="BU194">
        <v>6.1303000000000003E-2</v>
      </c>
      <c r="BV194">
        <v>47.739463999999998</v>
      </c>
      <c r="BW194">
        <v>50</v>
      </c>
      <c r="BX194">
        <v>1</v>
      </c>
      <c r="BY194">
        <v>50</v>
      </c>
      <c r="BZ194">
        <v>50</v>
      </c>
      <c r="CA194">
        <v>0.51578900000000005</v>
      </c>
      <c r="CB194">
        <v>34.385964999999999</v>
      </c>
      <c r="CC194">
        <v>50</v>
      </c>
      <c r="CD194">
        <v>0.88050300000000004</v>
      </c>
      <c r="CE194">
        <v>46.835273999999998</v>
      </c>
      <c r="CF194">
        <v>50</v>
      </c>
      <c r="CG194">
        <v>0.73333300000000001</v>
      </c>
      <c r="CH194">
        <v>78.014184</v>
      </c>
      <c r="CI194">
        <v>100</v>
      </c>
      <c r="CJ194">
        <v>0</v>
      </c>
      <c r="CK194">
        <v>0.96428599999999998</v>
      </c>
      <c r="CL194">
        <v>100</v>
      </c>
      <c r="CM194">
        <v>100</v>
      </c>
      <c r="CN194">
        <v>0.89300000000000002</v>
      </c>
      <c r="CO194">
        <v>100</v>
      </c>
      <c r="CP194">
        <v>100</v>
      </c>
      <c r="CQ194">
        <v>0.5</v>
      </c>
      <c r="CR194">
        <v>1.1858409999999999</v>
      </c>
      <c r="CS194">
        <v>33.333333000000003</v>
      </c>
      <c r="CT194">
        <v>50</v>
      </c>
      <c r="CU194">
        <v>0.55696199999999996</v>
      </c>
      <c r="CV194">
        <v>46.413502000000001</v>
      </c>
      <c r="CW194">
        <v>50</v>
      </c>
      <c r="CX194">
        <v>0.96428599999999998</v>
      </c>
      <c r="CY194" t="s">
        <v>125</v>
      </c>
      <c r="CZ194" t="s">
        <v>125</v>
      </c>
      <c r="DA194">
        <v>15.389535</v>
      </c>
      <c r="DB194">
        <v>17.608319000000002</v>
      </c>
      <c r="DC194">
        <v>16.064022999999999</v>
      </c>
      <c r="DD194">
        <v>11.115401</v>
      </c>
      <c r="DE194" t="s">
        <v>125</v>
      </c>
      <c r="DJ194" t="s">
        <v>125</v>
      </c>
      <c r="DK194" t="s">
        <v>125</v>
      </c>
      <c r="DL194" t="s">
        <v>125</v>
      </c>
      <c r="DM194" t="s">
        <v>125</v>
      </c>
      <c r="DN194" t="s">
        <v>125</v>
      </c>
      <c r="DO194" t="s">
        <v>125</v>
      </c>
      <c r="DQ194" t="s">
        <v>126</v>
      </c>
    </row>
    <row r="195" spans="1:121" x14ac:dyDescent="0.15">
      <c r="A195">
        <v>2018</v>
      </c>
      <c r="B195" t="s">
        <v>317</v>
      </c>
      <c r="C195" t="str">
        <f>"2860013"</f>
        <v>2860013</v>
      </c>
      <c r="D195" t="s">
        <v>123</v>
      </c>
      <c r="E195" t="str">
        <f t="shared" si="0"/>
        <v>0000000</v>
      </c>
      <c r="F195" t="s">
        <v>123</v>
      </c>
      <c r="G195" t="s">
        <v>123</v>
      </c>
      <c r="H195" t="s">
        <v>123</v>
      </c>
      <c r="J195" t="s">
        <v>124</v>
      </c>
      <c r="K195">
        <v>908.82007599999997</v>
      </c>
      <c r="L195">
        <v>1250</v>
      </c>
      <c r="M195">
        <v>72.705606000000003</v>
      </c>
      <c r="N195" t="s">
        <v>125</v>
      </c>
      <c r="O195">
        <v>0</v>
      </c>
      <c r="P195">
        <v>59.033707999999997</v>
      </c>
      <c r="Q195">
        <v>39.355804999999997</v>
      </c>
      <c r="R195">
        <v>50</v>
      </c>
      <c r="S195">
        <v>57.495038000000001</v>
      </c>
      <c r="T195">
        <v>65.225021999999996</v>
      </c>
      <c r="U195">
        <v>38.330024999999999</v>
      </c>
      <c r="V195">
        <v>50</v>
      </c>
      <c r="W195">
        <v>50.367431000000003</v>
      </c>
      <c r="X195">
        <v>33.578287000000003</v>
      </c>
      <c r="Y195">
        <v>50</v>
      </c>
      <c r="Z195">
        <v>56.426958999999997</v>
      </c>
      <c r="AA195">
        <v>48.861511999999998</v>
      </c>
      <c r="AB195">
        <v>32.574342000000001</v>
      </c>
      <c r="AC195">
        <v>50</v>
      </c>
      <c r="AD195">
        <v>52.623086000000001</v>
      </c>
      <c r="AE195">
        <v>35.082056999999999</v>
      </c>
      <c r="AF195">
        <v>50</v>
      </c>
      <c r="AG195">
        <v>51.524884999999998</v>
      </c>
      <c r="AH195" t="s">
        <v>125</v>
      </c>
      <c r="AI195">
        <v>34.349922999999997</v>
      </c>
      <c r="AJ195">
        <v>50</v>
      </c>
      <c r="AK195">
        <v>7.72</v>
      </c>
      <c r="AL195">
        <v>7.56</v>
      </c>
      <c r="AM195" t="s">
        <v>125</v>
      </c>
      <c r="AN195">
        <v>0.55426299999999995</v>
      </c>
      <c r="AO195">
        <v>55.426260999999997</v>
      </c>
      <c r="AP195">
        <v>100</v>
      </c>
      <c r="AQ195">
        <v>0.55017000000000005</v>
      </c>
      <c r="AR195">
        <v>55.016997000000003</v>
      </c>
      <c r="AS195">
        <v>100</v>
      </c>
      <c r="AT195">
        <v>0.56563200000000002</v>
      </c>
      <c r="AU195">
        <v>0.50988599999999995</v>
      </c>
      <c r="AV195">
        <v>56.563187999999997</v>
      </c>
      <c r="AW195">
        <v>100</v>
      </c>
      <c r="AX195">
        <v>0.55130599999999996</v>
      </c>
      <c r="AY195">
        <v>0.54573499999999997</v>
      </c>
      <c r="AZ195">
        <v>55.130628999999999</v>
      </c>
      <c r="BA195">
        <v>100</v>
      </c>
      <c r="BB195" t="s">
        <v>125</v>
      </c>
      <c r="BC195" t="s">
        <v>125</v>
      </c>
      <c r="BD195" t="s">
        <v>125</v>
      </c>
      <c r="BE195" t="s">
        <v>125</v>
      </c>
      <c r="BF195" t="s">
        <v>125</v>
      </c>
      <c r="BG195" t="s">
        <v>125</v>
      </c>
      <c r="BH195">
        <v>0</v>
      </c>
      <c r="BI195">
        <v>0.995305</v>
      </c>
      <c r="BJ195">
        <v>0.99411799999999995</v>
      </c>
      <c r="BK195">
        <v>1</v>
      </c>
      <c r="BL195">
        <v>0.995305</v>
      </c>
      <c r="BM195">
        <v>0.99411799999999995</v>
      </c>
      <c r="BN195">
        <v>1</v>
      </c>
      <c r="BO195">
        <v>0.97402599999999995</v>
      </c>
      <c r="BP195">
        <v>0.96825399999999995</v>
      </c>
      <c r="BQ195" t="s">
        <v>125</v>
      </c>
      <c r="BR195">
        <v>9.0666999999999998E-2</v>
      </c>
      <c r="BS195">
        <v>41.866667</v>
      </c>
      <c r="BT195">
        <v>50</v>
      </c>
      <c r="BU195">
        <v>0.10689700000000001</v>
      </c>
      <c r="BV195">
        <v>38.620690000000003</v>
      </c>
      <c r="BW195">
        <v>50</v>
      </c>
      <c r="BX195">
        <v>0.81481499999999996</v>
      </c>
      <c r="BY195">
        <v>50</v>
      </c>
      <c r="BZ195">
        <v>50</v>
      </c>
      <c r="CA195">
        <v>7.4074000000000001E-2</v>
      </c>
      <c r="CB195">
        <v>4.9382720000000004</v>
      </c>
      <c r="CC195">
        <v>50</v>
      </c>
      <c r="CD195">
        <v>0.93333299999999997</v>
      </c>
      <c r="CE195">
        <v>49.645389999999999</v>
      </c>
      <c r="CF195">
        <v>50</v>
      </c>
      <c r="CG195">
        <v>1</v>
      </c>
      <c r="CH195">
        <v>100</v>
      </c>
      <c r="CI195">
        <v>100</v>
      </c>
      <c r="CJ195" t="s">
        <v>125</v>
      </c>
      <c r="CK195" t="s">
        <v>125</v>
      </c>
      <c r="CL195" t="s">
        <v>125</v>
      </c>
      <c r="CM195" t="s">
        <v>125</v>
      </c>
      <c r="CN195">
        <v>0.71399999999999997</v>
      </c>
      <c r="CO195">
        <v>95.238095000000001</v>
      </c>
      <c r="CP195">
        <v>100</v>
      </c>
      <c r="CQ195">
        <v>0.77391299999999996</v>
      </c>
      <c r="CR195">
        <v>0.98290599999999995</v>
      </c>
      <c r="CS195">
        <v>50</v>
      </c>
      <c r="CT195">
        <v>50</v>
      </c>
      <c r="CU195">
        <v>0.51724099999999995</v>
      </c>
      <c r="CV195">
        <v>43.103448</v>
      </c>
      <c r="CW195">
        <v>50</v>
      </c>
      <c r="CX195" t="s">
        <v>125</v>
      </c>
      <c r="CY195" t="s">
        <v>125</v>
      </c>
      <c r="CZ195" t="s">
        <v>125</v>
      </c>
      <c r="DA195">
        <v>15.389535</v>
      </c>
      <c r="DB195">
        <v>17.608319000000002</v>
      </c>
      <c r="DC195">
        <v>16.064022999999999</v>
      </c>
      <c r="DD195" t="s">
        <v>125</v>
      </c>
      <c r="DE195" t="s">
        <v>125</v>
      </c>
      <c r="DJ195" t="s">
        <v>125</v>
      </c>
      <c r="DK195" t="s">
        <v>125</v>
      </c>
      <c r="DL195" t="s">
        <v>125</v>
      </c>
      <c r="DM195" t="s">
        <v>125</v>
      </c>
      <c r="DN195" t="s">
        <v>125</v>
      </c>
      <c r="DO195" t="s">
        <v>125</v>
      </c>
      <c r="DQ195" t="s">
        <v>126</v>
      </c>
    </row>
    <row r="196" spans="1:121" x14ac:dyDescent="0.15">
      <c r="A196">
        <v>2018</v>
      </c>
      <c r="B196" t="s">
        <v>318</v>
      </c>
      <c r="C196" t="str">
        <f>"2880013"</f>
        <v>2880013</v>
      </c>
      <c r="D196" t="s">
        <v>123</v>
      </c>
      <c r="E196" t="str">
        <f t="shared" si="0"/>
        <v>0000000</v>
      </c>
      <c r="F196" t="s">
        <v>123</v>
      </c>
      <c r="G196" t="s">
        <v>123</v>
      </c>
      <c r="H196" t="s">
        <v>123</v>
      </c>
      <c r="J196" t="s">
        <v>124</v>
      </c>
      <c r="K196">
        <v>1084.670881</v>
      </c>
      <c r="L196">
        <v>1450</v>
      </c>
      <c r="M196">
        <v>74.804888000000005</v>
      </c>
      <c r="N196" t="s">
        <v>125</v>
      </c>
      <c r="O196">
        <v>0</v>
      </c>
      <c r="P196">
        <v>68.906041000000002</v>
      </c>
      <c r="Q196">
        <v>45.937361000000003</v>
      </c>
      <c r="R196">
        <v>50</v>
      </c>
      <c r="S196">
        <v>68.886385000000004</v>
      </c>
      <c r="T196" t="s">
        <v>125</v>
      </c>
      <c r="U196">
        <v>45.924256999999997</v>
      </c>
      <c r="V196">
        <v>50</v>
      </c>
      <c r="W196">
        <v>65.083838999999998</v>
      </c>
      <c r="X196">
        <v>43.389226000000001</v>
      </c>
      <c r="Y196">
        <v>50</v>
      </c>
      <c r="Z196" t="s">
        <v>125</v>
      </c>
      <c r="AA196">
        <v>65.075581999999997</v>
      </c>
      <c r="AB196">
        <v>43.383721000000001</v>
      </c>
      <c r="AC196">
        <v>50</v>
      </c>
      <c r="AD196">
        <v>56.779539</v>
      </c>
      <c r="AE196">
        <v>37.853026</v>
      </c>
      <c r="AF196">
        <v>50</v>
      </c>
      <c r="AG196">
        <v>56.779539</v>
      </c>
      <c r="AH196" t="s">
        <v>125</v>
      </c>
      <c r="AI196">
        <v>37.853026</v>
      </c>
      <c r="AJ196">
        <v>50</v>
      </c>
      <c r="AK196" t="s">
        <v>125</v>
      </c>
      <c r="AL196" t="s">
        <v>125</v>
      </c>
      <c r="AM196" t="s">
        <v>125</v>
      </c>
      <c r="AN196">
        <v>0.60180999999999996</v>
      </c>
      <c r="AO196">
        <v>60.180979000000001</v>
      </c>
      <c r="AP196">
        <v>100</v>
      </c>
      <c r="AQ196">
        <v>0.57427700000000004</v>
      </c>
      <c r="AR196">
        <v>57.427740999999997</v>
      </c>
      <c r="AS196">
        <v>100</v>
      </c>
      <c r="AT196">
        <v>0.60180999999999996</v>
      </c>
      <c r="AU196" t="s">
        <v>125</v>
      </c>
      <c r="AV196">
        <v>60.180979000000001</v>
      </c>
      <c r="AW196">
        <v>100</v>
      </c>
      <c r="AX196">
        <v>0.57427700000000004</v>
      </c>
      <c r="AY196" t="s">
        <v>125</v>
      </c>
      <c r="AZ196">
        <v>57.427740999999997</v>
      </c>
      <c r="BA196">
        <v>100</v>
      </c>
      <c r="BB196">
        <v>0.42502800000000002</v>
      </c>
      <c r="BC196">
        <v>21.251407</v>
      </c>
      <c r="BD196">
        <v>50</v>
      </c>
      <c r="BE196">
        <v>0.32444000000000001</v>
      </c>
      <c r="BF196">
        <v>16.222003000000001</v>
      </c>
      <c r="BG196">
        <v>50</v>
      </c>
      <c r="BH196">
        <v>0</v>
      </c>
      <c r="BI196">
        <v>0.99689399999999995</v>
      </c>
      <c r="BJ196">
        <v>0.99688500000000002</v>
      </c>
      <c r="BK196" t="s">
        <v>125</v>
      </c>
      <c r="BL196">
        <v>0.99534199999999995</v>
      </c>
      <c r="BM196">
        <v>0.99532699999999996</v>
      </c>
      <c r="BN196" t="s">
        <v>125</v>
      </c>
      <c r="BO196">
        <v>1</v>
      </c>
      <c r="BP196">
        <v>1</v>
      </c>
      <c r="BQ196" t="s">
        <v>125</v>
      </c>
      <c r="BR196">
        <v>6.5298999999999996E-2</v>
      </c>
      <c r="BS196">
        <v>46.940299000000003</v>
      </c>
      <c r="BT196">
        <v>50</v>
      </c>
      <c r="BU196">
        <v>6.2717999999999996E-2</v>
      </c>
      <c r="BV196">
        <v>47.456446</v>
      </c>
      <c r="BW196">
        <v>50</v>
      </c>
      <c r="BX196">
        <v>1</v>
      </c>
      <c r="BY196">
        <v>50</v>
      </c>
      <c r="BZ196">
        <v>50</v>
      </c>
      <c r="CA196">
        <v>0.51351400000000003</v>
      </c>
      <c r="CB196">
        <v>34.234234000000001</v>
      </c>
      <c r="CC196">
        <v>50</v>
      </c>
      <c r="CD196">
        <v>0.84506999999999999</v>
      </c>
      <c r="CE196">
        <v>44.950553999999997</v>
      </c>
      <c r="CF196">
        <v>50</v>
      </c>
      <c r="CG196">
        <v>0.885714</v>
      </c>
      <c r="CH196">
        <v>94.224924000000001</v>
      </c>
      <c r="CI196">
        <v>100</v>
      </c>
      <c r="CJ196">
        <v>0</v>
      </c>
      <c r="CK196">
        <v>0.97142899999999999</v>
      </c>
      <c r="CL196">
        <v>100</v>
      </c>
      <c r="CM196">
        <v>100</v>
      </c>
      <c r="CN196">
        <v>0.76500000000000001</v>
      </c>
      <c r="CO196">
        <v>100</v>
      </c>
      <c r="CP196">
        <v>100</v>
      </c>
      <c r="CQ196">
        <v>0.19658100000000001</v>
      </c>
      <c r="CR196">
        <v>0.65363099999999996</v>
      </c>
      <c r="CS196">
        <v>3.2763529999999998</v>
      </c>
      <c r="CT196">
        <v>50</v>
      </c>
      <c r="CU196">
        <v>0.43867899999999999</v>
      </c>
      <c r="CV196">
        <v>36.556604</v>
      </c>
      <c r="CW196">
        <v>50</v>
      </c>
      <c r="CX196">
        <v>0.97142899999999999</v>
      </c>
      <c r="CY196" t="s">
        <v>125</v>
      </c>
      <c r="CZ196" t="s">
        <v>125</v>
      </c>
      <c r="DA196">
        <v>15.389535</v>
      </c>
      <c r="DB196">
        <v>17.608319000000002</v>
      </c>
      <c r="DC196">
        <v>16.064022999999999</v>
      </c>
      <c r="DD196">
        <v>11.115401</v>
      </c>
      <c r="DE196" t="s">
        <v>125</v>
      </c>
      <c r="DJ196" t="s">
        <v>125</v>
      </c>
      <c r="DK196" t="s">
        <v>125</v>
      </c>
      <c r="DL196" t="s">
        <v>125</v>
      </c>
      <c r="DM196" t="s">
        <v>125</v>
      </c>
      <c r="DN196" t="s">
        <v>125</v>
      </c>
      <c r="DO196" t="s">
        <v>125</v>
      </c>
      <c r="DQ196" t="s">
        <v>126</v>
      </c>
    </row>
    <row r="197" spans="1:121" x14ac:dyDescent="0.15">
      <c r="A197">
        <v>2018</v>
      </c>
      <c r="B197" t="s">
        <v>319</v>
      </c>
      <c r="C197" t="str">
        <f>"2890013"</f>
        <v>2890013</v>
      </c>
      <c r="D197" t="s">
        <v>123</v>
      </c>
      <c r="E197" t="str">
        <f t="shared" si="0"/>
        <v>0000000</v>
      </c>
      <c r="F197" t="s">
        <v>123</v>
      </c>
      <c r="G197" t="s">
        <v>123</v>
      </c>
      <c r="H197" t="s">
        <v>123</v>
      </c>
      <c r="J197" t="s">
        <v>124</v>
      </c>
      <c r="K197">
        <v>1027.2138689999999</v>
      </c>
      <c r="L197">
        <v>1350</v>
      </c>
      <c r="M197">
        <v>76.089916000000002</v>
      </c>
      <c r="N197" t="s">
        <v>125</v>
      </c>
      <c r="O197">
        <v>0</v>
      </c>
      <c r="P197">
        <v>68.201100999999994</v>
      </c>
      <c r="Q197">
        <v>45.467399999999998</v>
      </c>
      <c r="R197">
        <v>50</v>
      </c>
      <c r="S197">
        <v>68.160968999999994</v>
      </c>
      <c r="T197" t="s">
        <v>125</v>
      </c>
      <c r="U197">
        <v>45.440646000000001</v>
      </c>
      <c r="V197">
        <v>50</v>
      </c>
      <c r="W197">
        <v>64.464442000000005</v>
      </c>
      <c r="X197">
        <v>42.976294000000003</v>
      </c>
      <c r="Y197">
        <v>50</v>
      </c>
      <c r="Z197" t="s">
        <v>125</v>
      </c>
      <c r="AA197">
        <v>64.486881999999994</v>
      </c>
      <c r="AB197">
        <v>42.991255000000002</v>
      </c>
      <c r="AC197">
        <v>50</v>
      </c>
      <c r="AD197">
        <v>58.242457000000002</v>
      </c>
      <c r="AE197">
        <v>38.828305</v>
      </c>
      <c r="AF197">
        <v>50</v>
      </c>
      <c r="AG197">
        <v>58.242457000000002</v>
      </c>
      <c r="AH197" t="s">
        <v>125</v>
      </c>
      <c r="AI197">
        <v>38.828305</v>
      </c>
      <c r="AJ197">
        <v>50</v>
      </c>
      <c r="AK197" t="s">
        <v>125</v>
      </c>
      <c r="AL197" t="s">
        <v>125</v>
      </c>
      <c r="AM197" t="s">
        <v>125</v>
      </c>
      <c r="AN197">
        <v>0.64899899999999999</v>
      </c>
      <c r="AO197">
        <v>64.899941999999996</v>
      </c>
      <c r="AP197">
        <v>100</v>
      </c>
      <c r="AQ197">
        <v>0.61199899999999996</v>
      </c>
      <c r="AR197">
        <v>61.199862000000003</v>
      </c>
      <c r="AS197">
        <v>100</v>
      </c>
      <c r="AT197">
        <v>0.64747100000000002</v>
      </c>
      <c r="AU197" t="s">
        <v>125</v>
      </c>
      <c r="AV197">
        <v>64.747060000000005</v>
      </c>
      <c r="AW197">
        <v>100</v>
      </c>
      <c r="AX197">
        <v>0.610344</v>
      </c>
      <c r="AY197" t="s">
        <v>125</v>
      </c>
      <c r="AZ197">
        <v>61.034438000000002</v>
      </c>
      <c r="BA197">
        <v>100</v>
      </c>
      <c r="BB197">
        <v>0.35378399999999999</v>
      </c>
      <c r="BC197">
        <v>17.689178999999999</v>
      </c>
      <c r="BD197">
        <v>50</v>
      </c>
      <c r="BE197">
        <v>0.44099100000000002</v>
      </c>
      <c r="BF197">
        <v>22.049569000000002</v>
      </c>
      <c r="BG197">
        <v>50</v>
      </c>
      <c r="BH197">
        <v>0</v>
      </c>
      <c r="BI197">
        <v>0.98607900000000004</v>
      </c>
      <c r="BJ197">
        <v>0.985981</v>
      </c>
      <c r="BK197" t="s">
        <v>125</v>
      </c>
      <c r="BL197">
        <v>0.98607900000000004</v>
      </c>
      <c r="BM197">
        <v>0.985981</v>
      </c>
      <c r="BN197" t="s">
        <v>125</v>
      </c>
      <c r="BO197">
        <v>0.95428599999999997</v>
      </c>
      <c r="BP197">
        <v>0.95428599999999997</v>
      </c>
      <c r="BQ197" t="s">
        <v>125</v>
      </c>
      <c r="BR197">
        <v>9.0909000000000004E-2</v>
      </c>
      <c r="BS197">
        <v>41.818182</v>
      </c>
      <c r="BT197">
        <v>50</v>
      </c>
      <c r="BU197">
        <v>9.8720000000000002E-2</v>
      </c>
      <c r="BV197">
        <v>40.255941</v>
      </c>
      <c r="BW197">
        <v>50</v>
      </c>
      <c r="BX197">
        <v>1</v>
      </c>
      <c r="BY197">
        <v>50</v>
      </c>
      <c r="BZ197">
        <v>50</v>
      </c>
      <c r="CA197">
        <v>0.52702700000000002</v>
      </c>
      <c r="CB197">
        <v>35.135134999999998</v>
      </c>
      <c r="CC197">
        <v>50</v>
      </c>
      <c r="CD197">
        <v>0.90816300000000005</v>
      </c>
      <c r="CE197">
        <v>48.306556999999998</v>
      </c>
      <c r="CF197">
        <v>50</v>
      </c>
      <c r="CG197">
        <v>0.961538</v>
      </c>
      <c r="CH197">
        <v>100</v>
      </c>
      <c r="CI197">
        <v>100</v>
      </c>
      <c r="CJ197" t="s">
        <v>125</v>
      </c>
      <c r="CK197" t="s">
        <v>125</v>
      </c>
      <c r="CL197" t="s">
        <v>125</v>
      </c>
      <c r="CM197" t="s">
        <v>125</v>
      </c>
      <c r="CN197">
        <v>0.86199999999999999</v>
      </c>
      <c r="CO197">
        <v>100</v>
      </c>
      <c r="CP197">
        <v>100</v>
      </c>
      <c r="CQ197">
        <v>0.36206899999999997</v>
      </c>
      <c r="CR197">
        <v>0.98305100000000001</v>
      </c>
      <c r="CS197">
        <v>24.137930999999998</v>
      </c>
      <c r="CT197">
        <v>50</v>
      </c>
      <c r="CU197">
        <v>0.496894</v>
      </c>
      <c r="CV197">
        <v>41.407867000000003</v>
      </c>
      <c r="CW197">
        <v>50</v>
      </c>
      <c r="CX197" t="s">
        <v>125</v>
      </c>
      <c r="CY197" t="s">
        <v>125</v>
      </c>
      <c r="CZ197" t="s">
        <v>125</v>
      </c>
      <c r="DA197">
        <v>15.389535</v>
      </c>
      <c r="DB197">
        <v>17.608319000000002</v>
      </c>
      <c r="DC197">
        <v>16.064022999999999</v>
      </c>
      <c r="DD197" t="s">
        <v>125</v>
      </c>
      <c r="DE197" t="s">
        <v>125</v>
      </c>
      <c r="DJ197" t="s">
        <v>125</v>
      </c>
      <c r="DK197" t="s">
        <v>125</v>
      </c>
      <c r="DL197" t="s">
        <v>125</v>
      </c>
      <c r="DM197" t="s">
        <v>125</v>
      </c>
      <c r="DN197" t="s">
        <v>125</v>
      </c>
      <c r="DO197" t="s">
        <v>125</v>
      </c>
      <c r="DQ197" t="s">
        <v>126</v>
      </c>
    </row>
    <row r="198" spans="1:121" x14ac:dyDescent="0.15">
      <c r="A198">
        <v>2018</v>
      </c>
      <c r="B198" t="s">
        <v>320</v>
      </c>
      <c r="C198" t="str">
        <f>"2900013"</f>
        <v>2900013</v>
      </c>
      <c r="D198" t="s">
        <v>123</v>
      </c>
      <c r="E198" t="str">
        <f t="shared" si="0"/>
        <v>0000000</v>
      </c>
      <c r="F198" t="s">
        <v>123</v>
      </c>
      <c r="G198" t="s">
        <v>123</v>
      </c>
      <c r="H198" t="s">
        <v>123</v>
      </c>
      <c r="J198" t="s">
        <v>124</v>
      </c>
      <c r="K198">
        <v>590.90684699999997</v>
      </c>
      <c r="L198">
        <v>850</v>
      </c>
      <c r="M198">
        <v>69.518452999999994</v>
      </c>
      <c r="N198" t="s">
        <v>125</v>
      </c>
      <c r="O198">
        <v>0</v>
      </c>
      <c r="P198">
        <v>71.601861999999997</v>
      </c>
      <c r="Q198">
        <v>47.734574000000002</v>
      </c>
      <c r="R198">
        <v>50</v>
      </c>
      <c r="S198">
        <v>68.785413000000005</v>
      </c>
      <c r="T198">
        <v>75</v>
      </c>
      <c r="U198">
        <v>45.856941999999997</v>
      </c>
      <c r="V198">
        <v>50</v>
      </c>
      <c r="W198">
        <v>66.716514000000004</v>
      </c>
      <c r="X198">
        <v>44.477676000000002</v>
      </c>
      <c r="Y198">
        <v>50</v>
      </c>
      <c r="Z198">
        <v>73.548327999999998</v>
      </c>
      <c r="AA198">
        <v>64.025193000000002</v>
      </c>
      <c r="AB198">
        <v>42.683461999999999</v>
      </c>
      <c r="AC198">
        <v>50</v>
      </c>
      <c r="AD198">
        <v>78.131048000000007</v>
      </c>
      <c r="AE198">
        <v>50</v>
      </c>
      <c r="AF198">
        <v>50</v>
      </c>
      <c r="AG198">
        <v>76.467742000000001</v>
      </c>
      <c r="AH198" t="s">
        <v>125</v>
      </c>
      <c r="AI198">
        <v>50</v>
      </c>
      <c r="AJ198">
        <v>50</v>
      </c>
      <c r="AK198">
        <v>6.21</v>
      </c>
      <c r="AL198">
        <v>9.52</v>
      </c>
      <c r="AM198" t="s">
        <v>125</v>
      </c>
      <c r="AN198">
        <v>0.50933099999999998</v>
      </c>
      <c r="AO198">
        <v>50.933101000000001</v>
      </c>
      <c r="AP198">
        <v>100</v>
      </c>
      <c r="AQ198">
        <v>0.52999300000000005</v>
      </c>
      <c r="AR198">
        <v>52.999324000000001</v>
      </c>
      <c r="AS198">
        <v>100</v>
      </c>
      <c r="AT198">
        <v>0.51198299999999997</v>
      </c>
      <c r="AU198">
        <v>0.50369600000000003</v>
      </c>
      <c r="AV198">
        <v>51.198278999999999</v>
      </c>
      <c r="AW198">
        <v>100</v>
      </c>
      <c r="AX198">
        <v>0.48871399999999998</v>
      </c>
      <c r="AY198">
        <v>0.61771200000000004</v>
      </c>
      <c r="AZ198">
        <v>48.871388000000003</v>
      </c>
      <c r="BA198">
        <v>100</v>
      </c>
      <c r="BB198" t="s">
        <v>125</v>
      </c>
      <c r="BC198" t="s">
        <v>125</v>
      </c>
      <c r="BD198" t="s">
        <v>125</v>
      </c>
      <c r="BE198" t="s">
        <v>125</v>
      </c>
      <c r="BF198" t="s">
        <v>125</v>
      </c>
      <c r="BG198" t="s">
        <v>125</v>
      </c>
      <c r="BH198">
        <v>0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 t="s">
        <v>125</v>
      </c>
      <c r="BR198">
        <v>8.7649000000000005E-2</v>
      </c>
      <c r="BS198">
        <v>42.470120000000001</v>
      </c>
      <c r="BT198">
        <v>50</v>
      </c>
      <c r="BU198">
        <v>0.112903</v>
      </c>
      <c r="BV198">
        <v>37.419355000000003</v>
      </c>
      <c r="BW198">
        <v>50</v>
      </c>
      <c r="BX198" t="s">
        <v>125</v>
      </c>
      <c r="BY198" t="s">
        <v>125</v>
      </c>
      <c r="BZ198" t="s">
        <v>125</v>
      </c>
      <c r="CA198" t="s">
        <v>125</v>
      </c>
      <c r="CB198" t="s">
        <v>125</v>
      </c>
      <c r="CC198" t="s">
        <v>125</v>
      </c>
      <c r="CD198" t="s">
        <v>125</v>
      </c>
      <c r="CE198" t="s">
        <v>125</v>
      </c>
      <c r="CF198" t="s">
        <v>125</v>
      </c>
      <c r="CG198" t="s">
        <v>125</v>
      </c>
      <c r="CH198" t="s">
        <v>125</v>
      </c>
      <c r="CI198" t="s">
        <v>125</v>
      </c>
      <c r="CJ198" t="s">
        <v>125</v>
      </c>
      <c r="CK198" t="s">
        <v>125</v>
      </c>
      <c r="CL198" t="s">
        <v>125</v>
      </c>
      <c r="CM198" t="s">
        <v>125</v>
      </c>
      <c r="CN198" t="s">
        <v>125</v>
      </c>
      <c r="CO198" t="s">
        <v>125</v>
      </c>
      <c r="CP198" t="s">
        <v>125</v>
      </c>
      <c r="CQ198">
        <v>0.39393899999999998</v>
      </c>
      <c r="CR198">
        <v>0.90410999999999997</v>
      </c>
      <c r="CS198">
        <v>26.262626000000001</v>
      </c>
      <c r="CT198">
        <v>50</v>
      </c>
      <c r="CU198" t="s">
        <v>125</v>
      </c>
      <c r="CV198" t="s">
        <v>125</v>
      </c>
      <c r="CW198" t="s">
        <v>125</v>
      </c>
      <c r="CX198" t="s">
        <v>125</v>
      </c>
      <c r="CY198" t="s">
        <v>125</v>
      </c>
      <c r="CZ198" t="s">
        <v>125</v>
      </c>
      <c r="DA198">
        <v>15.389535</v>
      </c>
      <c r="DB198">
        <v>17.608319000000002</v>
      </c>
      <c r="DC198">
        <v>16.064022999999999</v>
      </c>
      <c r="DD198" t="s">
        <v>125</v>
      </c>
      <c r="DE198" t="s">
        <v>125</v>
      </c>
      <c r="DJ198" t="s">
        <v>125</v>
      </c>
      <c r="DK198" t="s">
        <v>125</v>
      </c>
      <c r="DL198" t="s">
        <v>125</v>
      </c>
      <c r="DM198" t="s">
        <v>125</v>
      </c>
      <c r="DN198" t="s">
        <v>125</v>
      </c>
      <c r="DO198" t="s">
        <v>125</v>
      </c>
      <c r="DQ198" t="s">
        <v>126</v>
      </c>
    </row>
    <row r="199" spans="1:121" x14ac:dyDescent="0.15">
      <c r="A199">
        <v>2018</v>
      </c>
      <c r="B199" t="s">
        <v>321</v>
      </c>
      <c r="C199" t="str">
        <f>"2910013"</f>
        <v>2910013</v>
      </c>
      <c r="D199" t="s">
        <v>123</v>
      </c>
      <c r="E199" t="str">
        <f t="shared" si="0"/>
        <v>0000000</v>
      </c>
      <c r="F199" t="s">
        <v>123</v>
      </c>
      <c r="G199" t="s">
        <v>123</v>
      </c>
      <c r="H199" t="s">
        <v>123</v>
      </c>
      <c r="J199" t="s">
        <v>124</v>
      </c>
      <c r="K199">
        <v>240.90757199999999</v>
      </c>
      <c r="L199">
        <v>300</v>
      </c>
      <c r="M199">
        <v>80.302524000000005</v>
      </c>
      <c r="N199" t="s">
        <v>125</v>
      </c>
      <c r="O199">
        <v>0</v>
      </c>
      <c r="P199">
        <v>64.032691999999997</v>
      </c>
      <c r="Q199">
        <v>85.376923000000005</v>
      </c>
      <c r="R199">
        <v>100</v>
      </c>
      <c r="S199" t="s">
        <v>125</v>
      </c>
      <c r="T199">
        <v>68.166610000000006</v>
      </c>
      <c r="U199" t="s">
        <v>125</v>
      </c>
      <c r="V199" t="s">
        <v>125</v>
      </c>
      <c r="W199">
        <v>53.220514999999999</v>
      </c>
      <c r="X199">
        <v>70.960686999999993</v>
      </c>
      <c r="Y199">
        <v>100</v>
      </c>
      <c r="Z199">
        <v>56.931038999999998</v>
      </c>
      <c r="AA199" t="s">
        <v>125</v>
      </c>
      <c r="AB199" t="s">
        <v>125</v>
      </c>
      <c r="AC199" t="s">
        <v>125</v>
      </c>
      <c r="AD199" t="s">
        <v>125</v>
      </c>
      <c r="AE199" t="s">
        <v>125</v>
      </c>
      <c r="AF199" t="s">
        <v>125</v>
      </c>
      <c r="AG199" t="s">
        <v>125</v>
      </c>
      <c r="AH199" t="s">
        <v>125</v>
      </c>
      <c r="AI199" t="s">
        <v>125</v>
      </c>
      <c r="AJ199" t="s">
        <v>125</v>
      </c>
      <c r="AK199" t="s">
        <v>125</v>
      </c>
      <c r="AL199" t="s">
        <v>125</v>
      </c>
      <c r="AM199" t="s">
        <v>125</v>
      </c>
      <c r="AN199" t="s">
        <v>125</v>
      </c>
      <c r="AO199" t="s">
        <v>125</v>
      </c>
      <c r="AP199" t="s">
        <v>125</v>
      </c>
      <c r="AQ199" t="s">
        <v>125</v>
      </c>
      <c r="AR199" t="s">
        <v>125</v>
      </c>
      <c r="AS199" t="s">
        <v>125</v>
      </c>
      <c r="AT199" t="s">
        <v>125</v>
      </c>
      <c r="AU199" t="s">
        <v>125</v>
      </c>
      <c r="AV199" t="s">
        <v>125</v>
      </c>
      <c r="AW199" t="s">
        <v>125</v>
      </c>
      <c r="AX199" t="s">
        <v>125</v>
      </c>
      <c r="AY199" t="s">
        <v>125</v>
      </c>
      <c r="AZ199" t="s">
        <v>125</v>
      </c>
      <c r="BA199" t="s">
        <v>125</v>
      </c>
      <c r="BB199" t="s">
        <v>125</v>
      </c>
      <c r="BC199" t="s">
        <v>125</v>
      </c>
      <c r="BD199" t="s">
        <v>125</v>
      </c>
      <c r="BE199" t="s">
        <v>125</v>
      </c>
      <c r="BF199" t="s">
        <v>125</v>
      </c>
      <c r="BG199" t="s">
        <v>125</v>
      </c>
      <c r="BH199">
        <v>0</v>
      </c>
      <c r="BI199">
        <v>1</v>
      </c>
      <c r="BJ199" t="s">
        <v>125</v>
      </c>
      <c r="BK199">
        <v>1</v>
      </c>
      <c r="BL199">
        <v>1</v>
      </c>
      <c r="BM199" t="s">
        <v>125</v>
      </c>
      <c r="BN199">
        <v>1</v>
      </c>
      <c r="BO199" t="s">
        <v>125</v>
      </c>
      <c r="BP199" t="s">
        <v>125</v>
      </c>
      <c r="BQ199" t="s">
        <v>125</v>
      </c>
      <c r="BR199">
        <v>8.9430999999999997E-2</v>
      </c>
      <c r="BS199">
        <v>42.113821000000002</v>
      </c>
      <c r="BT199">
        <v>50</v>
      </c>
      <c r="BU199">
        <v>8.7719000000000005E-2</v>
      </c>
      <c r="BV199">
        <v>42.456139999999998</v>
      </c>
      <c r="BW199">
        <v>50</v>
      </c>
      <c r="BX199" t="s">
        <v>125</v>
      </c>
      <c r="BY199" t="s">
        <v>125</v>
      </c>
      <c r="BZ199" t="s">
        <v>125</v>
      </c>
      <c r="CA199" t="s">
        <v>125</v>
      </c>
      <c r="CB199" t="s">
        <v>125</v>
      </c>
      <c r="CC199" t="s">
        <v>125</v>
      </c>
      <c r="CD199" t="s">
        <v>125</v>
      </c>
      <c r="CE199" t="s">
        <v>125</v>
      </c>
      <c r="CF199" t="s">
        <v>125</v>
      </c>
      <c r="CG199" t="s">
        <v>125</v>
      </c>
      <c r="CH199" t="s">
        <v>125</v>
      </c>
      <c r="CI199" t="s">
        <v>125</v>
      </c>
      <c r="CJ199" t="s">
        <v>125</v>
      </c>
      <c r="CK199" t="s">
        <v>125</v>
      </c>
      <c r="CL199" t="s">
        <v>125</v>
      </c>
      <c r="CM199" t="s">
        <v>125</v>
      </c>
      <c r="CN199" t="s">
        <v>125</v>
      </c>
      <c r="CO199" t="s">
        <v>125</v>
      </c>
      <c r="CP199" t="s">
        <v>125</v>
      </c>
      <c r="CQ199" t="s">
        <v>125</v>
      </c>
      <c r="CR199" t="s">
        <v>125</v>
      </c>
      <c r="CS199" t="s">
        <v>125</v>
      </c>
      <c r="CT199" t="s">
        <v>125</v>
      </c>
      <c r="CU199" t="s">
        <v>125</v>
      </c>
      <c r="CV199" t="s">
        <v>125</v>
      </c>
      <c r="CW199" t="s">
        <v>125</v>
      </c>
      <c r="CX199" t="s">
        <v>125</v>
      </c>
      <c r="CY199" t="s">
        <v>125</v>
      </c>
      <c r="CZ199" t="s">
        <v>125</v>
      </c>
      <c r="DA199">
        <v>15.389535</v>
      </c>
      <c r="DB199">
        <v>17.608319000000002</v>
      </c>
      <c r="DC199">
        <v>16.064022999999999</v>
      </c>
      <c r="DD199" t="s">
        <v>125</v>
      </c>
      <c r="DE199" t="s">
        <v>125</v>
      </c>
      <c r="DJ199" t="s">
        <v>125</v>
      </c>
      <c r="DK199" t="s">
        <v>125</v>
      </c>
      <c r="DL199" t="s">
        <v>125</v>
      </c>
      <c r="DM199" t="s">
        <v>125</v>
      </c>
      <c r="DN199" t="s">
        <v>125</v>
      </c>
      <c r="DO199" t="s">
        <v>125</v>
      </c>
      <c r="DQ199" t="s">
        <v>126</v>
      </c>
    </row>
    <row r="200" spans="1:121" x14ac:dyDescent="0.15">
      <c r="A200">
        <v>2018</v>
      </c>
      <c r="B200" t="s">
        <v>322</v>
      </c>
      <c r="C200" t="str">
        <f>"2940013"</f>
        <v>2940013</v>
      </c>
      <c r="D200" t="s">
        <v>123</v>
      </c>
      <c r="E200" t="str">
        <f t="shared" si="0"/>
        <v>0000000</v>
      </c>
      <c r="F200" t="s">
        <v>123</v>
      </c>
      <c r="G200" t="s">
        <v>123</v>
      </c>
      <c r="H200" t="s">
        <v>123</v>
      </c>
      <c r="J200" t="s">
        <v>124</v>
      </c>
      <c r="K200">
        <v>506.40380699999997</v>
      </c>
      <c r="L200">
        <v>1050</v>
      </c>
      <c r="M200">
        <v>48.228934000000002</v>
      </c>
      <c r="N200" t="s">
        <v>125</v>
      </c>
      <c r="O200">
        <v>0</v>
      </c>
      <c r="P200">
        <v>52.266235000000002</v>
      </c>
      <c r="Q200">
        <v>34.844157000000003</v>
      </c>
      <c r="R200">
        <v>50</v>
      </c>
      <c r="S200">
        <v>50.670878999999999</v>
      </c>
      <c r="T200">
        <v>60.211111000000002</v>
      </c>
      <c r="U200">
        <v>33.780586</v>
      </c>
      <c r="V200">
        <v>50</v>
      </c>
      <c r="W200">
        <v>43.126134</v>
      </c>
      <c r="X200">
        <v>28.750755999999999</v>
      </c>
      <c r="Y200">
        <v>50</v>
      </c>
      <c r="Z200">
        <v>52.912014999999997</v>
      </c>
      <c r="AA200">
        <v>41.161098000000003</v>
      </c>
      <c r="AB200">
        <v>27.440732000000001</v>
      </c>
      <c r="AC200">
        <v>50</v>
      </c>
      <c r="AD200">
        <v>52.082521</v>
      </c>
      <c r="AE200">
        <v>34.721680999999997</v>
      </c>
      <c r="AF200">
        <v>50</v>
      </c>
      <c r="AG200">
        <v>51.426907</v>
      </c>
      <c r="AH200" t="s">
        <v>125</v>
      </c>
      <c r="AI200">
        <v>34.284604000000002</v>
      </c>
      <c r="AJ200">
        <v>50</v>
      </c>
      <c r="AK200">
        <v>9.5399999999999991</v>
      </c>
      <c r="AL200">
        <v>11.75</v>
      </c>
      <c r="AM200" t="s">
        <v>125</v>
      </c>
      <c r="AN200">
        <v>0.58294100000000004</v>
      </c>
      <c r="AO200">
        <v>58.294097999999998</v>
      </c>
      <c r="AP200">
        <v>100</v>
      </c>
      <c r="AQ200">
        <v>0.405061</v>
      </c>
      <c r="AR200">
        <v>40.506138</v>
      </c>
      <c r="AS200">
        <v>100</v>
      </c>
      <c r="AT200">
        <v>0.55626299999999995</v>
      </c>
      <c r="AU200">
        <v>0.712924</v>
      </c>
      <c r="AV200">
        <v>55.626330000000003</v>
      </c>
      <c r="AW200">
        <v>100</v>
      </c>
      <c r="AX200">
        <v>0.38648100000000002</v>
      </c>
      <c r="AY200">
        <v>0.49409399999999998</v>
      </c>
      <c r="AZ200">
        <v>38.648063</v>
      </c>
      <c r="BA200">
        <v>100</v>
      </c>
      <c r="BB200">
        <v>0.52063300000000001</v>
      </c>
      <c r="BC200">
        <v>26.031665</v>
      </c>
      <c r="BD200">
        <v>50</v>
      </c>
      <c r="BE200">
        <v>0.32341700000000001</v>
      </c>
      <c r="BF200">
        <v>16.170852</v>
      </c>
      <c r="BG200">
        <v>50</v>
      </c>
      <c r="BH200">
        <v>0</v>
      </c>
      <c r="BI200">
        <v>0.98697100000000004</v>
      </c>
      <c r="BJ200">
        <v>0.98828099999999997</v>
      </c>
      <c r="BK200">
        <v>0.98039200000000004</v>
      </c>
      <c r="BL200">
        <v>0.98697100000000004</v>
      </c>
      <c r="BM200">
        <v>0.98828099999999997</v>
      </c>
      <c r="BN200">
        <v>0.98039200000000004</v>
      </c>
      <c r="BO200">
        <v>0.98912999999999995</v>
      </c>
      <c r="BP200">
        <v>0.98648599999999997</v>
      </c>
      <c r="BQ200" t="s">
        <v>125</v>
      </c>
      <c r="BR200">
        <v>0.234043</v>
      </c>
      <c r="BS200">
        <v>13.191489000000001</v>
      </c>
      <c r="BT200">
        <v>50</v>
      </c>
      <c r="BU200">
        <v>0.24712600000000001</v>
      </c>
      <c r="BV200">
        <v>10.574712999999999</v>
      </c>
      <c r="BW200">
        <v>50</v>
      </c>
      <c r="BX200" t="s">
        <v>125</v>
      </c>
      <c r="BY200" t="s">
        <v>125</v>
      </c>
      <c r="BZ200" t="s">
        <v>125</v>
      </c>
      <c r="CA200" t="s">
        <v>125</v>
      </c>
      <c r="CB200" t="s">
        <v>125</v>
      </c>
      <c r="CC200" t="s">
        <v>125</v>
      </c>
      <c r="CD200">
        <v>0.24427499999999999</v>
      </c>
      <c r="CE200">
        <v>12.993340999999999</v>
      </c>
      <c r="CF200">
        <v>50</v>
      </c>
      <c r="CG200" t="s">
        <v>125</v>
      </c>
      <c r="CH200" t="s">
        <v>125</v>
      </c>
      <c r="CI200" t="s">
        <v>125</v>
      </c>
      <c r="CJ200" t="s">
        <v>125</v>
      </c>
      <c r="CK200" t="s">
        <v>125</v>
      </c>
      <c r="CL200" t="s">
        <v>125</v>
      </c>
      <c r="CM200" t="s">
        <v>125</v>
      </c>
      <c r="CN200" t="s">
        <v>125</v>
      </c>
      <c r="CO200" t="s">
        <v>125</v>
      </c>
      <c r="CP200" t="s">
        <v>125</v>
      </c>
      <c r="CQ200">
        <v>0.13147400000000001</v>
      </c>
      <c r="CR200">
        <v>0.97286799999999996</v>
      </c>
      <c r="CS200">
        <v>8.7649399999999993</v>
      </c>
      <c r="CT200">
        <v>50</v>
      </c>
      <c r="CU200">
        <v>0.38135599999999997</v>
      </c>
      <c r="CV200">
        <v>31.779661000000001</v>
      </c>
      <c r="CW200">
        <v>50</v>
      </c>
      <c r="CX200" t="s">
        <v>125</v>
      </c>
      <c r="CY200" t="s">
        <v>125</v>
      </c>
      <c r="CZ200" t="s">
        <v>125</v>
      </c>
      <c r="DA200">
        <v>15.389535</v>
      </c>
      <c r="DB200">
        <v>17.608319000000002</v>
      </c>
      <c r="DC200">
        <v>16.064022999999999</v>
      </c>
      <c r="DD200" t="s">
        <v>125</v>
      </c>
      <c r="DE200" t="s">
        <v>125</v>
      </c>
      <c r="DJ200" t="s">
        <v>125</v>
      </c>
      <c r="DK200" t="s">
        <v>125</v>
      </c>
      <c r="DL200" t="s">
        <v>125</v>
      </c>
      <c r="DM200" t="s">
        <v>125</v>
      </c>
      <c r="DN200" t="s">
        <v>125</v>
      </c>
      <c r="DO200" t="s">
        <v>125</v>
      </c>
      <c r="DQ200" t="s">
        <v>126</v>
      </c>
    </row>
    <row r="201" spans="1:121" x14ac:dyDescent="0.15">
      <c r="A201">
        <v>2018</v>
      </c>
      <c r="B201" t="s">
        <v>323</v>
      </c>
      <c r="C201" t="str">
        <f>"2950013"</f>
        <v>2950013</v>
      </c>
      <c r="D201" t="s">
        <v>123</v>
      </c>
      <c r="E201" t="str">
        <f t="shared" si="0"/>
        <v>0000000</v>
      </c>
      <c r="F201" t="s">
        <v>123</v>
      </c>
      <c r="G201" t="s">
        <v>123</v>
      </c>
      <c r="H201" t="s">
        <v>123</v>
      </c>
      <c r="J201" t="s">
        <v>124</v>
      </c>
      <c r="K201">
        <v>525.14587500000005</v>
      </c>
      <c r="L201">
        <v>850</v>
      </c>
      <c r="M201">
        <v>61.781868000000003</v>
      </c>
      <c r="N201" t="s">
        <v>125</v>
      </c>
      <c r="O201">
        <v>0</v>
      </c>
      <c r="P201">
        <v>66.593853999999993</v>
      </c>
      <c r="Q201">
        <v>44.395902</v>
      </c>
      <c r="R201">
        <v>50</v>
      </c>
      <c r="S201">
        <v>64.704437999999996</v>
      </c>
      <c r="T201" t="s">
        <v>125</v>
      </c>
      <c r="U201">
        <v>43.136291999999997</v>
      </c>
      <c r="V201">
        <v>50</v>
      </c>
      <c r="W201">
        <v>64.060057999999998</v>
      </c>
      <c r="X201">
        <v>42.706704999999999</v>
      </c>
      <c r="Y201">
        <v>50</v>
      </c>
      <c r="Z201" t="s">
        <v>125</v>
      </c>
      <c r="AA201">
        <v>62.409542000000002</v>
      </c>
      <c r="AB201">
        <v>41.606361</v>
      </c>
      <c r="AC201">
        <v>50</v>
      </c>
      <c r="AD201">
        <v>61.344515999999999</v>
      </c>
      <c r="AE201">
        <v>40.896343999999999</v>
      </c>
      <c r="AF201">
        <v>50</v>
      </c>
      <c r="AG201">
        <v>59.612903000000003</v>
      </c>
      <c r="AH201" t="s">
        <v>125</v>
      </c>
      <c r="AI201">
        <v>39.741934999999998</v>
      </c>
      <c r="AJ201">
        <v>50</v>
      </c>
      <c r="AK201" t="s">
        <v>125</v>
      </c>
      <c r="AL201" t="s">
        <v>125</v>
      </c>
      <c r="AM201" t="s">
        <v>125</v>
      </c>
      <c r="AN201">
        <v>0.42341800000000002</v>
      </c>
      <c r="AO201">
        <v>42.341779000000002</v>
      </c>
      <c r="AP201">
        <v>100</v>
      </c>
      <c r="AQ201">
        <v>0.41669699999999998</v>
      </c>
      <c r="AR201">
        <v>41.669651999999999</v>
      </c>
      <c r="AS201">
        <v>100</v>
      </c>
      <c r="AT201">
        <v>0.42871399999999998</v>
      </c>
      <c r="AU201" t="s">
        <v>125</v>
      </c>
      <c r="AV201">
        <v>42.871388000000003</v>
      </c>
      <c r="AW201">
        <v>100</v>
      </c>
      <c r="AX201">
        <v>0.40751199999999999</v>
      </c>
      <c r="AY201" t="s">
        <v>125</v>
      </c>
      <c r="AZ201">
        <v>40.751195000000003</v>
      </c>
      <c r="BA201">
        <v>100</v>
      </c>
      <c r="BB201" t="s">
        <v>125</v>
      </c>
      <c r="BC201" t="s">
        <v>125</v>
      </c>
      <c r="BD201" t="s">
        <v>125</v>
      </c>
      <c r="BE201" t="s">
        <v>125</v>
      </c>
      <c r="BF201" t="s">
        <v>125</v>
      </c>
      <c r="BG201" t="s">
        <v>125</v>
      </c>
      <c r="BH201">
        <v>0</v>
      </c>
      <c r="BI201">
        <v>1</v>
      </c>
      <c r="BJ201">
        <v>1</v>
      </c>
      <c r="BK201" t="s">
        <v>125</v>
      </c>
      <c r="BL201">
        <v>1</v>
      </c>
      <c r="BM201">
        <v>1</v>
      </c>
      <c r="BN201" t="s">
        <v>125</v>
      </c>
      <c r="BO201">
        <v>1</v>
      </c>
      <c r="BP201">
        <v>1</v>
      </c>
      <c r="BQ201" t="s">
        <v>125</v>
      </c>
      <c r="BR201">
        <v>0.12209299999999999</v>
      </c>
      <c r="BS201">
        <v>35.581395000000001</v>
      </c>
      <c r="BT201">
        <v>50</v>
      </c>
      <c r="BU201">
        <v>0.14788699999999999</v>
      </c>
      <c r="BV201">
        <v>30.422535</v>
      </c>
      <c r="BW201">
        <v>50</v>
      </c>
      <c r="BX201" t="s">
        <v>125</v>
      </c>
      <c r="BY201" t="s">
        <v>125</v>
      </c>
      <c r="BZ201" t="s">
        <v>125</v>
      </c>
      <c r="CA201" t="s">
        <v>125</v>
      </c>
      <c r="CB201" t="s">
        <v>125</v>
      </c>
      <c r="CC201" t="s">
        <v>125</v>
      </c>
      <c r="CD201" t="s">
        <v>125</v>
      </c>
      <c r="CE201" t="s">
        <v>125</v>
      </c>
      <c r="CF201" t="s">
        <v>125</v>
      </c>
      <c r="CG201" t="s">
        <v>125</v>
      </c>
      <c r="CH201" t="s">
        <v>125</v>
      </c>
      <c r="CI201" t="s">
        <v>125</v>
      </c>
      <c r="CJ201" t="s">
        <v>125</v>
      </c>
      <c r="CK201" t="s">
        <v>125</v>
      </c>
      <c r="CL201" t="s">
        <v>125</v>
      </c>
      <c r="CM201" t="s">
        <v>125</v>
      </c>
      <c r="CN201" t="s">
        <v>125</v>
      </c>
      <c r="CO201" t="s">
        <v>125</v>
      </c>
      <c r="CP201" t="s">
        <v>125</v>
      </c>
      <c r="CQ201">
        <v>0.58536600000000005</v>
      </c>
      <c r="CR201">
        <v>1</v>
      </c>
      <c r="CS201">
        <v>39.024389999999997</v>
      </c>
      <c r="CT201">
        <v>50</v>
      </c>
      <c r="CU201" t="s">
        <v>125</v>
      </c>
      <c r="CV201" t="s">
        <v>125</v>
      </c>
      <c r="CW201" t="s">
        <v>125</v>
      </c>
      <c r="CX201" t="s">
        <v>125</v>
      </c>
      <c r="CY201" t="s">
        <v>125</v>
      </c>
      <c r="CZ201" t="s">
        <v>125</v>
      </c>
      <c r="DA201">
        <v>15.389535</v>
      </c>
      <c r="DB201">
        <v>17.608319000000002</v>
      </c>
      <c r="DC201">
        <v>16.064022999999999</v>
      </c>
      <c r="DD201" t="s">
        <v>125</v>
      </c>
      <c r="DE201" t="s">
        <v>125</v>
      </c>
      <c r="DJ201" t="s">
        <v>125</v>
      </c>
      <c r="DK201" t="s">
        <v>125</v>
      </c>
      <c r="DL201" t="s">
        <v>125</v>
      </c>
      <c r="DM201" t="s">
        <v>125</v>
      </c>
      <c r="DN201" t="s">
        <v>125</v>
      </c>
      <c r="DO201" t="s">
        <v>125</v>
      </c>
      <c r="DQ201" t="s">
        <v>126</v>
      </c>
    </row>
    <row r="202" spans="1:121" x14ac:dyDescent="0.15">
      <c r="A202">
        <v>2018</v>
      </c>
      <c r="B202" t="s">
        <v>324</v>
      </c>
      <c r="C202" t="str">
        <f>"2960013"</f>
        <v>2960013</v>
      </c>
      <c r="D202" t="s">
        <v>123</v>
      </c>
      <c r="E202" t="str">
        <f t="shared" si="0"/>
        <v>0000000</v>
      </c>
      <c r="F202" t="s">
        <v>123</v>
      </c>
      <c r="G202" t="s">
        <v>123</v>
      </c>
      <c r="H202" t="s">
        <v>123</v>
      </c>
      <c r="J202" t="s">
        <v>124</v>
      </c>
      <c r="K202">
        <v>628.23225600000001</v>
      </c>
      <c r="L202">
        <v>750</v>
      </c>
      <c r="M202">
        <v>83.764301000000003</v>
      </c>
      <c r="N202" t="s">
        <v>125</v>
      </c>
      <c r="O202">
        <v>0</v>
      </c>
      <c r="P202">
        <v>86.921521999999996</v>
      </c>
      <c r="Q202">
        <v>50</v>
      </c>
      <c r="R202">
        <v>50</v>
      </c>
      <c r="S202">
        <v>84.965452999999997</v>
      </c>
      <c r="T202">
        <v>75</v>
      </c>
      <c r="U202">
        <v>50</v>
      </c>
      <c r="V202">
        <v>50</v>
      </c>
      <c r="W202">
        <v>86.071667000000005</v>
      </c>
      <c r="X202">
        <v>50</v>
      </c>
      <c r="Y202">
        <v>50</v>
      </c>
      <c r="Z202">
        <v>75</v>
      </c>
      <c r="AA202">
        <v>83.683981000000003</v>
      </c>
      <c r="AB202">
        <v>50</v>
      </c>
      <c r="AC202">
        <v>50</v>
      </c>
      <c r="AD202" t="s">
        <v>125</v>
      </c>
      <c r="AE202" t="s">
        <v>125</v>
      </c>
      <c r="AF202" t="s">
        <v>125</v>
      </c>
      <c r="AG202" t="s">
        <v>125</v>
      </c>
      <c r="AH202" t="s">
        <v>125</v>
      </c>
      <c r="AI202" t="s">
        <v>125</v>
      </c>
      <c r="AJ202" t="s">
        <v>125</v>
      </c>
      <c r="AK202">
        <v>-9.9600000000000009</v>
      </c>
      <c r="AL202">
        <v>-8.68</v>
      </c>
      <c r="AM202" t="s">
        <v>125</v>
      </c>
      <c r="AN202">
        <v>0.89843700000000004</v>
      </c>
      <c r="AO202">
        <v>89.843736000000007</v>
      </c>
      <c r="AP202">
        <v>100</v>
      </c>
      <c r="AQ202">
        <v>0.74051500000000003</v>
      </c>
      <c r="AR202">
        <v>74.051452999999995</v>
      </c>
      <c r="AS202">
        <v>100</v>
      </c>
      <c r="AT202">
        <v>0.82647000000000004</v>
      </c>
      <c r="AU202" t="s">
        <v>125</v>
      </c>
      <c r="AV202">
        <v>82.646975999999995</v>
      </c>
      <c r="AW202">
        <v>100</v>
      </c>
      <c r="AX202">
        <v>0.65598400000000001</v>
      </c>
      <c r="AY202" t="s">
        <v>125</v>
      </c>
      <c r="AZ202">
        <v>65.598352000000006</v>
      </c>
      <c r="BA202">
        <v>100</v>
      </c>
      <c r="BB202" t="s">
        <v>125</v>
      </c>
      <c r="BC202" t="s">
        <v>125</v>
      </c>
      <c r="BD202" t="s">
        <v>125</v>
      </c>
      <c r="BE202" t="s">
        <v>125</v>
      </c>
      <c r="BF202" t="s">
        <v>125</v>
      </c>
      <c r="BG202" t="s">
        <v>125</v>
      </c>
      <c r="BH202">
        <v>0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 t="s">
        <v>125</v>
      </c>
      <c r="BP202" t="s">
        <v>125</v>
      </c>
      <c r="BQ202" t="s">
        <v>125</v>
      </c>
      <c r="BR202">
        <v>9.5784999999999995E-2</v>
      </c>
      <c r="BS202">
        <v>40.842911999999998</v>
      </c>
      <c r="BT202">
        <v>50</v>
      </c>
      <c r="BU202">
        <v>7.0422999999999999E-2</v>
      </c>
      <c r="BV202">
        <v>45.915492999999998</v>
      </c>
      <c r="BW202">
        <v>50</v>
      </c>
      <c r="BX202" t="s">
        <v>125</v>
      </c>
      <c r="BY202" t="s">
        <v>125</v>
      </c>
      <c r="BZ202" t="s">
        <v>125</v>
      </c>
      <c r="CA202" t="s">
        <v>125</v>
      </c>
      <c r="CB202" t="s">
        <v>125</v>
      </c>
      <c r="CC202" t="s">
        <v>125</v>
      </c>
      <c r="CD202" t="s">
        <v>125</v>
      </c>
      <c r="CE202" t="s">
        <v>125</v>
      </c>
      <c r="CF202" t="s">
        <v>125</v>
      </c>
      <c r="CG202" t="s">
        <v>125</v>
      </c>
      <c r="CH202" t="s">
        <v>125</v>
      </c>
      <c r="CI202" t="s">
        <v>125</v>
      </c>
      <c r="CJ202" t="s">
        <v>125</v>
      </c>
      <c r="CK202" t="s">
        <v>125</v>
      </c>
      <c r="CL202" t="s">
        <v>125</v>
      </c>
      <c r="CM202" t="s">
        <v>125</v>
      </c>
      <c r="CN202" t="s">
        <v>125</v>
      </c>
      <c r="CO202" t="s">
        <v>125</v>
      </c>
      <c r="CP202" t="s">
        <v>125</v>
      </c>
      <c r="CQ202">
        <v>0.44</v>
      </c>
      <c r="CR202">
        <v>0.98039200000000004</v>
      </c>
      <c r="CS202">
        <v>29.333333</v>
      </c>
      <c r="CT202">
        <v>50</v>
      </c>
      <c r="CU202" t="s">
        <v>125</v>
      </c>
      <c r="CV202" t="s">
        <v>125</v>
      </c>
      <c r="CW202" t="s">
        <v>125</v>
      </c>
      <c r="CX202" t="s">
        <v>125</v>
      </c>
      <c r="CY202" t="s">
        <v>125</v>
      </c>
      <c r="CZ202" t="s">
        <v>125</v>
      </c>
      <c r="DA202">
        <v>15.389535</v>
      </c>
      <c r="DB202">
        <v>17.608319000000002</v>
      </c>
      <c r="DC202">
        <v>16.064022999999999</v>
      </c>
      <c r="DD202" t="s">
        <v>125</v>
      </c>
      <c r="DE202" t="s">
        <v>125</v>
      </c>
      <c r="DJ202" t="s">
        <v>125</v>
      </c>
      <c r="DK202" t="s">
        <v>125</v>
      </c>
      <c r="DL202" t="s">
        <v>125</v>
      </c>
      <c r="DM202" t="s">
        <v>125</v>
      </c>
      <c r="DN202" t="s">
        <v>125</v>
      </c>
      <c r="DO202" t="s">
        <v>125</v>
      </c>
      <c r="DQ202" t="s">
        <v>126</v>
      </c>
    </row>
    <row r="203" spans="1:121" x14ac:dyDescent="0.15">
      <c r="A203">
        <v>2018</v>
      </c>
      <c r="B203" t="s">
        <v>325</v>
      </c>
      <c r="C203" t="str">
        <f>"2970013"</f>
        <v>2970013</v>
      </c>
      <c r="D203" t="s">
        <v>123</v>
      </c>
      <c r="E203" t="str">
        <f t="shared" si="0"/>
        <v>0000000</v>
      </c>
      <c r="F203" t="s">
        <v>123</v>
      </c>
      <c r="G203" t="s">
        <v>123</v>
      </c>
      <c r="H203" t="s">
        <v>123</v>
      </c>
      <c r="J203" t="s">
        <v>124</v>
      </c>
      <c r="K203">
        <v>761.48371399999996</v>
      </c>
      <c r="L203">
        <v>1250</v>
      </c>
      <c r="M203">
        <v>60.918697000000002</v>
      </c>
      <c r="N203" t="s">
        <v>125</v>
      </c>
      <c r="O203">
        <v>0</v>
      </c>
      <c r="P203">
        <v>57.136149000000003</v>
      </c>
      <c r="Q203">
        <v>38.090766000000002</v>
      </c>
      <c r="R203">
        <v>50</v>
      </c>
      <c r="S203">
        <v>56.295921</v>
      </c>
      <c r="T203">
        <v>60.902687999999998</v>
      </c>
      <c r="U203">
        <v>37.530614</v>
      </c>
      <c r="V203">
        <v>50</v>
      </c>
      <c r="W203">
        <v>51.671360999999997</v>
      </c>
      <c r="X203">
        <v>34.447574000000003</v>
      </c>
      <c r="Y203">
        <v>50</v>
      </c>
      <c r="Z203">
        <v>54.993409999999997</v>
      </c>
      <c r="AA203">
        <v>50.943064999999997</v>
      </c>
      <c r="AB203">
        <v>33.962043000000001</v>
      </c>
      <c r="AC203">
        <v>50</v>
      </c>
      <c r="AD203">
        <v>53.19623</v>
      </c>
      <c r="AE203">
        <v>35.464153000000003</v>
      </c>
      <c r="AF203">
        <v>50</v>
      </c>
      <c r="AG203">
        <v>51.997228999999997</v>
      </c>
      <c r="AH203">
        <v>57.692484999999998</v>
      </c>
      <c r="AI203">
        <v>34.664819000000001</v>
      </c>
      <c r="AJ203">
        <v>50</v>
      </c>
      <c r="AK203">
        <v>4.5999999999999996</v>
      </c>
      <c r="AL203">
        <v>4.05</v>
      </c>
      <c r="AM203">
        <v>5.69</v>
      </c>
      <c r="AN203">
        <v>0.51252399999999998</v>
      </c>
      <c r="AO203">
        <v>51.252378</v>
      </c>
      <c r="AP203">
        <v>100</v>
      </c>
      <c r="AQ203">
        <v>0.64471500000000004</v>
      </c>
      <c r="AR203">
        <v>64.471486999999996</v>
      </c>
      <c r="AS203">
        <v>100</v>
      </c>
      <c r="AT203">
        <v>0.51894899999999999</v>
      </c>
      <c r="AU203">
        <v>0.48286800000000002</v>
      </c>
      <c r="AV203">
        <v>51.894928999999998</v>
      </c>
      <c r="AW203">
        <v>100</v>
      </c>
      <c r="AX203">
        <v>0.640733</v>
      </c>
      <c r="AY203">
        <v>0.66357600000000005</v>
      </c>
      <c r="AZ203">
        <v>64.073316000000005</v>
      </c>
      <c r="BA203">
        <v>100</v>
      </c>
      <c r="BB203" t="s">
        <v>125</v>
      </c>
      <c r="BC203" t="s">
        <v>125</v>
      </c>
      <c r="BD203" t="s">
        <v>125</v>
      </c>
      <c r="BE203" t="s">
        <v>125</v>
      </c>
      <c r="BF203" t="s">
        <v>125</v>
      </c>
      <c r="BG203" t="s">
        <v>125</v>
      </c>
      <c r="BH203">
        <v>0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0.99280599999999997</v>
      </c>
      <c r="BP203">
        <v>0.99056599999999995</v>
      </c>
      <c r="BQ203">
        <v>1</v>
      </c>
      <c r="BR203">
        <v>0.111481</v>
      </c>
      <c r="BS203">
        <v>37.703826999999997</v>
      </c>
      <c r="BT203">
        <v>50</v>
      </c>
      <c r="BU203">
        <v>0.124736</v>
      </c>
      <c r="BV203">
        <v>35.052854000000004</v>
      </c>
      <c r="BW203">
        <v>50</v>
      </c>
      <c r="BX203">
        <v>0.169014</v>
      </c>
      <c r="BY203">
        <v>11.267606000000001</v>
      </c>
      <c r="BZ203">
        <v>50</v>
      </c>
      <c r="CA203">
        <v>0.140845</v>
      </c>
      <c r="CB203">
        <v>9.3896709999999999</v>
      </c>
      <c r="CC203">
        <v>50</v>
      </c>
      <c r="CD203">
        <v>0.91176500000000005</v>
      </c>
      <c r="CE203">
        <v>48.498123</v>
      </c>
      <c r="CF203">
        <v>50</v>
      </c>
      <c r="CG203">
        <v>0.5625</v>
      </c>
      <c r="CH203">
        <v>59.840426000000001</v>
      </c>
      <c r="CI203">
        <v>100</v>
      </c>
      <c r="CJ203" t="s">
        <v>125</v>
      </c>
      <c r="CK203" t="s">
        <v>125</v>
      </c>
      <c r="CL203" t="s">
        <v>125</v>
      </c>
      <c r="CM203" t="s">
        <v>125</v>
      </c>
      <c r="CN203">
        <v>0.76</v>
      </c>
      <c r="CO203">
        <v>100</v>
      </c>
      <c r="CP203">
        <v>100</v>
      </c>
      <c r="CQ203">
        <v>0.40112999999999999</v>
      </c>
      <c r="CR203">
        <v>0.89393900000000004</v>
      </c>
      <c r="CS203">
        <v>13.370998</v>
      </c>
      <c r="CT203">
        <v>50</v>
      </c>
      <c r="CU203">
        <v>6.0980000000000001E-3</v>
      </c>
      <c r="CV203">
        <v>0.50812999999999997</v>
      </c>
      <c r="CW203">
        <v>50</v>
      </c>
      <c r="CX203" t="s">
        <v>125</v>
      </c>
      <c r="CY203" t="s">
        <v>125</v>
      </c>
      <c r="CZ203" t="s">
        <v>125</v>
      </c>
      <c r="DA203">
        <v>15.389535</v>
      </c>
      <c r="DB203">
        <v>17.608319000000002</v>
      </c>
      <c r="DC203">
        <v>16.064022999999999</v>
      </c>
      <c r="DD203" t="s">
        <v>125</v>
      </c>
      <c r="DE203" t="s">
        <v>125</v>
      </c>
      <c r="DJ203" t="s">
        <v>125</v>
      </c>
      <c r="DK203" t="s">
        <v>125</v>
      </c>
      <c r="DL203" t="s">
        <v>125</v>
      </c>
      <c r="DM203" t="s">
        <v>125</v>
      </c>
      <c r="DN203" t="s">
        <v>125</v>
      </c>
      <c r="DO203" t="s">
        <v>125</v>
      </c>
      <c r="DQ203" t="s">
        <v>126</v>
      </c>
    </row>
    <row r="204" spans="1:121" x14ac:dyDescent="0.15">
      <c r="A204">
        <v>2018</v>
      </c>
      <c r="B204" t="s">
        <v>326</v>
      </c>
      <c r="C204" t="str">
        <f>"3360015"</f>
        <v>3360015</v>
      </c>
      <c r="D204" t="s">
        <v>123</v>
      </c>
      <c r="E204" t="str">
        <f t="shared" si="0"/>
        <v>0000000</v>
      </c>
      <c r="F204" t="s">
        <v>123</v>
      </c>
      <c r="G204" t="s">
        <v>123</v>
      </c>
      <c r="H204" t="s">
        <v>123</v>
      </c>
      <c r="J204" t="s">
        <v>124</v>
      </c>
      <c r="K204">
        <v>91.946134000000001</v>
      </c>
      <c r="L204">
        <v>550</v>
      </c>
      <c r="M204">
        <v>16.717479000000001</v>
      </c>
      <c r="N204" t="s">
        <v>125</v>
      </c>
      <c r="O204" t="s">
        <v>125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125</v>
      </c>
      <c r="AB204" t="s">
        <v>125</v>
      </c>
      <c r="AC204" t="s">
        <v>125</v>
      </c>
      <c r="AD204" t="s">
        <v>125</v>
      </c>
      <c r="AE204" t="s">
        <v>125</v>
      </c>
      <c r="AF204" t="s">
        <v>125</v>
      </c>
      <c r="AG204" t="s">
        <v>125</v>
      </c>
      <c r="AH204" t="s">
        <v>125</v>
      </c>
      <c r="AI204" t="s">
        <v>125</v>
      </c>
      <c r="AJ204" t="s">
        <v>125</v>
      </c>
      <c r="AK204" t="s">
        <v>125</v>
      </c>
      <c r="AL204" t="s">
        <v>125</v>
      </c>
      <c r="AM204" t="s">
        <v>125</v>
      </c>
      <c r="AN204" t="s">
        <v>125</v>
      </c>
      <c r="AO204" t="s">
        <v>125</v>
      </c>
      <c r="AP204" t="s">
        <v>125</v>
      </c>
      <c r="AQ204" t="s">
        <v>125</v>
      </c>
      <c r="AR204" t="s">
        <v>125</v>
      </c>
      <c r="AS204" t="s">
        <v>125</v>
      </c>
      <c r="AT204" t="s">
        <v>125</v>
      </c>
      <c r="AU204" t="s">
        <v>125</v>
      </c>
      <c r="AV204" t="s">
        <v>125</v>
      </c>
      <c r="AW204" t="s">
        <v>125</v>
      </c>
      <c r="AX204" t="s">
        <v>125</v>
      </c>
      <c r="AY204" t="s">
        <v>125</v>
      </c>
      <c r="AZ204" t="s">
        <v>125</v>
      </c>
      <c r="BA204" t="s">
        <v>125</v>
      </c>
      <c r="BB204" t="s">
        <v>125</v>
      </c>
      <c r="BC204" t="s">
        <v>125</v>
      </c>
      <c r="BD204" t="s">
        <v>125</v>
      </c>
      <c r="BE204" t="s">
        <v>125</v>
      </c>
      <c r="BF204" t="s">
        <v>125</v>
      </c>
      <c r="BG204" t="s">
        <v>125</v>
      </c>
      <c r="BH204" t="s">
        <v>125</v>
      </c>
      <c r="BI204" t="s">
        <v>125</v>
      </c>
      <c r="BJ204" t="s">
        <v>125</v>
      </c>
      <c r="BK204" t="s">
        <v>125</v>
      </c>
      <c r="BL204" t="s">
        <v>125</v>
      </c>
      <c r="BM204" t="s">
        <v>125</v>
      </c>
      <c r="BN204" t="s">
        <v>125</v>
      </c>
      <c r="BO204" t="s">
        <v>125</v>
      </c>
      <c r="BP204" t="s">
        <v>125</v>
      </c>
      <c r="BQ204" t="s">
        <v>125</v>
      </c>
      <c r="BR204">
        <v>8.7248000000000006E-2</v>
      </c>
      <c r="BS204">
        <v>42.550336000000001</v>
      </c>
      <c r="BT204">
        <v>50</v>
      </c>
      <c r="BU204">
        <v>8.7248000000000006E-2</v>
      </c>
      <c r="BV204">
        <v>42.550336000000001</v>
      </c>
      <c r="BW204">
        <v>50</v>
      </c>
      <c r="BX204">
        <v>0</v>
      </c>
      <c r="BY204">
        <v>0</v>
      </c>
      <c r="BZ204">
        <v>50</v>
      </c>
      <c r="CA204" t="s">
        <v>125</v>
      </c>
      <c r="CB204" t="s">
        <v>125</v>
      </c>
      <c r="CC204">
        <v>50</v>
      </c>
      <c r="CD204">
        <v>1.5873000000000002E-2</v>
      </c>
      <c r="CE204">
        <v>0.84430899999999998</v>
      </c>
      <c r="CF204">
        <v>50</v>
      </c>
      <c r="CG204">
        <v>1.8475999999999999E-2</v>
      </c>
      <c r="CH204">
        <v>1.9655050000000001</v>
      </c>
      <c r="CI204">
        <v>100</v>
      </c>
      <c r="CJ204">
        <v>0</v>
      </c>
      <c r="CK204">
        <v>3.1863000000000002E-2</v>
      </c>
      <c r="CL204">
        <v>3.3896540000000002</v>
      </c>
      <c r="CM204">
        <v>100</v>
      </c>
      <c r="CN204" t="s">
        <v>125</v>
      </c>
      <c r="CO204" t="s">
        <v>125</v>
      </c>
      <c r="CP204" t="s">
        <v>125</v>
      </c>
      <c r="CQ204" t="s">
        <v>125</v>
      </c>
      <c r="CR204" t="s">
        <v>125</v>
      </c>
      <c r="CS204">
        <v>0</v>
      </c>
      <c r="CT204">
        <v>50</v>
      </c>
      <c r="CU204">
        <v>7.7520000000000002E-3</v>
      </c>
      <c r="CV204">
        <v>0.64599499999999999</v>
      </c>
      <c r="CW204">
        <v>50</v>
      </c>
      <c r="CX204">
        <v>3.1863000000000002E-2</v>
      </c>
      <c r="CY204" t="s">
        <v>125</v>
      </c>
      <c r="CZ204" t="s">
        <v>125</v>
      </c>
      <c r="DA204" t="s">
        <v>125</v>
      </c>
      <c r="DB204" t="s">
        <v>125</v>
      </c>
      <c r="DC204" t="s">
        <v>125</v>
      </c>
      <c r="DD204">
        <v>11.115401</v>
      </c>
      <c r="DE204" t="s">
        <v>125</v>
      </c>
      <c r="DJ204" t="s">
        <v>125</v>
      </c>
      <c r="DK204" t="s">
        <v>125</v>
      </c>
      <c r="DL204" t="s">
        <v>125</v>
      </c>
      <c r="DM204" t="s">
        <v>125</v>
      </c>
      <c r="DN204" t="s">
        <v>125</v>
      </c>
      <c r="DO204" t="s">
        <v>125</v>
      </c>
      <c r="DQ204" t="s">
        <v>126</v>
      </c>
    </row>
    <row r="205" spans="1:121" x14ac:dyDescent="0.15">
      <c r="A205">
        <v>2018</v>
      </c>
      <c r="B205" t="s">
        <v>232</v>
      </c>
      <c r="C205" t="str">
        <f>"0010011"</f>
        <v>0010011</v>
      </c>
      <c r="D205" t="s">
        <v>327</v>
      </c>
      <c r="E205" t="str">
        <f>"0010111"</f>
        <v>0010111</v>
      </c>
      <c r="F205" t="s">
        <v>328</v>
      </c>
      <c r="G205" t="s">
        <v>329</v>
      </c>
      <c r="H205">
        <v>6</v>
      </c>
      <c r="I205" t="s">
        <v>330</v>
      </c>
      <c r="J205" t="s">
        <v>331</v>
      </c>
      <c r="K205">
        <v>547.29150100000004</v>
      </c>
      <c r="L205">
        <v>600</v>
      </c>
      <c r="M205">
        <v>91.215249999999997</v>
      </c>
      <c r="N205">
        <v>1</v>
      </c>
      <c r="O205">
        <v>0</v>
      </c>
      <c r="P205">
        <v>80.988783999999995</v>
      </c>
      <c r="Q205">
        <v>50</v>
      </c>
      <c r="R205">
        <v>50</v>
      </c>
      <c r="S205">
        <v>75.642657</v>
      </c>
      <c r="T205">
        <v>75</v>
      </c>
      <c r="U205">
        <v>50</v>
      </c>
      <c r="V205">
        <v>50</v>
      </c>
      <c r="W205">
        <v>76.521275000000003</v>
      </c>
      <c r="X205">
        <v>50</v>
      </c>
      <c r="Y205">
        <v>50</v>
      </c>
      <c r="Z205">
        <v>75</v>
      </c>
      <c r="AA205">
        <v>76.488281000000001</v>
      </c>
      <c r="AB205">
        <v>50</v>
      </c>
      <c r="AC205">
        <v>50</v>
      </c>
      <c r="AD205">
        <v>79.152361999999997</v>
      </c>
      <c r="AE205">
        <v>50</v>
      </c>
      <c r="AF205">
        <v>50</v>
      </c>
      <c r="AG205" t="s">
        <v>125</v>
      </c>
      <c r="AH205" t="s">
        <v>125</v>
      </c>
      <c r="AI205" t="s">
        <v>125</v>
      </c>
      <c r="AJ205" t="s">
        <v>125</v>
      </c>
      <c r="AK205">
        <v>-0.64</v>
      </c>
      <c r="AL205">
        <v>-1.48</v>
      </c>
      <c r="AM205" t="s">
        <v>125</v>
      </c>
      <c r="AN205">
        <v>0.74586699999999995</v>
      </c>
      <c r="AO205">
        <v>74.586729000000005</v>
      </c>
      <c r="AP205">
        <v>100</v>
      </c>
      <c r="AQ205">
        <v>0.73725200000000002</v>
      </c>
      <c r="AR205">
        <v>73.725178999999997</v>
      </c>
      <c r="AS205">
        <v>100</v>
      </c>
      <c r="AT205" t="s">
        <v>125</v>
      </c>
      <c r="AU205">
        <v>0.79736200000000002</v>
      </c>
      <c r="AV205" t="s">
        <v>125</v>
      </c>
      <c r="AW205" t="s">
        <v>125</v>
      </c>
      <c r="AX205" t="s">
        <v>125</v>
      </c>
      <c r="AY205">
        <v>0.74237399999999998</v>
      </c>
      <c r="AZ205" t="s">
        <v>125</v>
      </c>
      <c r="BA205" t="s">
        <v>125</v>
      </c>
      <c r="BB205" t="s">
        <v>125</v>
      </c>
      <c r="BC205" t="s">
        <v>125</v>
      </c>
      <c r="BD205" t="s">
        <v>125</v>
      </c>
      <c r="BE205" t="s">
        <v>125</v>
      </c>
      <c r="BF205" t="s">
        <v>125</v>
      </c>
      <c r="BG205" t="s">
        <v>125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 t="s">
        <v>125</v>
      </c>
      <c r="BQ205" t="s">
        <v>125</v>
      </c>
      <c r="BR205">
        <v>1.2739E-2</v>
      </c>
      <c r="BS205">
        <v>50</v>
      </c>
      <c r="BT205">
        <v>50</v>
      </c>
      <c r="BU205">
        <v>2.3810000000000001E-2</v>
      </c>
      <c r="BV205">
        <v>50</v>
      </c>
      <c r="BW205">
        <v>50</v>
      </c>
      <c r="BX205" t="s">
        <v>125</v>
      </c>
      <c r="BY205" t="s">
        <v>125</v>
      </c>
      <c r="BZ205" t="s">
        <v>125</v>
      </c>
      <c r="CA205" t="s">
        <v>125</v>
      </c>
      <c r="CB205" t="s">
        <v>125</v>
      </c>
      <c r="CC205" t="s">
        <v>125</v>
      </c>
      <c r="CD205" t="s">
        <v>125</v>
      </c>
      <c r="CE205" t="s">
        <v>125</v>
      </c>
      <c r="CF205" t="s">
        <v>125</v>
      </c>
      <c r="CG205" t="s">
        <v>125</v>
      </c>
      <c r="CH205" t="s">
        <v>125</v>
      </c>
      <c r="CI205" t="s">
        <v>125</v>
      </c>
      <c r="CJ205" t="s">
        <v>125</v>
      </c>
      <c r="CK205" t="s">
        <v>125</v>
      </c>
      <c r="CL205" t="s">
        <v>125</v>
      </c>
      <c r="CM205" t="s">
        <v>125</v>
      </c>
      <c r="CN205" t="s">
        <v>125</v>
      </c>
      <c r="CO205" t="s">
        <v>125</v>
      </c>
      <c r="CP205" t="s">
        <v>125</v>
      </c>
      <c r="CQ205">
        <v>0.73469399999999996</v>
      </c>
      <c r="CR205">
        <v>1</v>
      </c>
      <c r="CS205">
        <v>48.979591999999997</v>
      </c>
      <c r="CT205">
        <v>50</v>
      </c>
      <c r="CU205" t="s">
        <v>125</v>
      </c>
      <c r="CV205" t="s">
        <v>125</v>
      </c>
      <c r="CW205" t="s">
        <v>125</v>
      </c>
      <c r="CX205" t="s">
        <v>125</v>
      </c>
      <c r="CY205" t="s">
        <v>125</v>
      </c>
      <c r="CZ205" t="s">
        <v>125</v>
      </c>
      <c r="DA205">
        <v>15.314097</v>
      </c>
      <c r="DB205">
        <v>17.400950000000002</v>
      </c>
      <c r="DC205">
        <v>16.332519999999999</v>
      </c>
      <c r="DD205" t="s">
        <v>125</v>
      </c>
      <c r="DE205">
        <v>0</v>
      </c>
      <c r="DH205" t="s">
        <v>332</v>
      </c>
      <c r="DI205" t="s">
        <v>333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Q205" t="s">
        <v>126</v>
      </c>
    </row>
    <row r="206" spans="1:121" x14ac:dyDescent="0.15">
      <c r="A206">
        <v>2018</v>
      </c>
      <c r="B206" t="s">
        <v>233</v>
      </c>
      <c r="C206" t="str">
        <f>"0020011"</f>
        <v>0020011</v>
      </c>
      <c r="D206" t="s">
        <v>334</v>
      </c>
      <c r="E206" t="str">
        <f>"0026111"</f>
        <v>0026111</v>
      </c>
      <c r="F206" t="s">
        <v>328</v>
      </c>
      <c r="G206">
        <v>9</v>
      </c>
      <c r="H206">
        <v>12</v>
      </c>
      <c r="J206" t="s">
        <v>331</v>
      </c>
      <c r="K206">
        <v>953.56332399999997</v>
      </c>
      <c r="L206">
        <v>1450</v>
      </c>
      <c r="M206">
        <v>65.762988000000007</v>
      </c>
      <c r="N206">
        <v>3</v>
      </c>
      <c r="O206">
        <v>0</v>
      </c>
      <c r="P206">
        <v>49.567402000000001</v>
      </c>
      <c r="Q206">
        <v>99.134804000000003</v>
      </c>
      <c r="R206">
        <v>150</v>
      </c>
      <c r="S206">
        <v>46.231884000000001</v>
      </c>
      <c r="T206">
        <v>56.541666999999997</v>
      </c>
      <c r="U206">
        <v>92.463768000000002</v>
      </c>
      <c r="V206">
        <v>150</v>
      </c>
      <c r="W206">
        <v>44.674019999999999</v>
      </c>
      <c r="X206">
        <v>89.348039</v>
      </c>
      <c r="Y206">
        <v>150</v>
      </c>
      <c r="Z206">
        <v>49.583333000000003</v>
      </c>
      <c r="AA206">
        <v>42.326087000000001</v>
      </c>
      <c r="AB206">
        <v>84.652174000000002</v>
      </c>
      <c r="AC206">
        <v>150</v>
      </c>
      <c r="AD206">
        <v>52.262887999999997</v>
      </c>
      <c r="AE206">
        <v>69.683850000000007</v>
      </c>
      <c r="AF206">
        <v>100</v>
      </c>
      <c r="AG206">
        <v>50.052495999999998</v>
      </c>
      <c r="AH206">
        <v>56.884614999999997</v>
      </c>
      <c r="AI206">
        <v>66.736661999999995</v>
      </c>
      <c r="AJ206">
        <v>100</v>
      </c>
      <c r="AK206">
        <v>10.3</v>
      </c>
      <c r="AL206">
        <v>7.25</v>
      </c>
      <c r="AM206">
        <v>6.83</v>
      </c>
      <c r="AN206" t="s">
        <v>125</v>
      </c>
      <c r="AO206" t="s">
        <v>125</v>
      </c>
      <c r="AP206" t="s">
        <v>125</v>
      </c>
      <c r="AQ206" t="s">
        <v>125</v>
      </c>
      <c r="AR206" t="s">
        <v>125</v>
      </c>
      <c r="AS206" t="s">
        <v>125</v>
      </c>
      <c r="AT206" t="s">
        <v>125</v>
      </c>
      <c r="AU206" t="s">
        <v>125</v>
      </c>
      <c r="AV206" t="s">
        <v>125</v>
      </c>
      <c r="AW206" t="s">
        <v>125</v>
      </c>
      <c r="AX206" t="s">
        <v>125</v>
      </c>
      <c r="AY206" t="s">
        <v>125</v>
      </c>
      <c r="AZ206" t="s">
        <v>125</v>
      </c>
      <c r="BA206" t="s">
        <v>125</v>
      </c>
      <c r="BB206" t="s">
        <v>125</v>
      </c>
      <c r="BC206" t="s">
        <v>125</v>
      </c>
      <c r="BD206" t="s">
        <v>125</v>
      </c>
      <c r="BE206" t="s">
        <v>125</v>
      </c>
      <c r="BF206" t="s">
        <v>125</v>
      </c>
      <c r="BG206" t="s">
        <v>125</v>
      </c>
      <c r="BH206">
        <v>0</v>
      </c>
      <c r="BI206">
        <v>0.98620699999999994</v>
      </c>
      <c r="BJ206">
        <v>0.97979799999999995</v>
      </c>
      <c r="BK206">
        <v>1</v>
      </c>
      <c r="BL206">
        <v>0.98620699999999994</v>
      </c>
      <c r="BM206">
        <v>0.97979799999999995</v>
      </c>
      <c r="BN206">
        <v>1</v>
      </c>
      <c r="BO206">
        <v>0.99315100000000001</v>
      </c>
      <c r="BP206">
        <v>0.99</v>
      </c>
      <c r="BQ206">
        <v>1</v>
      </c>
      <c r="BR206">
        <v>0.25673200000000002</v>
      </c>
      <c r="BS206">
        <v>8.6535010000000003</v>
      </c>
      <c r="BT206">
        <v>50</v>
      </c>
      <c r="BU206">
        <v>0.32394400000000001</v>
      </c>
      <c r="BV206">
        <v>0</v>
      </c>
      <c r="BW206">
        <v>50</v>
      </c>
      <c r="BX206">
        <v>0.76351400000000003</v>
      </c>
      <c r="BY206">
        <v>50</v>
      </c>
      <c r="BZ206">
        <v>50</v>
      </c>
      <c r="CA206">
        <v>0.23986499999999999</v>
      </c>
      <c r="CB206">
        <v>15.990990999999999</v>
      </c>
      <c r="CC206">
        <v>50</v>
      </c>
      <c r="CD206">
        <v>0.92500000000000004</v>
      </c>
      <c r="CE206">
        <v>49.202128000000002</v>
      </c>
      <c r="CF206">
        <v>50</v>
      </c>
      <c r="CG206">
        <v>0.93616999999999995</v>
      </c>
      <c r="CH206">
        <v>99.592575999999994</v>
      </c>
      <c r="CI206">
        <v>100</v>
      </c>
      <c r="CJ206">
        <v>0</v>
      </c>
      <c r="CK206">
        <v>0.91764699999999999</v>
      </c>
      <c r="CL206">
        <v>97.622028</v>
      </c>
      <c r="CM206">
        <v>100</v>
      </c>
      <c r="CN206">
        <v>0.492647</v>
      </c>
      <c r="CO206">
        <v>65.686274999999995</v>
      </c>
      <c r="CP206">
        <v>100</v>
      </c>
      <c r="CQ206">
        <v>0.80208299999999999</v>
      </c>
      <c r="CR206">
        <v>0.88888900000000004</v>
      </c>
      <c r="CS206">
        <v>25</v>
      </c>
      <c r="CT206">
        <v>50</v>
      </c>
      <c r="CU206">
        <v>0.47755799999999998</v>
      </c>
      <c r="CV206">
        <v>39.796529</v>
      </c>
      <c r="CW206">
        <v>50</v>
      </c>
      <c r="CX206">
        <v>0.91764699999999999</v>
      </c>
      <c r="CY206">
        <v>0.94</v>
      </c>
      <c r="CZ206">
        <v>2.2353000000000001E-2</v>
      </c>
      <c r="DA206">
        <v>15.314097</v>
      </c>
      <c r="DB206">
        <v>17.400950000000002</v>
      </c>
      <c r="DC206">
        <v>16.332519999999999</v>
      </c>
      <c r="DD206">
        <v>7.9891730000000001</v>
      </c>
      <c r="DE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Q206" t="s">
        <v>126</v>
      </c>
    </row>
    <row r="207" spans="1:121" x14ac:dyDescent="0.15">
      <c r="A207">
        <v>2018</v>
      </c>
      <c r="B207" t="s">
        <v>233</v>
      </c>
      <c r="C207" t="str">
        <f>"0020011"</f>
        <v>0020011</v>
      </c>
      <c r="D207" t="s">
        <v>335</v>
      </c>
      <c r="E207" t="str">
        <f>"0025111"</f>
        <v>0025111</v>
      </c>
      <c r="F207" t="s">
        <v>328</v>
      </c>
      <c r="G207">
        <v>7</v>
      </c>
      <c r="H207">
        <v>8</v>
      </c>
      <c r="I207" t="s">
        <v>336</v>
      </c>
      <c r="J207" t="s">
        <v>331</v>
      </c>
      <c r="K207">
        <v>532.29016899999999</v>
      </c>
      <c r="L207">
        <v>900</v>
      </c>
      <c r="M207">
        <v>59.143352</v>
      </c>
      <c r="N207">
        <v>3</v>
      </c>
      <c r="O207">
        <v>0</v>
      </c>
      <c r="P207">
        <v>57.663502999999999</v>
      </c>
      <c r="Q207">
        <v>38.442335</v>
      </c>
      <c r="R207">
        <v>50</v>
      </c>
      <c r="S207">
        <v>53.833694999999999</v>
      </c>
      <c r="T207">
        <v>67.535898000000003</v>
      </c>
      <c r="U207">
        <v>35.889130000000002</v>
      </c>
      <c r="V207">
        <v>50</v>
      </c>
      <c r="W207">
        <v>49.324263999999999</v>
      </c>
      <c r="X207">
        <v>32.882843000000001</v>
      </c>
      <c r="Y207">
        <v>50</v>
      </c>
      <c r="Z207">
        <v>59.076273</v>
      </c>
      <c r="AA207">
        <v>45.50826</v>
      </c>
      <c r="AB207">
        <v>30.338840000000001</v>
      </c>
      <c r="AC207">
        <v>50</v>
      </c>
      <c r="AD207">
        <v>53.055548999999999</v>
      </c>
      <c r="AE207">
        <v>35.370365999999997</v>
      </c>
      <c r="AF207">
        <v>50</v>
      </c>
      <c r="AG207">
        <v>49.534027999999999</v>
      </c>
      <c r="AH207">
        <v>61.629685000000002</v>
      </c>
      <c r="AI207">
        <v>33.022686</v>
      </c>
      <c r="AJ207">
        <v>50</v>
      </c>
      <c r="AK207">
        <v>13.7</v>
      </c>
      <c r="AL207">
        <v>13.56</v>
      </c>
      <c r="AM207">
        <v>12.09</v>
      </c>
      <c r="AN207">
        <v>0.52972900000000001</v>
      </c>
      <c r="AO207">
        <v>52.972890999999997</v>
      </c>
      <c r="AP207">
        <v>100</v>
      </c>
      <c r="AQ207">
        <v>0.37503199999999998</v>
      </c>
      <c r="AR207">
        <v>37.503203999999997</v>
      </c>
      <c r="AS207">
        <v>100</v>
      </c>
      <c r="AT207">
        <v>0.50098900000000002</v>
      </c>
      <c r="AU207">
        <v>0.60141699999999998</v>
      </c>
      <c r="AV207">
        <v>50.098896000000003</v>
      </c>
      <c r="AW207">
        <v>100</v>
      </c>
      <c r="AX207">
        <v>0.338167</v>
      </c>
      <c r="AY207">
        <v>0.46657399999999999</v>
      </c>
      <c r="AZ207">
        <v>33.816676999999999</v>
      </c>
      <c r="BA207">
        <v>100</v>
      </c>
      <c r="BB207" t="s">
        <v>125</v>
      </c>
      <c r="BC207" t="s">
        <v>125</v>
      </c>
      <c r="BD207" t="s">
        <v>125</v>
      </c>
      <c r="BE207" t="s">
        <v>125</v>
      </c>
      <c r="BF207" t="s">
        <v>125</v>
      </c>
      <c r="BG207" t="s">
        <v>125</v>
      </c>
      <c r="BH207">
        <v>0</v>
      </c>
      <c r="BI207">
        <v>0.98843899999999996</v>
      </c>
      <c r="BJ207">
        <v>0.98425200000000002</v>
      </c>
      <c r="BK207">
        <v>1</v>
      </c>
      <c r="BL207">
        <v>0.98265899999999995</v>
      </c>
      <c r="BM207">
        <v>0.97637799999999997</v>
      </c>
      <c r="BN207">
        <v>1</v>
      </c>
      <c r="BO207">
        <v>0.96531800000000001</v>
      </c>
      <c r="BP207">
        <v>0.96</v>
      </c>
      <c r="BQ207">
        <v>0.97916700000000001</v>
      </c>
      <c r="BR207">
        <v>0.150725</v>
      </c>
      <c r="BS207">
        <v>29.855072</v>
      </c>
      <c r="BT207">
        <v>50</v>
      </c>
      <c r="BU207">
        <v>0.18577099999999999</v>
      </c>
      <c r="BV207">
        <v>22.845849999999999</v>
      </c>
      <c r="BW207">
        <v>50</v>
      </c>
      <c r="BX207" t="s">
        <v>125</v>
      </c>
      <c r="BY207" t="s">
        <v>125</v>
      </c>
      <c r="BZ207" t="s">
        <v>125</v>
      </c>
      <c r="CA207" t="s">
        <v>125</v>
      </c>
      <c r="CB207" t="s">
        <v>125</v>
      </c>
      <c r="CC207" t="s">
        <v>125</v>
      </c>
      <c r="CD207">
        <v>0.92592600000000003</v>
      </c>
      <c r="CE207">
        <v>49.251379</v>
      </c>
      <c r="CF207">
        <v>50</v>
      </c>
      <c r="CG207" t="s">
        <v>125</v>
      </c>
      <c r="CH207" t="s">
        <v>125</v>
      </c>
      <c r="CI207" t="s">
        <v>125</v>
      </c>
      <c r="CJ207" t="s">
        <v>125</v>
      </c>
      <c r="CK207" t="s">
        <v>125</v>
      </c>
      <c r="CL207" t="s">
        <v>125</v>
      </c>
      <c r="CM207" t="s">
        <v>125</v>
      </c>
      <c r="CN207" t="s">
        <v>125</v>
      </c>
      <c r="CO207" t="s">
        <v>125</v>
      </c>
      <c r="CP207" t="s">
        <v>125</v>
      </c>
      <c r="CQ207">
        <v>0.75739599999999996</v>
      </c>
      <c r="CR207">
        <v>0.97687900000000005</v>
      </c>
      <c r="CS207">
        <v>50</v>
      </c>
      <c r="CT207">
        <v>50</v>
      </c>
      <c r="CU207" t="s">
        <v>125</v>
      </c>
      <c r="CV207" t="s">
        <v>125</v>
      </c>
      <c r="CW207" t="s">
        <v>125</v>
      </c>
      <c r="CX207" t="s">
        <v>125</v>
      </c>
      <c r="CY207" t="s">
        <v>125</v>
      </c>
      <c r="CZ207" t="s">
        <v>125</v>
      </c>
      <c r="DA207">
        <v>15.314097</v>
      </c>
      <c r="DB207">
        <v>17.400950000000002</v>
      </c>
      <c r="DC207">
        <v>16.332519999999999</v>
      </c>
      <c r="DD207" t="s">
        <v>125</v>
      </c>
      <c r="DE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Q207" t="s">
        <v>126</v>
      </c>
    </row>
    <row r="208" spans="1:121" x14ac:dyDescent="0.15">
      <c r="A208">
        <v>2018</v>
      </c>
      <c r="B208" t="s">
        <v>233</v>
      </c>
      <c r="C208" t="str">
        <f>"0020011"</f>
        <v>0020011</v>
      </c>
      <c r="D208" t="s">
        <v>337</v>
      </c>
      <c r="E208" t="str">
        <f>"0020311"</f>
        <v>0020311</v>
      </c>
      <c r="F208" t="s">
        <v>328</v>
      </c>
      <c r="G208" t="s">
        <v>329</v>
      </c>
      <c r="H208">
        <v>6</v>
      </c>
      <c r="I208" t="s">
        <v>336</v>
      </c>
      <c r="J208" t="s">
        <v>331</v>
      </c>
      <c r="K208">
        <v>578.61442899999997</v>
      </c>
      <c r="L208">
        <v>950</v>
      </c>
      <c r="M208">
        <v>60.906782</v>
      </c>
      <c r="N208">
        <v>3</v>
      </c>
      <c r="O208">
        <v>0</v>
      </c>
      <c r="P208">
        <v>60.452772000000003</v>
      </c>
      <c r="Q208">
        <v>40.301848</v>
      </c>
      <c r="R208">
        <v>50</v>
      </c>
      <c r="S208">
        <v>57.881348000000003</v>
      </c>
      <c r="T208">
        <v>69.161330000000007</v>
      </c>
      <c r="U208">
        <v>38.587564999999998</v>
      </c>
      <c r="V208">
        <v>50</v>
      </c>
      <c r="W208">
        <v>56.103389999999997</v>
      </c>
      <c r="X208">
        <v>37.402259999999998</v>
      </c>
      <c r="Y208">
        <v>50</v>
      </c>
      <c r="Z208">
        <v>65.594441000000003</v>
      </c>
      <c r="AA208">
        <v>53.300913999999999</v>
      </c>
      <c r="AB208">
        <v>35.533943000000001</v>
      </c>
      <c r="AC208">
        <v>50</v>
      </c>
      <c r="AD208">
        <v>57.070131000000003</v>
      </c>
      <c r="AE208">
        <v>38.046754</v>
      </c>
      <c r="AF208">
        <v>50</v>
      </c>
      <c r="AG208">
        <v>54.782257999999999</v>
      </c>
      <c r="AH208" t="s">
        <v>125</v>
      </c>
      <c r="AI208">
        <v>36.521504999999998</v>
      </c>
      <c r="AJ208">
        <v>50</v>
      </c>
      <c r="AK208">
        <v>11.27</v>
      </c>
      <c r="AL208">
        <v>12.29</v>
      </c>
      <c r="AM208" t="s">
        <v>125</v>
      </c>
      <c r="AN208">
        <v>0.40052700000000002</v>
      </c>
      <c r="AO208">
        <v>40.052697000000002</v>
      </c>
      <c r="AP208">
        <v>100</v>
      </c>
      <c r="AQ208">
        <v>0.397285</v>
      </c>
      <c r="AR208">
        <v>39.728471999999996</v>
      </c>
      <c r="AS208">
        <v>100</v>
      </c>
      <c r="AT208">
        <v>0.39560899999999999</v>
      </c>
      <c r="AU208">
        <v>0.41520000000000001</v>
      </c>
      <c r="AV208">
        <v>39.560851999999997</v>
      </c>
      <c r="AW208">
        <v>100</v>
      </c>
      <c r="AX208">
        <v>0.39197399999999999</v>
      </c>
      <c r="AY208">
        <v>0.41312900000000002</v>
      </c>
      <c r="AZ208">
        <v>39.197383000000002</v>
      </c>
      <c r="BA208">
        <v>100</v>
      </c>
      <c r="BB208">
        <v>0.79703599999999997</v>
      </c>
      <c r="BC208">
        <v>39.851779000000001</v>
      </c>
      <c r="BD208">
        <v>50</v>
      </c>
      <c r="BE208">
        <v>0.68109799999999998</v>
      </c>
      <c r="BF208">
        <v>34.054918000000001</v>
      </c>
      <c r="BG208">
        <v>50</v>
      </c>
      <c r="BH208">
        <v>0</v>
      </c>
      <c r="BI208">
        <v>0.99719100000000005</v>
      </c>
      <c r="BJ208">
        <v>0.99640300000000004</v>
      </c>
      <c r="BK208">
        <v>1</v>
      </c>
      <c r="BL208">
        <v>0.99719100000000005</v>
      </c>
      <c r="BM208">
        <v>0.99640300000000004</v>
      </c>
      <c r="BN208">
        <v>1</v>
      </c>
      <c r="BO208">
        <v>0.98863599999999996</v>
      </c>
      <c r="BP208">
        <v>0.98666699999999996</v>
      </c>
      <c r="BQ208" t="s">
        <v>125</v>
      </c>
      <c r="BR208">
        <v>0.10673199999999999</v>
      </c>
      <c r="BS208">
        <v>38.653530000000003</v>
      </c>
      <c r="BT208">
        <v>50</v>
      </c>
      <c r="BU208">
        <v>0.12903200000000001</v>
      </c>
      <c r="BV208">
        <v>34.193548</v>
      </c>
      <c r="BW208">
        <v>50</v>
      </c>
      <c r="BX208" t="s">
        <v>125</v>
      </c>
      <c r="BY208" t="s">
        <v>125</v>
      </c>
      <c r="BZ208" t="s">
        <v>125</v>
      </c>
      <c r="CA208" t="s">
        <v>125</v>
      </c>
      <c r="CB208" t="s">
        <v>125</v>
      </c>
      <c r="CC208" t="s">
        <v>125</v>
      </c>
      <c r="CD208" t="s">
        <v>125</v>
      </c>
      <c r="CE208" t="s">
        <v>125</v>
      </c>
      <c r="CF208" t="s">
        <v>125</v>
      </c>
      <c r="CG208" t="s">
        <v>125</v>
      </c>
      <c r="CH208" t="s">
        <v>125</v>
      </c>
      <c r="CI208" t="s">
        <v>125</v>
      </c>
      <c r="CJ208" t="s">
        <v>125</v>
      </c>
      <c r="CK208" t="s">
        <v>125</v>
      </c>
      <c r="CL208" t="s">
        <v>125</v>
      </c>
      <c r="CM208" t="s">
        <v>125</v>
      </c>
      <c r="CN208" t="s">
        <v>125</v>
      </c>
      <c r="CO208" t="s">
        <v>125</v>
      </c>
      <c r="CP208" t="s">
        <v>125</v>
      </c>
      <c r="CQ208">
        <v>0.70391099999999995</v>
      </c>
      <c r="CR208">
        <v>0.95721900000000004</v>
      </c>
      <c r="CS208">
        <v>46.927374</v>
      </c>
      <c r="CT208">
        <v>50</v>
      </c>
      <c r="CU208" t="s">
        <v>125</v>
      </c>
      <c r="CV208" t="s">
        <v>125</v>
      </c>
      <c r="CW208" t="s">
        <v>125</v>
      </c>
      <c r="CX208" t="s">
        <v>125</v>
      </c>
      <c r="CY208" t="s">
        <v>125</v>
      </c>
      <c r="CZ208" t="s">
        <v>125</v>
      </c>
      <c r="DA208">
        <v>15.314097</v>
      </c>
      <c r="DB208">
        <v>17.400950000000002</v>
      </c>
      <c r="DC208">
        <v>16.332519999999999</v>
      </c>
      <c r="DD208" t="s">
        <v>125</v>
      </c>
      <c r="DE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Q208" t="s">
        <v>126</v>
      </c>
    </row>
    <row r="209" spans="1:121" x14ac:dyDescent="0.15">
      <c r="A209">
        <v>2018</v>
      </c>
      <c r="B209" t="s">
        <v>233</v>
      </c>
      <c r="C209" t="str">
        <f>"0020011"</f>
        <v>0020011</v>
      </c>
      <c r="D209" t="s">
        <v>338</v>
      </c>
      <c r="E209" t="str">
        <f>"0020811"</f>
        <v>0020811</v>
      </c>
      <c r="F209" t="s">
        <v>328</v>
      </c>
      <c r="G209" t="s">
        <v>339</v>
      </c>
      <c r="H209">
        <v>6</v>
      </c>
      <c r="I209" t="s">
        <v>336</v>
      </c>
      <c r="J209" t="s">
        <v>331</v>
      </c>
      <c r="K209">
        <v>661.29720399999997</v>
      </c>
      <c r="L209">
        <v>950</v>
      </c>
      <c r="M209">
        <v>69.610231999999996</v>
      </c>
      <c r="N209">
        <v>3</v>
      </c>
      <c r="O209">
        <v>0</v>
      </c>
      <c r="P209">
        <v>63.208072999999999</v>
      </c>
      <c r="Q209">
        <v>42.138714999999998</v>
      </c>
      <c r="R209">
        <v>50</v>
      </c>
      <c r="S209">
        <v>60.526783000000002</v>
      </c>
      <c r="T209">
        <v>69.369883999999999</v>
      </c>
      <c r="U209">
        <v>40.351188999999998</v>
      </c>
      <c r="V209">
        <v>50</v>
      </c>
      <c r="W209">
        <v>59.572268000000001</v>
      </c>
      <c r="X209">
        <v>39.714844999999997</v>
      </c>
      <c r="Y209">
        <v>50</v>
      </c>
      <c r="Z209">
        <v>65.885542000000001</v>
      </c>
      <c r="AA209">
        <v>56.813526000000003</v>
      </c>
      <c r="AB209">
        <v>37.875684</v>
      </c>
      <c r="AC209">
        <v>50</v>
      </c>
      <c r="AD209">
        <v>53.086463999999999</v>
      </c>
      <c r="AE209">
        <v>35.390976000000002</v>
      </c>
      <c r="AF209">
        <v>50</v>
      </c>
      <c r="AG209">
        <v>49.823013000000003</v>
      </c>
      <c r="AH209">
        <v>61.032257999999999</v>
      </c>
      <c r="AI209">
        <v>33.215342</v>
      </c>
      <c r="AJ209">
        <v>50</v>
      </c>
      <c r="AK209">
        <v>8.84</v>
      </c>
      <c r="AL209">
        <v>9.07</v>
      </c>
      <c r="AM209">
        <v>11.2</v>
      </c>
      <c r="AN209">
        <v>0.47684500000000002</v>
      </c>
      <c r="AO209">
        <v>47.684548999999997</v>
      </c>
      <c r="AP209">
        <v>100</v>
      </c>
      <c r="AQ209">
        <v>0.61233400000000004</v>
      </c>
      <c r="AR209">
        <v>61.233392000000002</v>
      </c>
      <c r="AS209">
        <v>100</v>
      </c>
      <c r="AT209">
        <v>0.47221400000000002</v>
      </c>
      <c r="AU209">
        <v>0.485516</v>
      </c>
      <c r="AV209">
        <v>47.221392000000002</v>
      </c>
      <c r="AW209">
        <v>100</v>
      </c>
      <c r="AX209">
        <v>0.59484899999999996</v>
      </c>
      <c r="AY209">
        <v>0.64506799999999997</v>
      </c>
      <c r="AZ209">
        <v>59.484879999999997</v>
      </c>
      <c r="BA209">
        <v>100</v>
      </c>
      <c r="BB209">
        <v>0.68609600000000004</v>
      </c>
      <c r="BC209">
        <v>34.304794999999999</v>
      </c>
      <c r="BD209">
        <v>50</v>
      </c>
      <c r="BE209">
        <v>0.71759600000000001</v>
      </c>
      <c r="BF209">
        <v>35.879779999999997</v>
      </c>
      <c r="BG209">
        <v>50</v>
      </c>
      <c r="BH209">
        <v>0</v>
      </c>
      <c r="BI209">
        <v>0.98611099999999996</v>
      </c>
      <c r="BJ209">
        <v>0.98809499999999995</v>
      </c>
      <c r="BK209">
        <v>0.98148100000000005</v>
      </c>
      <c r="BL209">
        <v>0.98333300000000001</v>
      </c>
      <c r="BM209">
        <v>0.98412699999999997</v>
      </c>
      <c r="BN209">
        <v>0.98148100000000005</v>
      </c>
      <c r="BO209">
        <v>0.95402299999999995</v>
      </c>
      <c r="BP209">
        <v>0.96721299999999999</v>
      </c>
      <c r="BQ209">
        <v>0.92307700000000004</v>
      </c>
      <c r="BR209">
        <v>0.05</v>
      </c>
      <c r="BS209">
        <v>50</v>
      </c>
      <c r="BT209">
        <v>50</v>
      </c>
      <c r="BU209">
        <v>6.5075999999999995E-2</v>
      </c>
      <c r="BV209">
        <v>46.984816000000002</v>
      </c>
      <c r="BW209">
        <v>50</v>
      </c>
      <c r="BX209" t="s">
        <v>125</v>
      </c>
      <c r="BY209" t="s">
        <v>125</v>
      </c>
      <c r="BZ209" t="s">
        <v>125</v>
      </c>
      <c r="CA209" t="s">
        <v>125</v>
      </c>
      <c r="CB209" t="s">
        <v>125</v>
      </c>
      <c r="CC209" t="s">
        <v>125</v>
      </c>
      <c r="CD209" t="s">
        <v>125</v>
      </c>
      <c r="CE209" t="s">
        <v>125</v>
      </c>
      <c r="CF209" t="s">
        <v>125</v>
      </c>
      <c r="CG209" t="s">
        <v>125</v>
      </c>
      <c r="CH209" t="s">
        <v>125</v>
      </c>
      <c r="CI209" t="s">
        <v>125</v>
      </c>
      <c r="CJ209" t="s">
        <v>125</v>
      </c>
      <c r="CK209" t="s">
        <v>125</v>
      </c>
      <c r="CL209" t="s">
        <v>125</v>
      </c>
      <c r="CM209" t="s">
        <v>125</v>
      </c>
      <c r="CN209" t="s">
        <v>125</v>
      </c>
      <c r="CO209" t="s">
        <v>125</v>
      </c>
      <c r="CP209" t="s">
        <v>125</v>
      </c>
      <c r="CQ209">
        <v>0.74725299999999995</v>
      </c>
      <c r="CR209">
        <v>1</v>
      </c>
      <c r="CS209">
        <v>49.816850000000002</v>
      </c>
      <c r="CT209">
        <v>50</v>
      </c>
      <c r="CU209" t="s">
        <v>125</v>
      </c>
      <c r="CV209" t="s">
        <v>125</v>
      </c>
      <c r="CW209" t="s">
        <v>125</v>
      </c>
      <c r="CX209" t="s">
        <v>125</v>
      </c>
      <c r="CY209" t="s">
        <v>125</v>
      </c>
      <c r="CZ209" t="s">
        <v>125</v>
      </c>
      <c r="DA209">
        <v>15.314097</v>
      </c>
      <c r="DB209">
        <v>17.400950000000002</v>
      </c>
      <c r="DC209">
        <v>16.332519999999999</v>
      </c>
      <c r="DD209" t="s">
        <v>125</v>
      </c>
      <c r="DE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Q209" t="s">
        <v>126</v>
      </c>
    </row>
    <row r="210" spans="1:121" x14ac:dyDescent="0.15">
      <c r="A210">
        <v>2018</v>
      </c>
      <c r="B210" t="s">
        <v>234</v>
      </c>
      <c r="C210" t="str">
        <f>"0030011"</f>
        <v>0030011</v>
      </c>
      <c r="D210" t="s">
        <v>340</v>
      </c>
      <c r="E210" t="str">
        <f>"0030111"</f>
        <v>0030111</v>
      </c>
      <c r="F210" t="s">
        <v>328</v>
      </c>
      <c r="G210" t="s">
        <v>329</v>
      </c>
      <c r="H210">
        <v>8</v>
      </c>
      <c r="I210" t="s">
        <v>330</v>
      </c>
      <c r="J210" t="s">
        <v>331</v>
      </c>
      <c r="K210">
        <v>643.31109800000002</v>
      </c>
      <c r="L210">
        <v>900</v>
      </c>
      <c r="M210">
        <v>71.479011</v>
      </c>
      <c r="N210">
        <v>2</v>
      </c>
      <c r="O210">
        <v>0</v>
      </c>
      <c r="P210">
        <v>70.490697999999995</v>
      </c>
      <c r="Q210">
        <v>46.993797999999998</v>
      </c>
      <c r="R210">
        <v>50</v>
      </c>
      <c r="S210">
        <v>62.772872</v>
      </c>
      <c r="T210">
        <v>75</v>
      </c>
      <c r="U210">
        <v>41.848581000000003</v>
      </c>
      <c r="V210">
        <v>50</v>
      </c>
      <c r="W210">
        <v>63.057729999999999</v>
      </c>
      <c r="X210">
        <v>42.038487000000003</v>
      </c>
      <c r="Y210">
        <v>50</v>
      </c>
      <c r="Z210">
        <v>69.046662999999995</v>
      </c>
      <c r="AA210">
        <v>56.600098000000003</v>
      </c>
      <c r="AB210">
        <v>37.733398999999999</v>
      </c>
      <c r="AC210">
        <v>50</v>
      </c>
      <c r="AD210">
        <v>73.848771999999997</v>
      </c>
      <c r="AE210">
        <v>49.232514999999999</v>
      </c>
      <c r="AF210">
        <v>50</v>
      </c>
      <c r="AG210">
        <v>69.779966999999999</v>
      </c>
      <c r="AH210">
        <v>75</v>
      </c>
      <c r="AI210">
        <v>46.519978000000002</v>
      </c>
      <c r="AJ210">
        <v>50</v>
      </c>
      <c r="AK210">
        <v>12.22</v>
      </c>
      <c r="AL210">
        <v>12.44</v>
      </c>
      <c r="AM210">
        <v>5.22</v>
      </c>
      <c r="AN210">
        <v>0.55646899999999999</v>
      </c>
      <c r="AO210">
        <v>55.646889999999999</v>
      </c>
      <c r="AP210">
        <v>100</v>
      </c>
      <c r="AQ210">
        <v>0.53276599999999996</v>
      </c>
      <c r="AR210">
        <v>53.276600999999999</v>
      </c>
      <c r="AS210">
        <v>100</v>
      </c>
      <c r="AT210">
        <v>0.52040299999999995</v>
      </c>
      <c r="AU210">
        <v>0.58995799999999998</v>
      </c>
      <c r="AV210">
        <v>52.040345000000002</v>
      </c>
      <c r="AW210">
        <v>100</v>
      </c>
      <c r="AX210">
        <v>0.48583599999999999</v>
      </c>
      <c r="AY210">
        <v>0.57586499999999996</v>
      </c>
      <c r="AZ210">
        <v>48.583557999999996</v>
      </c>
      <c r="BA210">
        <v>100</v>
      </c>
      <c r="BB210" t="s">
        <v>125</v>
      </c>
      <c r="BC210" t="s">
        <v>125</v>
      </c>
      <c r="BD210" t="s">
        <v>125</v>
      </c>
      <c r="BE210" t="s">
        <v>125</v>
      </c>
      <c r="BF210" t="s">
        <v>125</v>
      </c>
      <c r="BG210" t="s">
        <v>125</v>
      </c>
      <c r="BH210">
        <v>0</v>
      </c>
      <c r="BI210">
        <v>0.98790299999999998</v>
      </c>
      <c r="BJ210">
        <v>0.98333300000000001</v>
      </c>
      <c r="BK210">
        <v>0.99218799999999996</v>
      </c>
      <c r="BL210">
        <v>0.97580599999999995</v>
      </c>
      <c r="BM210">
        <v>0.97499999999999998</v>
      </c>
      <c r="BN210">
        <v>0.97656299999999996</v>
      </c>
      <c r="BO210">
        <v>0.97777800000000004</v>
      </c>
      <c r="BP210">
        <v>0.95555599999999996</v>
      </c>
      <c r="BQ210">
        <v>1</v>
      </c>
      <c r="BR210">
        <v>5.5095999999999999E-2</v>
      </c>
      <c r="BS210">
        <v>48.980716000000001</v>
      </c>
      <c r="BT210">
        <v>50</v>
      </c>
      <c r="BU210">
        <v>7.6923000000000005E-2</v>
      </c>
      <c r="BV210">
        <v>44.615385000000003</v>
      </c>
      <c r="BW210">
        <v>50</v>
      </c>
      <c r="BX210" t="s">
        <v>125</v>
      </c>
      <c r="BY210" t="s">
        <v>125</v>
      </c>
      <c r="BZ210" t="s">
        <v>125</v>
      </c>
      <c r="CA210" t="s">
        <v>125</v>
      </c>
      <c r="CB210" t="s">
        <v>125</v>
      </c>
      <c r="CC210" t="s">
        <v>125</v>
      </c>
      <c r="CD210">
        <v>0.83720899999999998</v>
      </c>
      <c r="CE210">
        <v>44.532409999999999</v>
      </c>
      <c r="CF210">
        <v>50</v>
      </c>
      <c r="CG210" t="s">
        <v>125</v>
      </c>
      <c r="CH210" t="s">
        <v>125</v>
      </c>
      <c r="CI210" t="s">
        <v>125</v>
      </c>
      <c r="CJ210" t="s">
        <v>125</v>
      </c>
      <c r="CK210" t="s">
        <v>125</v>
      </c>
      <c r="CL210" t="s">
        <v>125</v>
      </c>
      <c r="CM210" t="s">
        <v>125</v>
      </c>
      <c r="CN210" t="s">
        <v>125</v>
      </c>
      <c r="CO210" t="s">
        <v>125</v>
      </c>
      <c r="CP210" t="s">
        <v>125</v>
      </c>
      <c r="CQ210">
        <v>0.46902700000000003</v>
      </c>
      <c r="CR210">
        <v>0.97413799999999995</v>
      </c>
      <c r="CS210">
        <v>31.268436999999999</v>
      </c>
      <c r="CT210">
        <v>50</v>
      </c>
      <c r="CU210" t="s">
        <v>125</v>
      </c>
      <c r="CV210" t="s">
        <v>125</v>
      </c>
      <c r="CW210" t="s">
        <v>125</v>
      </c>
      <c r="CX210" t="s">
        <v>125</v>
      </c>
      <c r="CY210" t="s">
        <v>125</v>
      </c>
      <c r="CZ210" t="s">
        <v>125</v>
      </c>
      <c r="DA210">
        <v>15.314097</v>
      </c>
      <c r="DB210">
        <v>17.400950000000002</v>
      </c>
      <c r="DC210">
        <v>16.332519999999999</v>
      </c>
      <c r="DD210" t="s">
        <v>125</v>
      </c>
      <c r="DE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Q210" t="s">
        <v>126</v>
      </c>
    </row>
    <row r="211" spans="1:121" x14ac:dyDescent="0.15">
      <c r="A211">
        <v>2018</v>
      </c>
      <c r="B211" t="s">
        <v>235</v>
      </c>
      <c r="C211" t="str">
        <f>"0040011"</f>
        <v>0040011</v>
      </c>
      <c r="D211" t="s">
        <v>341</v>
      </c>
      <c r="E211" t="str">
        <f>"0046111"</f>
        <v>0046111</v>
      </c>
      <c r="F211" t="s">
        <v>328</v>
      </c>
      <c r="G211">
        <v>9</v>
      </c>
      <c r="H211">
        <v>12</v>
      </c>
      <c r="J211" t="s">
        <v>331</v>
      </c>
      <c r="K211">
        <v>1306.530213</v>
      </c>
      <c r="L211">
        <v>1450</v>
      </c>
      <c r="M211">
        <v>90.105531999999997</v>
      </c>
      <c r="N211">
        <v>2</v>
      </c>
      <c r="O211">
        <v>1</v>
      </c>
      <c r="P211">
        <v>70.899753000000004</v>
      </c>
      <c r="Q211">
        <v>141.79950600000001</v>
      </c>
      <c r="R211">
        <v>150</v>
      </c>
      <c r="S211">
        <v>54.039682999999997</v>
      </c>
      <c r="T211">
        <v>75</v>
      </c>
      <c r="U211">
        <v>108.079365</v>
      </c>
      <c r="V211">
        <v>150</v>
      </c>
      <c r="W211">
        <v>71.877531000000005</v>
      </c>
      <c r="X211">
        <v>143.75506200000001</v>
      </c>
      <c r="Y211">
        <v>150</v>
      </c>
      <c r="Z211">
        <v>75</v>
      </c>
      <c r="AA211">
        <v>54.226756999999999</v>
      </c>
      <c r="AB211">
        <v>108.453515</v>
      </c>
      <c r="AC211">
        <v>150</v>
      </c>
      <c r="AD211">
        <v>75.336434999999994</v>
      </c>
      <c r="AE211">
        <v>100</v>
      </c>
      <c r="AF211">
        <v>100</v>
      </c>
      <c r="AG211">
        <v>57.919986000000002</v>
      </c>
      <c r="AH211">
        <v>75</v>
      </c>
      <c r="AI211">
        <v>77.226647999999997</v>
      </c>
      <c r="AJ211">
        <v>100</v>
      </c>
      <c r="AK211">
        <v>20.96</v>
      </c>
      <c r="AL211">
        <v>20.77</v>
      </c>
      <c r="AM211">
        <v>17.079999999999998</v>
      </c>
      <c r="AN211" t="s">
        <v>125</v>
      </c>
      <c r="AO211" t="s">
        <v>125</v>
      </c>
      <c r="AP211" t="s">
        <v>125</v>
      </c>
      <c r="AQ211" t="s">
        <v>125</v>
      </c>
      <c r="AR211" t="s">
        <v>125</v>
      </c>
      <c r="AS211" t="s">
        <v>125</v>
      </c>
      <c r="AT211" t="s">
        <v>125</v>
      </c>
      <c r="AU211" t="s">
        <v>125</v>
      </c>
      <c r="AV211" t="s">
        <v>125</v>
      </c>
      <c r="AW211" t="s">
        <v>125</v>
      </c>
      <c r="AX211" t="s">
        <v>125</v>
      </c>
      <c r="AY211" t="s">
        <v>125</v>
      </c>
      <c r="AZ211" t="s">
        <v>125</v>
      </c>
      <c r="BA211" t="s">
        <v>125</v>
      </c>
      <c r="BB211" t="s">
        <v>125</v>
      </c>
      <c r="BC211" t="s">
        <v>125</v>
      </c>
      <c r="BD211" t="s">
        <v>125</v>
      </c>
      <c r="BE211" t="s">
        <v>125</v>
      </c>
      <c r="BF211" t="s">
        <v>125</v>
      </c>
      <c r="BG211" t="s">
        <v>125</v>
      </c>
      <c r="BH211">
        <v>0</v>
      </c>
      <c r="BI211">
        <v>0.98723399999999994</v>
      </c>
      <c r="BJ211">
        <v>1</v>
      </c>
      <c r="BK211">
        <v>0.98360700000000001</v>
      </c>
      <c r="BL211">
        <v>0.98723399999999994</v>
      </c>
      <c r="BM211">
        <v>1</v>
      </c>
      <c r="BN211">
        <v>0.98360700000000001</v>
      </c>
      <c r="BO211">
        <v>0.987124</v>
      </c>
      <c r="BP211">
        <v>0.98</v>
      </c>
      <c r="BQ211">
        <v>0.98907100000000003</v>
      </c>
      <c r="BR211">
        <v>3.3014000000000002E-2</v>
      </c>
      <c r="BS211">
        <v>50</v>
      </c>
      <c r="BT211">
        <v>50</v>
      </c>
      <c r="BU211">
        <v>8.9744000000000004E-2</v>
      </c>
      <c r="BV211">
        <v>42.051282</v>
      </c>
      <c r="BW211">
        <v>50</v>
      </c>
      <c r="BX211">
        <v>0.78318600000000005</v>
      </c>
      <c r="BY211">
        <v>50</v>
      </c>
      <c r="BZ211">
        <v>50</v>
      </c>
      <c r="CA211">
        <v>0.76769900000000002</v>
      </c>
      <c r="CB211">
        <v>50</v>
      </c>
      <c r="CC211">
        <v>50</v>
      </c>
      <c r="CD211">
        <v>0.97916700000000001</v>
      </c>
      <c r="CE211">
        <v>50</v>
      </c>
      <c r="CF211">
        <v>50</v>
      </c>
      <c r="CG211">
        <v>0.97826100000000005</v>
      </c>
      <c r="CH211">
        <v>100</v>
      </c>
      <c r="CI211">
        <v>100</v>
      </c>
      <c r="CJ211">
        <v>0</v>
      </c>
      <c r="CK211">
        <v>0.95121999999999995</v>
      </c>
      <c r="CL211">
        <v>100</v>
      </c>
      <c r="CM211">
        <v>100</v>
      </c>
      <c r="CN211">
        <v>0.86379899999999998</v>
      </c>
      <c r="CO211">
        <v>100</v>
      </c>
      <c r="CP211">
        <v>100</v>
      </c>
      <c r="CQ211">
        <v>0.52747299999999997</v>
      </c>
      <c r="CR211">
        <v>1.8346769999999999</v>
      </c>
      <c r="CS211">
        <v>35.164834999999997</v>
      </c>
      <c r="CT211">
        <v>50</v>
      </c>
      <c r="CU211">
        <v>0.61022399999999999</v>
      </c>
      <c r="CV211">
        <v>50</v>
      </c>
      <c r="CW211">
        <v>50</v>
      </c>
      <c r="CX211">
        <v>0.95121999999999995</v>
      </c>
      <c r="CY211">
        <v>0.94</v>
      </c>
      <c r="CZ211">
        <v>-1.1220000000000001E-2</v>
      </c>
      <c r="DA211">
        <v>15.314097</v>
      </c>
      <c r="DB211">
        <v>17.400950000000002</v>
      </c>
      <c r="DC211">
        <v>16.332519999999999</v>
      </c>
      <c r="DD211">
        <v>7.9891730000000001</v>
      </c>
      <c r="DE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Q211" t="s">
        <v>126</v>
      </c>
    </row>
    <row r="212" spans="1:121" x14ac:dyDescent="0.15">
      <c r="A212">
        <v>2018</v>
      </c>
      <c r="B212" t="s">
        <v>235</v>
      </c>
      <c r="C212" t="str">
        <f>"0040011"</f>
        <v>0040011</v>
      </c>
      <c r="D212" t="s">
        <v>342</v>
      </c>
      <c r="E212" t="str">
        <f>"0045111"</f>
        <v>0045111</v>
      </c>
      <c r="F212" t="s">
        <v>328</v>
      </c>
      <c r="G212">
        <v>7</v>
      </c>
      <c r="H212">
        <v>8</v>
      </c>
      <c r="I212" t="s">
        <v>330</v>
      </c>
      <c r="J212" t="s">
        <v>331</v>
      </c>
      <c r="K212">
        <v>709.60210300000006</v>
      </c>
      <c r="L212">
        <v>900</v>
      </c>
      <c r="M212">
        <v>78.844678000000002</v>
      </c>
      <c r="N212">
        <v>2</v>
      </c>
      <c r="O212">
        <v>0</v>
      </c>
      <c r="P212">
        <v>82.525473000000005</v>
      </c>
      <c r="Q212">
        <v>50</v>
      </c>
      <c r="R212">
        <v>50</v>
      </c>
      <c r="S212">
        <v>65.164107000000001</v>
      </c>
      <c r="T212">
        <v>75</v>
      </c>
      <c r="U212">
        <v>43.442737999999999</v>
      </c>
      <c r="V212">
        <v>50</v>
      </c>
      <c r="W212">
        <v>79.233569000000003</v>
      </c>
      <c r="X212">
        <v>50</v>
      </c>
      <c r="Y212">
        <v>50</v>
      </c>
      <c r="Z212">
        <v>75</v>
      </c>
      <c r="AA212">
        <v>60.848590000000002</v>
      </c>
      <c r="AB212">
        <v>40.565727000000003</v>
      </c>
      <c r="AC212">
        <v>50</v>
      </c>
      <c r="AD212">
        <v>82.413762000000006</v>
      </c>
      <c r="AE212">
        <v>50</v>
      </c>
      <c r="AF212">
        <v>50</v>
      </c>
      <c r="AG212">
        <v>67.700164000000001</v>
      </c>
      <c r="AH212">
        <v>75</v>
      </c>
      <c r="AI212">
        <v>45.133443</v>
      </c>
      <c r="AJ212">
        <v>50</v>
      </c>
      <c r="AK212">
        <v>9.83</v>
      </c>
      <c r="AL212">
        <v>14.15</v>
      </c>
      <c r="AM212">
        <v>7.29</v>
      </c>
      <c r="AN212">
        <v>0.68884900000000004</v>
      </c>
      <c r="AO212">
        <v>68.884850999999998</v>
      </c>
      <c r="AP212">
        <v>100</v>
      </c>
      <c r="AQ212">
        <v>0.75129900000000005</v>
      </c>
      <c r="AR212">
        <v>75.129913999999999</v>
      </c>
      <c r="AS212">
        <v>100</v>
      </c>
      <c r="AT212">
        <v>0.58123499999999995</v>
      </c>
      <c r="AU212">
        <v>0.70872800000000002</v>
      </c>
      <c r="AV212">
        <v>58.123513000000003</v>
      </c>
      <c r="AW212">
        <v>100</v>
      </c>
      <c r="AX212">
        <v>0.68054700000000001</v>
      </c>
      <c r="AY212">
        <v>0.764401</v>
      </c>
      <c r="AZ212">
        <v>68.054687999999999</v>
      </c>
      <c r="BA212">
        <v>100</v>
      </c>
      <c r="BB212" t="s">
        <v>125</v>
      </c>
      <c r="BC212" t="s">
        <v>125</v>
      </c>
      <c r="BD212" t="s">
        <v>125</v>
      </c>
      <c r="BE212" t="s">
        <v>125</v>
      </c>
      <c r="BF212" t="s">
        <v>125</v>
      </c>
      <c r="BG212" t="s">
        <v>125</v>
      </c>
      <c r="BH212">
        <v>0</v>
      </c>
      <c r="BI212">
        <v>0.99421999999999999</v>
      </c>
      <c r="BJ212">
        <v>1</v>
      </c>
      <c r="BK212">
        <v>0.99273599999999995</v>
      </c>
      <c r="BL212">
        <v>0.99229299999999998</v>
      </c>
      <c r="BM212">
        <v>1</v>
      </c>
      <c r="BN212">
        <v>0.99031499999999995</v>
      </c>
      <c r="BO212">
        <v>0.99636400000000003</v>
      </c>
      <c r="BP212">
        <v>1</v>
      </c>
      <c r="BQ212">
        <v>0.99539200000000005</v>
      </c>
      <c r="BR212">
        <v>3.0828999999999999E-2</v>
      </c>
      <c r="BS212">
        <v>50</v>
      </c>
      <c r="BT212">
        <v>50</v>
      </c>
      <c r="BU212">
        <v>4.5976999999999997E-2</v>
      </c>
      <c r="BV212">
        <v>50</v>
      </c>
      <c r="BW212">
        <v>50</v>
      </c>
      <c r="BX212" t="s">
        <v>125</v>
      </c>
      <c r="BY212" t="s">
        <v>125</v>
      </c>
      <c r="BZ212" t="s">
        <v>125</v>
      </c>
      <c r="CA212" t="s">
        <v>125</v>
      </c>
      <c r="CB212" t="s">
        <v>125</v>
      </c>
      <c r="CC212" t="s">
        <v>125</v>
      </c>
      <c r="CD212">
        <v>0.99557499999999999</v>
      </c>
      <c r="CE212">
        <v>50</v>
      </c>
      <c r="CF212">
        <v>50</v>
      </c>
      <c r="CG212" t="s">
        <v>125</v>
      </c>
      <c r="CH212" t="s">
        <v>125</v>
      </c>
      <c r="CI212" t="s">
        <v>125</v>
      </c>
      <c r="CJ212" t="s">
        <v>125</v>
      </c>
      <c r="CK212" t="s">
        <v>125</v>
      </c>
      <c r="CL212" t="s">
        <v>125</v>
      </c>
      <c r="CM212" t="s">
        <v>125</v>
      </c>
      <c r="CN212" t="s">
        <v>125</v>
      </c>
      <c r="CO212" t="s">
        <v>125</v>
      </c>
      <c r="CP212" t="s">
        <v>125</v>
      </c>
      <c r="CQ212">
        <v>0.30801699999999999</v>
      </c>
      <c r="CR212">
        <v>0.86181799999999997</v>
      </c>
      <c r="CS212">
        <v>10.267229</v>
      </c>
      <c r="CT212">
        <v>50</v>
      </c>
      <c r="CU212" t="s">
        <v>125</v>
      </c>
      <c r="CV212" t="s">
        <v>125</v>
      </c>
      <c r="CW212" t="s">
        <v>125</v>
      </c>
      <c r="CX212" t="s">
        <v>125</v>
      </c>
      <c r="CY212" t="s">
        <v>125</v>
      </c>
      <c r="CZ212" t="s">
        <v>125</v>
      </c>
      <c r="DA212">
        <v>15.314097</v>
      </c>
      <c r="DB212">
        <v>17.400950000000002</v>
      </c>
      <c r="DC212">
        <v>16.332519999999999</v>
      </c>
      <c r="DD212" t="s">
        <v>125</v>
      </c>
      <c r="DE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Q212" t="s">
        <v>126</v>
      </c>
    </row>
    <row r="213" spans="1:121" x14ac:dyDescent="0.15">
      <c r="A213">
        <v>2018</v>
      </c>
      <c r="B213" t="s">
        <v>235</v>
      </c>
      <c r="C213" t="str">
        <f>"0040011"</f>
        <v>0040011</v>
      </c>
      <c r="D213" t="s">
        <v>343</v>
      </c>
      <c r="E213" t="str">
        <f>"0040411"</f>
        <v>0040411</v>
      </c>
      <c r="F213" t="s">
        <v>328</v>
      </c>
      <c r="G213" t="s">
        <v>339</v>
      </c>
      <c r="H213">
        <v>4</v>
      </c>
      <c r="I213" t="s">
        <v>330</v>
      </c>
      <c r="J213" t="s">
        <v>331</v>
      </c>
      <c r="K213">
        <v>667.38381800000002</v>
      </c>
      <c r="L213">
        <v>850</v>
      </c>
      <c r="M213">
        <v>78.515743000000001</v>
      </c>
      <c r="N213">
        <v>2</v>
      </c>
      <c r="O213">
        <v>0</v>
      </c>
      <c r="P213">
        <v>79.798185000000004</v>
      </c>
      <c r="Q213">
        <v>50</v>
      </c>
      <c r="R213">
        <v>50</v>
      </c>
      <c r="S213">
        <v>67.541140999999996</v>
      </c>
      <c r="T213">
        <v>75</v>
      </c>
      <c r="U213">
        <v>45.027427000000003</v>
      </c>
      <c r="V213">
        <v>50</v>
      </c>
      <c r="W213">
        <v>73.902994000000007</v>
      </c>
      <c r="X213">
        <v>49.268661999999999</v>
      </c>
      <c r="Y213">
        <v>50</v>
      </c>
      <c r="Z213">
        <v>75</v>
      </c>
      <c r="AA213">
        <v>61.503796000000001</v>
      </c>
      <c r="AB213">
        <v>41.002530999999998</v>
      </c>
      <c r="AC213">
        <v>50</v>
      </c>
      <c r="AD213" t="s">
        <v>125</v>
      </c>
      <c r="AE213" t="s">
        <v>125</v>
      </c>
      <c r="AF213" t="s">
        <v>125</v>
      </c>
      <c r="AG213" t="s">
        <v>125</v>
      </c>
      <c r="AH213" t="s">
        <v>125</v>
      </c>
      <c r="AI213" t="s">
        <v>125</v>
      </c>
      <c r="AJ213" t="s">
        <v>125</v>
      </c>
      <c r="AK213">
        <v>7.45</v>
      </c>
      <c r="AL213">
        <v>13.49</v>
      </c>
      <c r="AM213" t="s">
        <v>125</v>
      </c>
      <c r="AN213">
        <v>0.725827</v>
      </c>
      <c r="AO213">
        <v>72.582750000000004</v>
      </c>
      <c r="AP213">
        <v>100</v>
      </c>
      <c r="AQ213">
        <v>0.74685699999999999</v>
      </c>
      <c r="AR213">
        <v>74.685671999999997</v>
      </c>
      <c r="AS213">
        <v>100</v>
      </c>
      <c r="AT213">
        <v>0.56275399999999998</v>
      </c>
      <c r="AU213">
        <v>0.78512700000000002</v>
      </c>
      <c r="AV213">
        <v>56.275402999999997</v>
      </c>
      <c r="AW213">
        <v>100</v>
      </c>
      <c r="AX213">
        <v>0.62902400000000003</v>
      </c>
      <c r="AY213">
        <v>0.78970499999999999</v>
      </c>
      <c r="AZ213">
        <v>62.902385000000002</v>
      </c>
      <c r="BA213">
        <v>100</v>
      </c>
      <c r="BB213">
        <v>0.89926899999999999</v>
      </c>
      <c r="BC213">
        <v>44.963467000000001</v>
      </c>
      <c r="BD213">
        <v>50</v>
      </c>
      <c r="BE213">
        <v>0.75513799999999998</v>
      </c>
      <c r="BF213">
        <v>37.756912</v>
      </c>
      <c r="BG213">
        <v>50</v>
      </c>
      <c r="BH213">
        <v>0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 t="s">
        <v>125</v>
      </c>
      <c r="BP213" t="s">
        <v>125</v>
      </c>
      <c r="BQ213" t="s">
        <v>125</v>
      </c>
      <c r="BR213">
        <v>5.5556000000000001E-2</v>
      </c>
      <c r="BS213">
        <v>48.888888999999999</v>
      </c>
      <c r="BT213">
        <v>50</v>
      </c>
      <c r="BU213">
        <v>0.12571399999999999</v>
      </c>
      <c r="BV213">
        <v>34.857143000000001</v>
      </c>
      <c r="BW213">
        <v>50</v>
      </c>
      <c r="BX213" t="s">
        <v>125</v>
      </c>
      <c r="BY213" t="s">
        <v>125</v>
      </c>
      <c r="BZ213" t="s">
        <v>125</v>
      </c>
      <c r="CA213" t="s">
        <v>125</v>
      </c>
      <c r="CB213" t="s">
        <v>125</v>
      </c>
      <c r="CC213" t="s">
        <v>125</v>
      </c>
      <c r="CD213" t="s">
        <v>125</v>
      </c>
      <c r="CE213" t="s">
        <v>125</v>
      </c>
      <c r="CF213" t="s">
        <v>125</v>
      </c>
      <c r="CG213" t="s">
        <v>125</v>
      </c>
      <c r="CH213" t="s">
        <v>125</v>
      </c>
      <c r="CI213" t="s">
        <v>125</v>
      </c>
      <c r="CJ213" t="s">
        <v>125</v>
      </c>
      <c r="CK213" t="s">
        <v>125</v>
      </c>
      <c r="CL213" t="s">
        <v>125</v>
      </c>
      <c r="CM213" t="s">
        <v>125</v>
      </c>
      <c r="CN213" t="s">
        <v>125</v>
      </c>
      <c r="CO213" t="s">
        <v>125</v>
      </c>
      <c r="CP213" t="s">
        <v>125</v>
      </c>
      <c r="CQ213">
        <v>0.73758900000000005</v>
      </c>
      <c r="CR213">
        <v>0.972414</v>
      </c>
      <c r="CS213">
        <v>49.172576999999997</v>
      </c>
      <c r="CT213">
        <v>50</v>
      </c>
      <c r="CU213" t="s">
        <v>125</v>
      </c>
      <c r="CV213" t="s">
        <v>125</v>
      </c>
      <c r="CW213" t="s">
        <v>125</v>
      </c>
      <c r="CX213" t="s">
        <v>125</v>
      </c>
      <c r="CY213" t="s">
        <v>125</v>
      </c>
      <c r="CZ213" t="s">
        <v>125</v>
      </c>
      <c r="DA213">
        <v>15.314097</v>
      </c>
      <c r="DB213">
        <v>17.400950000000002</v>
      </c>
      <c r="DC213">
        <v>16.332519999999999</v>
      </c>
      <c r="DD213" t="s">
        <v>125</v>
      </c>
      <c r="DE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Q213" t="s">
        <v>126</v>
      </c>
    </row>
    <row r="214" spans="1:121" x14ac:dyDescent="0.15">
      <c r="A214">
        <v>2018</v>
      </c>
      <c r="B214" t="s">
        <v>235</v>
      </c>
      <c r="C214" t="str">
        <f>"0040011"</f>
        <v>0040011</v>
      </c>
      <c r="D214" t="s">
        <v>344</v>
      </c>
      <c r="E214" t="str">
        <f>"0040311"</f>
        <v>0040311</v>
      </c>
      <c r="F214" t="s">
        <v>328</v>
      </c>
      <c r="G214" t="s">
        <v>339</v>
      </c>
      <c r="H214">
        <v>4</v>
      </c>
      <c r="I214" t="s">
        <v>330</v>
      </c>
      <c r="J214" t="s">
        <v>331</v>
      </c>
      <c r="K214">
        <v>452.607214</v>
      </c>
      <c r="L214">
        <v>550</v>
      </c>
      <c r="M214">
        <v>82.292220999999998</v>
      </c>
      <c r="N214">
        <v>2</v>
      </c>
      <c r="O214">
        <v>0</v>
      </c>
      <c r="P214">
        <v>83.407238000000007</v>
      </c>
      <c r="Q214">
        <v>50</v>
      </c>
      <c r="R214">
        <v>50</v>
      </c>
      <c r="S214">
        <v>70.807558999999998</v>
      </c>
      <c r="T214">
        <v>75</v>
      </c>
      <c r="U214">
        <v>47.205038999999999</v>
      </c>
      <c r="V214">
        <v>50</v>
      </c>
      <c r="W214">
        <v>80.351034999999996</v>
      </c>
      <c r="X214">
        <v>50</v>
      </c>
      <c r="Y214">
        <v>50</v>
      </c>
      <c r="Z214">
        <v>75</v>
      </c>
      <c r="AA214">
        <v>68.259690000000006</v>
      </c>
      <c r="AB214">
        <v>45.506459999999997</v>
      </c>
      <c r="AC214">
        <v>50</v>
      </c>
      <c r="AD214" t="s">
        <v>125</v>
      </c>
      <c r="AE214" t="s">
        <v>125</v>
      </c>
      <c r="AF214" t="s">
        <v>125</v>
      </c>
      <c r="AG214" t="s">
        <v>125</v>
      </c>
      <c r="AH214" t="s">
        <v>125</v>
      </c>
      <c r="AI214" t="s">
        <v>125</v>
      </c>
      <c r="AJ214" t="s">
        <v>125</v>
      </c>
      <c r="AK214">
        <v>4.1900000000000004</v>
      </c>
      <c r="AL214">
        <v>6.74</v>
      </c>
      <c r="AM214" t="s">
        <v>125</v>
      </c>
      <c r="AN214">
        <v>0.66383000000000003</v>
      </c>
      <c r="AO214">
        <v>66.382979000000006</v>
      </c>
      <c r="AP214">
        <v>100</v>
      </c>
      <c r="AQ214">
        <v>0.67429499999999998</v>
      </c>
      <c r="AR214">
        <v>67.429462999999998</v>
      </c>
      <c r="AS214">
        <v>100</v>
      </c>
      <c r="AT214" t="s">
        <v>125</v>
      </c>
      <c r="AU214">
        <v>0.68422499999999997</v>
      </c>
      <c r="AV214" t="s">
        <v>125</v>
      </c>
      <c r="AW214" t="s">
        <v>125</v>
      </c>
      <c r="AX214" t="s">
        <v>125</v>
      </c>
      <c r="AY214">
        <v>0.67800099999999996</v>
      </c>
      <c r="AZ214" t="s">
        <v>125</v>
      </c>
      <c r="BA214" t="s">
        <v>125</v>
      </c>
      <c r="BB214" t="s">
        <v>125</v>
      </c>
      <c r="BC214" t="s">
        <v>125</v>
      </c>
      <c r="BD214" t="s">
        <v>125</v>
      </c>
      <c r="BE214" t="s">
        <v>125</v>
      </c>
      <c r="BF214" t="s">
        <v>125</v>
      </c>
      <c r="BG214" t="s">
        <v>125</v>
      </c>
      <c r="BH214">
        <v>0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 t="s">
        <v>125</v>
      </c>
      <c r="BP214" t="s">
        <v>125</v>
      </c>
      <c r="BQ214" t="s">
        <v>125</v>
      </c>
      <c r="BR214">
        <v>5.5328000000000002E-2</v>
      </c>
      <c r="BS214">
        <v>48.934426000000002</v>
      </c>
      <c r="BT214">
        <v>50</v>
      </c>
      <c r="BU214">
        <v>7.7778E-2</v>
      </c>
      <c r="BV214">
        <v>44.444443999999997</v>
      </c>
      <c r="BW214">
        <v>50</v>
      </c>
      <c r="BX214" t="s">
        <v>125</v>
      </c>
      <c r="BY214" t="s">
        <v>125</v>
      </c>
      <c r="BZ214" t="s">
        <v>125</v>
      </c>
      <c r="CA214" t="s">
        <v>125</v>
      </c>
      <c r="CB214" t="s">
        <v>125</v>
      </c>
      <c r="CC214" t="s">
        <v>125</v>
      </c>
      <c r="CD214" t="s">
        <v>125</v>
      </c>
      <c r="CE214" t="s">
        <v>125</v>
      </c>
      <c r="CF214" t="s">
        <v>125</v>
      </c>
      <c r="CG214" t="s">
        <v>125</v>
      </c>
      <c r="CH214" t="s">
        <v>125</v>
      </c>
      <c r="CI214" t="s">
        <v>125</v>
      </c>
      <c r="CJ214" t="s">
        <v>125</v>
      </c>
      <c r="CK214" t="s">
        <v>125</v>
      </c>
      <c r="CL214" t="s">
        <v>125</v>
      </c>
      <c r="CM214" t="s">
        <v>125</v>
      </c>
      <c r="CN214" t="s">
        <v>125</v>
      </c>
      <c r="CO214" t="s">
        <v>125</v>
      </c>
      <c r="CP214" t="s">
        <v>125</v>
      </c>
      <c r="CQ214">
        <v>0.490566</v>
      </c>
      <c r="CR214">
        <v>0.99065400000000003</v>
      </c>
      <c r="CS214">
        <v>32.704402999999999</v>
      </c>
      <c r="CT214">
        <v>50</v>
      </c>
      <c r="CU214" t="s">
        <v>125</v>
      </c>
      <c r="CV214" t="s">
        <v>125</v>
      </c>
      <c r="CW214" t="s">
        <v>125</v>
      </c>
      <c r="CX214" t="s">
        <v>125</v>
      </c>
      <c r="CY214" t="s">
        <v>125</v>
      </c>
      <c r="CZ214" t="s">
        <v>125</v>
      </c>
      <c r="DA214">
        <v>15.314097</v>
      </c>
      <c r="DB214">
        <v>17.400950000000002</v>
      </c>
      <c r="DC214">
        <v>16.332519999999999</v>
      </c>
      <c r="DD214" t="s">
        <v>125</v>
      </c>
      <c r="DE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Q214" t="s">
        <v>126</v>
      </c>
    </row>
    <row r="215" spans="1:121" x14ac:dyDescent="0.15">
      <c r="A215">
        <v>2018</v>
      </c>
      <c r="B215" t="s">
        <v>235</v>
      </c>
      <c r="C215" t="str">
        <f>"0040011"</f>
        <v>0040011</v>
      </c>
      <c r="D215" t="s">
        <v>345</v>
      </c>
      <c r="E215" t="str">
        <f>"0040511"</f>
        <v>0040511</v>
      </c>
      <c r="F215" t="s">
        <v>328</v>
      </c>
      <c r="G215">
        <v>5</v>
      </c>
      <c r="H215">
        <v>6</v>
      </c>
      <c r="I215" t="s">
        <v>330</v>
      </c>
      <c r="J215" t="s">
        <v>331</v>
      </c>
      <c r="K215">
        <v>644.22657500000003</v>
      </c>
      <c r="L215">
        <v>850</v>
      </c>
      <c r="M215">
        <v>75.791362000000007</v>
      </c>
      <c r="N215">
        <v>2</v>
      </c>
      <c r="O215">
        <v>0</v>
      </c>
      <c r="P215">
        <v>82.427291999999994</v>
      </c>
      <c r="Q215">
        <v>50</v>
      </c>
      <c r="R215">
        <v>50</v>
      </c>
      <c r="S215">
        <v>65.039754000000002</v>
      </c>
      <c r="T215">
        <v>75</v>
      </c>
      <c r="U215">
        <v>43.359836000000001</v>
      </c>
      <c r="V215">
        <v>50</v>
      </c>
      <c r="W215">
        <v>77.528040000000004</v>
      </c>
      <c r="X215">
        <v>50</v>
      </c>
      <c r="Y215">
        <v>50</v>
      </c>
      <c r="Z215">
        <v>75</v>
      </c>
      <c r="AA215">
        <v>58.943134000000001</v>
      </c>
      <c r="AB215">
        <v>39.295423</v>
      </c>
      <c r="AC215">
        <v>50</v>
      </c>
      <c r="AD215">
        <v>78.003791000000007</v>
      </c>
      <c r="AE215">
        <v>50</v>
      </c>
      <c r="AF215">
        <v>50</v>
      </c>
      <c r="AG215">
        <v>59.10763</v>
      </c>
      <c r="AH215">
        <v>75</v>
      </c>
      <c r="AI215">
        <v>39.405087000000002</v>
      </c>
      <c r="AJ215">
        <v>50</v>
      </c>
      <c r="AK215">
        <v>9.9600000000000009</v>
      </c>
      <c r="AL215">
        <v>16.05</v>
      </c>
      <c r="AM215">
        <v>15.89</v>
      </c>
      <c r="AN215">
        <v>0.71148500000000003</v>
      </c>
      <c r="AO215">
        <v>71.148477999999997</v>
      </c>
      <c r="AP215">
        <v>100</v>
      </c>
      <c r="AQ215">
        <v>0.75796300000000005</v>
      </c>
      <c r="AR215">
        <v>75.796346</v>
      </c>
      <c r="AS215">
        <v>100</v>
      </c>
      <c r="AT215">
        <v>0.58346200000000004</v>
      </c>
      <c r="AU215">
        <v>0.73702400000000001</v>
      </c>
      <c r="AV215">
        <v>58.346234000000003</v>
      </c>
      <c r="AW215">
        <v>100</v>
      </c>
      <c r="AX215">
        <v>0.54202600000000001</v>
      </c>
      <c r="AY215">
        <v>0.80115099999999995</v>
      </c>
      <c r="AZ215">
        <v>54.202553000000002</v>
      </c>
      <c r="BA215">
        <v>100</v>
      </c>
      <c r="BB215" t="s">
        <v>125</v>
      </c>
      <c r="BC215" t="s">
        <v>125</v>
      </c>
      <c r="BD215" t="s">
        <v>125</v>
      </c>
      <c r="BE215" t="s">
        <v>125</v>
      </c>
      <c r="BF215" t="s">
        <v>125</v>
      </c>
      <c r="BG215" t="s">
        <v>125</v>
      </c>
      <c r="BH215">
        <v>0</v>
      </c>
      <c r="BI215">
        <v>0.99805100000000002</v>
      </c>
      <c r="BJ215">
        <v>0.99090900000000004</v>
      </c>
      <c r="BK215">
        <v>1</v>
      </c>
      <c r="BL215">
        <v>0.99610100000000001</v>
      </c>
      <c r="BM215">
        <v>0.99090900000000004</v>
      </c>
      <c r="BN215">
        <v>0.99751900000000004</v>
      </c>
      <c r="BO215">
        <v>0.99586799999999998</v>
      </c>
      <c r="BP215">
        <v>0.982456</v>
      </c>
      <c r="BQ215">
        <v>1</v>
      </c>
      <c r="BR215">
        <v>3.9139E-2</v>
      </c>
      <c r="BS215">
        <v>50</v>
      </c>
      <c r="BT215">
        <v>50</v>
      </c>
      <c r="BU215">
        <v>6.5216999999999997E-2</v>
      </c>
      <c r="BV215">
        <v>46.956522</v>
      </c>
      <c r="BW215">
        <v>50</v>
      </c>
      <c r="BX215" t="s">
        <v>125</v>
      </c>
      <c r="BY215" t="s">
        <v>125</v>
      </c>
      <c r="BZ215" t="s">
        <v>125</v>
      </c>
      <c r="CA215" t="s">
        <v>125</v>
      </c>
      <c r="CB215" t="s">
        <v>125</v>
      </c>
      <c r="CC215" t="s">
        <v>125</v>
      </c>
      <c r="CD215" t="s">
        <v>125</v>
      </c>
      <c r="CE215" t="s">
        <v>125</v>
      </c>
      <c r="CF215" t="s">
        <v>125</v>
      </c>
      <c r="CG215" t="s">
        <v>125</v>
      </c>
      <c r="CH215" t="s">
        <v>125</v>
      </c>
      <c r="CI215" t="s">
        <v>125</v>
      </c>
      <c r="CJ215" t="s">
        <v>125</v>
      </c>
      <c r="CK215" t="s">
        <v>125</v>
      </c>
      <c r="CL215" t="s">
        <v>125</v>
      </c>
      <c r="CM215" t="s">
        <v>125</v>
      </c>
      <c r="CN215" t="s">
        <v>125</v>
      </c>
      <c r="CO215" t="s">
        <v>125</v>
      </c>
      <c r="CP215" t="s">
        <v>125</v>
      </c>
      <c r="CQ215">
        <v>0.23574100000000001</v>
      </c>
      <c r="CR215">
        <v>0.974074</v>
      </c>
      <c r="CS215">
        <v>15.716096</v>
      </c>
      <c r="CT215">
        <v>50</v>
      </c>
      <c r="CU215" t="s">
        <v>125</v>
      </c>
      <c r="CV215" t="s">
        <v>125</v>
      </c>
      <c r="CW215" t="s">
        <v>125</v>
      </c>
      <c r="CX215" t="s">
        <v>125</v>
      </c>
      <c r="CY215" t="s">
        <v>125</v>
      </c>
      <c r="CZ215" t="s">
        <v>125</v>
      </c>
      <c r="DA215">
        <v>15.314097</v>
      </c>
      <c r="DB215">
        <v>17.400950000000002</v>
      </c>
      <c r="DC215">
        <v>16.332519999999999</v>
      </c>
      <c r="DD215" t="s">
        <v>125</v>
      </c>
      <c r="DE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Q215" t="s">
        <v>126</v>
      </c>
    </row>
    <row r="216" spans="1:121" x14ac:dyDescent="0.15">
      <c r="A216">
        <v>2018</v>
      </c>
      <c r="B216" t="s">
        <v>185</v>
      </c>
      <c r="C216" t="str">
        <f>"0050011"</f>
        <v>0050011</v>
      </c>
      <c r="D216" t="s">
        <v>346</v>
      </c>
      <c r="E216" t="str">
        <f>"0050111"</f>
        <v>0050111</v>
      </c>
      <c r="F216" t="s">
        <v>328</v>
      </c>
      <c r="G216" t="s">
        <v>329</v>
      </c>
      <c r="H216">
        <v>6</v>
      </c>
      <c r="I216" t="s">
        <v>330</v>
      </c>
      <c r="J216" t="s">
        <v>331</v>
      </c>
      <c r="K216">
        <v>669.12992999999994</v>
      </c>
      <c r="L216">
        <v>800</v>
      </c>
      <c r="M216">
        <v>83.641240999999994</v>
      </c>
      <c r="N216">
        <v>2</v>
      </c>
      <c r="O216">
        <v>0</v>
      </c>
      <c r="P216">
        <v>75.429952999999998</v>
      </c>
      <c r="Q216">
        <v>50</v>
      </c>
      <c r="R216">
        <v>50</v>
      </c>
      <c r="S216">
        <v>67.959112000000005</v>
      </c>
      <c r="T216">
        <v>75</v>
      </c>
      <c r="U216">
        <v>45.306075</v>
      </c>
      <c r="V216">
        <v>50</v>
      </c>
      <c r="W216">
        <v>71.100638000000004</v>
      </c>
      <c r="X216">
        <v>47.400424999999998</v>
      </c>
      <c r="Y216">
        <v>50</v>
      </c>
      <c r="Z216">
        <v>75</v>
      </c>
      <c r="AA216">
        <v>63.932156999999997</v>
      </c>
      <c r="AB216">
        <v>42.621437999999998</v>
      </c>
      <c r="AC216">
        <v>50</v>
      </c>
      <c r="AD216">
        <v>75.455408000000006</v>
      </c>
      <c r="AE216">
        <v>50</v>
      </c>
      <c r="AF216">
        <v>50</v>
      </c>
      <c r="AG216" t="s">
        <v>125</v>
      </c>
      <c r="AH216" t="s">
        <v>125</v>
      </c>
      <c r="AI216" t="s">
        <v>125</v>
      </c>
      <c r="AJ216" t="s">
        <v>125</v>
      </c>
      <c r="AK216">
        <v>7.04</v>
      </c>
      <c r="AL216">
        <v>11.06</v>
      </c>
      <c r="AM216" t="s">
        <v>125</v>
      </c>
      <c r="AN216">
        <v>0.69898899999999997</v>
      </c>
      <c r="AO216">
        <v>69.898871999999997</v>
      </c>
      <c r="AP216">
        <v>100</v>
      </c>
      <c r="AQ216">
        <v>0.84371099999999999</v>
      </c>
      <c r="AR216">
        <v>84.371095999999994</v>
      </c>
      <c r="AS216">
        <v>100</v>
      </c>
      <c r="AT216">
        <v>0.594974</v>
      </c>
      <c r="AU216">
        <v>0.78337800000000002</v>
      </c>
      <c r="AV216">
        <v>59.497387000000003</v>
      </c>
      <c r="AW216">
        <v>100</v>
      </c>
      <c r="AX216">
        <v>0.75590199999999996</v>
      </c>
      <c r="AY216">
        <v>0.91495199999999999</v>
      </c>
      <c r="AZ216">
        <v>75.590192000000002</v>
      </c>
      <c r="BA216">
        <v>100</v>
      </c>
      <c r="BB216" t="s">
        <v>125</v>
      </c>
      <c r="BC216" t="s">
        <v>125</v>
      </c>
      <c r="BD216" t="s">
        <v>125</v>
      </c>
      <c r="BE216" t="s">
        <v>125</v>
      </c>
      <c r="BF216" t="s">
        <v>125</v>
      </c>
      <c r="BG216" t="s">
        <v>125</v>
      </c>
      <c r="BH216">
        <v>0</v>
      </c>
      <c r="BI216">
        <v>0.97080299999999997</v>
      </c>
      <c r="BJ216">
        <v>0.96363600000000005</v>
      </c>
      <c r="BK216">
        <v>0.97560999999999998</v>
      </c>
      <c r="BL216">
        <v>0.97080299999999997</v>
      </c>
      <c r="BM216">
        <v>0.96363600000000005</v>
      </c>
      <c r="BN216">
        <v>0.97560999999999998</v>
      </c>
      <c r="BO216">
        <v>1</v>
      </c>
      <c r="BP216">
        <v>1</v>
      </c>
      <c r="BQ216" t="s">
        <v>125</v>
      </c>
      <c r="BR216">
        <v>2.4154999999999999E-2</v>
      </c>
      <c r="BS216">
        <v>50</v>
      </c>
      <c r="BT216">
        <v>50</v>
      </c>
      <c r="BU216">
        <v>3.5714000000000003E-2</v>
      </c>
      <c r="BV216">
        <v>50</v>
      </c>
      <c r="BW216">
        <v>50</v>
      </c>
      <c r="BX216" t="s">
        <v>125</v>
      </c>
      <c r="BY216" t="s">
        <v>125</v>
      </c>
      <c r="BZ216" t="s">
        <v>125</v>
      </c>
      <c r="CA216" t="s">
        <v>125</v>
      </c>
      <c r="CB216" t="s">
        <v>125</v>
      </c>
      <c r="CC216" t="s">
        <v>125</v>
      </c>
      <c r="CD216" t="s">
        <v>125</v>
      </c>
      <c r="CE216" t="s">
        <v>125</v>
      </c>
      <c r="CF216" t="s">
        <v>125</v>
      </c>
      <c r="CG216" t="s">
        <v>125</v>
      </c>
      <c r="CH216" t="s">
        <v>125</v>
      </c>
      <c r="CI216" t="s">
        <v>125</v>
      </c>
      <c r="CJ216" t="s">
        <v>125</v>
      </c>
      <c r="CK216" t="s">
        <v>125</v>
      </c>
      <c r="CL216" t="s">
        <v>125</v>
      </c>
      <c r="CM216" t="s">
        <v>125</v>
      </c>
      <c r="CN216" t="s">
        <v>125</v>
      </c>
      <c r="CO216" t="s">
        <v>125</v>
      </c>
      <c r="CP216" t="s">
        <v>125</v>
      </c>
      <c r="CQ216">
        <v>0.66666700000000001</v>
      </c>
      <c r="CR216">
        <v>1</v>
      </c>
      <c r="CS216">
        <v>44.444443999999997</v>
      </c>
      <c r="CT216">
        <v>50</v>
      </c>
      <c r="CU216" t="s">
        <v>125</v>
      </c>
      <c r="CV216" t="s">
        <v>125</v>
      </c>
      <c r="CW216" t="s">
        <v>125</v>
      </c>
      <c r="CX216" t="s">
        <v>125</v>
      </c>
      <c r="CY216" t="s">
        <v>125</v>
      </c>
      <c r="CZ216" t="s">
        <v>125</v>
      </c>
      <c r="DA216">
        <v>15.314097</v>
      </c>
      <c r="DB216">
        <v>17.400950000000002</v>
      </c>
      <c r="DC216">
        <v>16.332519999999999</v>
      </c>
      <c r="DD216" t="s">
        <v>125</v>
      </c>
      <c r="DE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Q216" t="s">
        <v>126</v>
      </c>
    </row>
    <row r="217" spans="1:121" x14ac:dyDescent="0.15">
      <c r="A217">
        <v>2018</v>
      </c>
      <c r="B217" t="s">
        <v>186</v>
      </c>
      <c r="C217" t="str">
        <f>"0070011"</f>
        <v>0070011</v>
      </c>
      <c r="D217" t="s">
        <v>347</v>
      </c>
      <c r="E217" t="str">
        <f>"0076111"</f>
        <v>0076111</v>
      </c>
      <c r="F217" t="s">
        <v>328</v>
      </c>
      <c r="G217">
        <v>9</v>
      </c>
      <c r="H217">
        <v>12</v>
      </c>
      <c r="I217" t="s">
        <v>330</v>
      </c>
      <c r="J217" t="s">
        <v>331</v>
      </c>
      <c r="K217">
        <v>1165.471536</v>
      </c>
      <c r="L217">
        <v>1450</v>
      </c>
      <c r="M217">
        <v>80.377347</v>
      </c>
      <c r="N217">
        <v>3</v>
      </c>
      <c r="O217">
        <v>1</v>
      </c>
      <c r="P217">
        <v>62.435184999999997</v>
      </c>
      <c r="Q217">
        <v>124.87036999999999</v>
      </c>
      <c r="R217">
        <v>150</v>
      </c>
      <c r="S217">
        <v>49.233333000000002</v>
      </c>
      <c r="T217">
        <v>67.512821000000002</v>
      </c>
      <c r="U217">
        <v>98.466667000000001</v>
      </c>
      <c r="V217">
        <v>150</v>
      </c>
      <c r="W217">
        <v>58.447530999999998</v>
      </c>
      <c r="X217">
        <v>116.895062</v>
      </c>
      <c r="Y217">
        <v>150</v>
      </c>
      <c r="Z217">
        <v>63.692307999999997</v>
      </c>
      <c r="AA217">
        <v>44.811110999999997</v>
      </c>
      <c r="AB217">
        <v>89.622221999999994</v>
      </c>
      <c r="AC217">
        <v>150</v>
      </c>
      <c r="AD217">
        <v>65.690068999999994</v>
      </c>
      <c r="AE217">
        <v>87.586759000000001</v>
      </c>
      <c r="AF217">
        <v>100</v>
      </c>
      <c r="AG217">
        <v>54.345787999999999</v>
      </c>
      <c r="AH217">
        <v>70.053253999999995</v>
      </c>
      <c r="AI217">
        <v>72.46105</v>
      </c>
      <c r="AJ217">
        <v>100</v>
      </c>
      <c r="AK217">
        <v>18.27</v>
      </c>
      <c r="AL217">
        <v>18.88</v>
      </c>
      <c r="AM217">
        <v>15.7</v>
      </c>
      <c r="AN217" t="s">
        <v>125</v>
      </c>
      <c r="AO217" t="s">
        <v>125</v>
      </c>
      <c r="AP217" t="s">
        <v>125</v>
      </c>
      <c r="AQ217" t="s">
        <v>125</v>
      </c>
      <c r="AR217" t="s">
        <v>125</v>
      </c>
      <c r="AS217" t="s">
        <v>125</v>
      </c>
      <c r="AT217" t="s">
        <v>125</v>
      </c>
      <c r="AU217" t="s">
        <v>125</v>
      </c>
      <c r="AV217" t="s">
        <v>125</v>
      </c>
      <c r="AW217" t="s">
        <v>125</v>
      </c>
      <c r="AX217" t="s">
        <v>125</v>
      </c>
      <c r="AY217" t="s">
        <v>125</v>
      </c>
      <c r="AZ217" t="s">
        <v>125</v>
      </c>
      <c r="BA217" t="s">
        <v>125</v>
      </c>
      <c r="BB217" t="s">
        <v>125</v>
      </c>
      <c r="BC217" t="s">
        <v>125</v>
      </c>
      <c r="BD217" t="s">
        <v>125</v>
      </c>
      <c r="BE217" t="s">
        <v>125</v>
      </c>
      <c r="BF217" t="s">
        <v>125</v>
      </c>
      <c r="BG217" t="s">
        <v>125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4.5045000000000002E-2</v>
      </c>
      <c r="BS217">
        <v>50</v>
      </c>
      <c r="BT217">
        <v>50</v>
      </c>
      <c r="BU217">
        <v>0.113122</v>
      </c>
      <c r="BV217">
        <v>37.375565999999999</v>
      </c>
      <c r="BW217">
        <v>50</v>
      </c>
      <c r="BX217">
        <v>0.78220100000000004</v>
      </c>
      <c r="BY217">
        <v>50</v>
      </c>
      <c r="BZ217">
        <v>50</v>
      </c>
      <c r="CA217">
        <v>0.58313800000000005</v>
      </c>
      <c r="CB217">
        <v>38.875878</v>
      </c>
      <c r="CC217">
        <v>50</v>
      </c>
      <c r="CD217">
        <v>0.96279099999999995</v>
      </c>
      <c r="CE217">
        <v>50</v>
      </c>
      <c r="CF217">
        <v>50</v>
      </c>
      <c r="CG217">
        <v>0.96208499999999997</v>
      </c>
      <c r="CH217">
        <v>100</v>
      </c>
      <c r="CI217">
        <v>100</v>
      </c>
      <c r="CJ217">
        <v>0</v>
      </c>
      <c r="CK217">
        <v>0.89655200000000002</v>
      </c>
      <c r="CL217">
        <v>95.377842999999999</v>
      </c>
      <c r="CM217">
        <v>100</v>
      </c>
      <c r="CN217">
        <v>0.85645899999999997</v>
      </c>
      <c r="CO217">
        <v>100</v>
      </c>
      <c r="CP217">
        <v>100</v>
      </c>
      <c r="CQ217">
        <v>0.596244</v>
      </c>
      <c r="CR217">
        <v>0.86585400000000001</v>
      </c>
      <c r="CS217">
        <v>19.874804000000001</v>
      </c>
      <c r="CT217">
        <v>50</v>
      </c>
      <c r="CU217">
        <v>0.40878399999999998</v>
      </c>
      <c r="CV217">
        <v>34.065314999999998</v>
      </c>
      <c r="CW217">
        <v>50</v>
      </c>
      <c r="CX217">
        <v>0.89655200000000002</v>
      </c>
      <c r="CY217">
        <v>0.94</v>
      </c>
      <c r="CZ217">
        <v>4.3448000000000001E-2</v>
      </c>
      <c r="DA217">
        <v>15.314097</v>
      </c>
      <c r="DB217">
        <v>17.400950000000002</v>
      </c>
      <c r="DC217">
        <v>16.332519999999999</v>
      </c>
      <c r="DD217">
        <v>7.9891730000000001</v>
      </c>
      <c r="DE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Q217" t="s">
        <v>126</v>
      </c>
    </row>
    <row r="218" spans="1:121" x14ac:dyDescent="0.15">
      <c r="A218">
        <v>2018</v>
      </c>
      <c r="B218" t="s">
        <v>186</v>
      </c>
      <c r="C218" t="str">
        <f>"0070011"</f>
        <v>0070011</v>
      </c>
      <c r="D218" t="s">
        <v>348</v>
      </c>
      <c r="E218" t="str">
        <f>"0075111"</f>
        <v>0075111</v>
      </c>
      <c r="F218" t="s">
        <v>328</v>
      </c>
      <c r="G218">
        <v>6</v>
      </c>
      <c r="H218">
        <v>8</v>
      </c>
      <c r="I218" t="s">
        <v>330</v>
      </c>
      <c r="J218" t="s">
        <v>331</v>
      </c>
      <c r="K218">
        <v>682.01586299999997</v>
      </c>
      <c r="L218">
        <v>900</v>
      </c>
      <c r="M218">
        <v>75.779539999999997</v>
      </c>
      <c r="N218">
        <v>3</v>
      </c>
      <c r="O218">
        <v>1</v>
      </c>
      <c r="P218">
        <v>72.390257000000005</v>
      </c>
      <c r="Q218">
        <v>48.260171999999997</v>
      </c>
      <c r="R218">
        <v>50</v>
      </c>
      <c r="S218">
        <v>59.385111999999999</v>
      </c>
      <c r="T218">
        <v>75</v>
      </c>
      <c r="U218">
        <v>39.590074999999999</v>
      </c>
      <c r="V218">
        <v>50</v>
      </c>
      <c r="W218">
        <v>71.004389000000003</v>
      </c>
      <c r="X218">
        <v>47.336260000000003</v>
      </c>
      <c r="Y218">
        <v>50</v>
      </c>
      <c r="Z218">
        <v>75</v>
      </c>
      <c r="AA218">
        <v>55.952506</v>
      </c>
      <c r="AB218">
        <v>37.301670999999999</v>
      </c>
      <c r="AC218">
        <v>50</v>
      </c>
      <c r="AD218">
        <v>70.139033999999995</v>
      </c>
      <c r="AE218">
        <v>46.759355999999997</v>
      </c>
      <c r="AF218">
        <v>50</v>
      </c>
      <c r="AG218">
        <v>59.636015</v>
      </c>
      <c r="AH218">
        <v>74.387446999999995</v>
      </c>
      <c r="AI218">
        <v>39.757344000000003</v>
      </c>
      <c r="AJ218">
        <v>50</v>
      </c>
      <c r="AK218">
        <v>15.61</v>
      </c>
      <c r="AL218">
        <v>19.04</v>
      </c>
      <c r="AM218">
        <v>14.75</v>
      </c>
      <c r="AN218">
        <v>0.52637599999999996</v>
      </c>
      <c r="AO218">
        <v>52.637593000000003</v>
      </c>
      <c r="AP218">
        <v>100</v>
      </c>
      <c r="AQ218">
        <v>0.67443900000000001</v>
      </c>
      <c r="AR218">
        <v>67.443869000000007</v>
      </c>
      <c r="AS218">
        <v>100</v>
      </c>
      <c r="AT218">
        <v>0.513459</v>
      </c>
      <c r="AU218">
        <v>0.53131899999999999</v>
      </c>
      <c r="AV218">
        <v>51.345922999999999</v>
      </c>
      <c r="AW218">
        <v>100</v>
      </c>
      <c r="AX218">
        <v>0.65466199999999997</v>
      </c>
      <c r="AY218">
        <v>0.68183899999999997</v>
      </c>
      <c r="AZ218">
        <v>65.466218999999995</v>
      </c>
      <c r="BA218">
        <v>100</v>
      </c>
      <c r="BB218" t="s">
        <v>125</v>
      </c>
      <c r="BC218" t="s">
        <v>125</v>
      </c>
      <c r="BD218" t="s">
        <v>125</v>
      </c>
      <c r="BE218" t="s">
        <v>125</v>
      </c>
      <c r="BF218" t="s">
        <v>125</v>
      </c>
      <c r="BG218" t="s">
        <v>125</v>
      </c>
      <c r="BH218">
        <v>0</v>
      </c>
      <c r="BI218">
        <v>0.96943199999999996</v>
      </c>
      <c r="BJ218">
        <v>0.97087400000000001</v>
      </c>
      <c r="BK218">
        <v>0.96881499999999998</v>
      </c>
      <c r="BL218">
        <v>0.96943199999999996</v>
      </c>
      <c r="BM218">
        <v>0.97087400000000001</v>
      </c>
      <c r="BN218">
        <v>0.96881499999999998</v>
      </c>
      <c r="BO218">
        <v>0.97297299999999998</v>
      </c>
      <c r="BP218">
        <v>0.98666699999999996</v>
      </c>
      <c r="BQ218">
        <v>0.967391</v>
      </c>
      <c r="BR218">
        <v>2.6238999999999998E-2</v>
      </c>
      <c r="BS218">
        <v>50</v>
      </c>
      <c r="BT218">
        <v>50</v>
      </c>
      <c r="BU218">
        <v>4.1237000000000003E-2</v>
      </c>
      <c r="BV218">
        <v>50</v>
      </c>
      <c r="BW218">
        <v>50</v>
      </c>
      <c r="BX218" t="s">
        <v>125</v>
      </c>
      <c r="BY218" t="s">
        <v>125</v>
      </c>
      <c r="BZ218" t="s">
        <v>125</v>
      </c>
      <c r="CA218" t="s">
        <v>125</v>
      </c>
      <c r="CB218" t="s">
        <v>125</v>
      </c>
      <c r="CC218" t="s">
        <v>125</v>
      </c>
      <c r="CD218">
        <v>0.98048800000000003</v>
      </c>
      <c r="CE218">
        <v>50</v>
      </c>
      <c r="CF218">
        <v>50</v>
      </c>
      <c r="CG218" t="s">
        <v>125</v>
      </c>
      <c r="CH218" t="s">
        <v>125</v>
      </c>
      <c r="CI218" t="s">
        <v>125</v>
      </c>
      <c r="CJ218" t="s">
        <v>125</v>
      </c>
      <c r="CK218" t="s">
        <v>125</v>
      </c>
      <c r="CL218" t="s">
        <v>125</v>
      </c>
      <c r="CM218" t="s">
        <v>125</v>
      </c>
      <c r="CN218" t="s">
        <v>125</v>
      </c>
      <c r="CO218" t="s">
        <v>125</v>
      </c>
      <c r="CP218" t="s">
        <v>125</v>
      </c>
      <c r="CQ218">
        <v>0.54176100000000005</v>
      </c>
      <c r="CR218">
        <v>0.91908699999999999</v>
      </c>
      <c r="CS218">
        <v>36.117381000000002</v>
      </c>
      <c r="CT218">
        <v>50</v>
      </c>
      <c r="CU218" t="s">
        <v>125</v>
      </c>
      <c r="CV218" t="s">
        <v>125</v>
      </c>
      <c r="CW218" t="s">
        <v>125</v>
      </c>
      <c r="CX218" t="s">
        <v>125</v>
      </c>
      <c r="CY218" t="s">
        <v>125</v>
      </c>
      <c r="CZ218" t="s">
        <v>125</v>
      </c>
      <c r="DA218">
        <v>15.314097</v>
      </c>
      <c r="DB218">
        <v>17.400950000000002</v>
      </c>
      <c r="DC218">
        <v>16.332519999999999</v>
      </c>
      <c r="DD218" t="s">
        <v>125</v>
      </c>
      <c r="DE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Q218" t="s">
        <v>126</v>
      </c>
    </row>
    <row r="219" spans="1:121" x14ac:dyDescent="0.15">
      <c r="A219">
        <v>2018</v>
      </c>
      <c r="B219" t="s">
        <v>186</v>
      </c>
      <c r="C219" t="str">
        <f>"0070011"</f>
        <v>0070011</v>
      </c>
      <c r="D219" t="s">
        <v>349</v>
      </c>
      <c r="E219" t="str">
        <f>"0070411"</f>
        <v>0070411</v>
      </c>
      <c r="F219" t="s">
        <v>328</v>
      </c>
      <c r="G219" t="s">
        <v>329</v>
      </c>
      <c r="H219">
        <v>5</v>
      </c>
      <c r="J219" t="s">
        <v>331</v>
      </c>
      <c r="K219">
        <v>641.48125900000002</v>
      </c>
      <c r="L219">
        <v>850</v>
      </c>
      <c r="M219">
        <v>75.468383000000003</v>
      </c>
      <c r="N219">
        <v>2</v>
      </c>
      <c r="O219">
        <v>0</v>
      </c>
      <c r="P219">
        <v>70.893763000000007</v>
      </c>
      <c r="Q219">
        <v>47.262509000000001</v>
      </c>
      <c r="R219">
        <v>50</v>
      </c>
      <c r="S219">
        <v>61.101591999999997</v>
      </c>
      <c r="T219">
        <v>75</v>
      </c>
      <c r="U219">
        <v>40.734394999999999</v>
      </c>
      <c r="V219">
        <v>50</v>
      </c>
      <c r="W219">
        <v>73.31532</v>
      </c>
      <c r="X219">
        <v>48.87688</v>
      </c>
      <c r="Y219">
        <v>50</v>
      </c>
      <c r="Z219">
        <v>75</v>
      </c>
      <c r="AA219">
        <v>61.552536000000003</v>
      </c>
      <c r="AB219">
        <v>41.035024</v>
      </c>
      <c r="AC219">
        <v>50</v>
      </c>
      <c r="AD219">
        <v>65.203858999999994</v>
      </c>
      <c r="AE219">
        <v>43.469239000000002</v>
      </c>
      <c r="AF219">
        <v>50</v>
      </c>
      <c r="AG219">
        <v>55.500779999999999</v>
      </c>
      <c r="AH219">
        <v>71.470429999999993</v>
      </c>
      <c r="AI219">
        <v>37.000520000000002</v>
      </c>
      <c r="AJ219">
        <v>50</v>
      </c>
      <c r="AK219">
        <v>13.89</v>
      </c>
      <c r="AL219">
        <v>13.44</v>
      </c>
      <c r="AM219">
        <v>15.96</v>
      </c>
      <c r="AN219">
        <v>0.56461399999999995</v>
      </c>
      <c r="AO219">
        <v>56.461410000000001</v>
      </c>
      <c r="AP219">
        <v>100</v>
      </c>
      <c r="AQ219">
        <v>0.63632599999999995</v>
      </c>
      <c r="AR219">
        <v>63.632634000000003</v>
      </c>
      <c r="AS219">
        <v>100</v>
      </c>
      <c r="AT219">
        <v>0.50556500000000004</v>
      </c>
      <c r="AU219">
        <v>0.596549</v>
      </c>
      <c r="AV219">
        <v>50.556479000000003</v>
      </c>
      <c r="AW219">
        <v>100</v>
      </c>
      <c r="AX219">
        <v>0.66464500000000004</v>
      </c>
      <c r="AY219">
        <v>0.62101099999999998</v>
      </c>
      <c r="AZ219">
        <v>66.464515000000006</v>
      </c>
      <c r="BA219">
        <v>100</v>
      </c>
      <c r="BB219" t="s">
        <v>125</v>
      </c>
      <c r="BC219" t="s">
        <v>125</v>
      </c>
      <c r="BD219" t="s">
        <v>125</v>
      </c>
      <c r="BE219" t="s">
        <v>125</v>
      </c>
      <c r="BF219" t="s">
        <v>125</v>
      </c>
      <c r="BG219" t="s">
        <v>125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0.98780500000000004</v>
      </c>
      <c r="BP219">
        <v>0.97058800000000001</v>
      </c>
      <c r="BQ219">
        <v>1</v>
      </c>
      <c r="BR219">
        <v>2.8302000000000001E-2</v>
      </c>
      <c r="BS219">
        <v>50</v>
      </c>
      <c r="BT219">
        <v>50</v>
      </c>
      <c r="BU219">
        <v>6.1727999999999998E-2</v>
      </c>
      <c r="BV219">
        <v>47.654321000000003</v>
      </c>
      <c r="BW219">
        <v>50</v>
      </c>
      <c r="BX219" t="s">
        <v>125</v>
      </c>
      <c r="BY219" t="s">
        <v>125</v>
      </c>
      <c r="BZ219" t="s">
        <v>125</v>
      </c>
      <c r="CA219" t="s">
        <v>125</v>
      </c>
      <c r="CB219" t="s">
        <v>125</v>
      </c>
      <c r="CC219" t="s">
        <v>125</v>
      </c>
      <c r="CD219" t="s">
        <v>125</v>
      </c>
      <c r="CE219" t="s">
        <v>125</v>
      </c>
      <c r="CF219" t="s">
        <v>125</v>
      </c>
      <c r="CG219" t="s">
        <v>125</v>
      </c>
      <c r="CH219" t="s">
        <v>125</v>
      </c>
      <c r="CI219" t="s">
        <v>125</v>
      </c>
      <c r="CJ219" t="s">
        <v>125</v>
      </c>
      <c r="CK219" t="s">
        <v>125</v>
      </c>
      <c r="CL219" t="s">
        <v>125</v>
      </c>
      <c r="CM219" t="s">
        <v>125</v>
      </c>
      <c r="CN219" t="s">
        <v>125</v>
      </c>
      <c r="CO219" t="s">
        <v>125</v>
      </c>
      <c r="CP219" t="s">
        <v>125</v>
      </c>
      <c r="CQ219">
        <v>0.72499999999999998</v>
      </c>
      <c r="CR219">
        <v>0.98765400000000003</v>
      </c>
      <c r="CS219">
        <v>48.333333000000003</v>
      </c>
      <c r="CT219">
        <v>50</v>
      </c>
      <c r="CU219" t="s">
        <v>125</v>
      </c>
      <c r="CV219" t="s">
        <v>125</v>
      </c>
      <c r="CW219" t="s">
        <v>125</v>
      </c>
      <c r="CX219" t="s">
        <v>125</v>
      </c>
      <c r="CY219" t="s">
        <v>125</v>
      </c>
      <c r="CZ219" t="s">
        <v>125</v>
      </c>
      <c r="DA219">
        <v>15.314097</v>
      </c>
      <c r="DB219">
        <v>17.400950000000002</v>
      </c>
      <c r="DC219">
        <v>16.332519999999999</v>
      </c>
      <c r="DD219" t="s">
        <v>125</v>
      </c>
      <c r="DE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Q219" t="s">
        <v>126</v>
      </c>
    </row>
    <row r="220" spans="1:121" x14ac:dyDescent="0.15">
      <c r="A220">
        <v>2018</v>
      </c>
      <c r="B220" t="s">
        <v>186</v>
      </c>
      <c r="C220" t="str">
        <f>"0070011"</f>
        <v>0070011</v>
      </c>
      <c r="D220" t="s">
        <v>350</v>
      </c>
      <c r="E220" t="str">
        <f>"0070511"</f>
        <v>0070511</v>
      </c>
      <c r="F220" t="s">
        <v>328</v>
      </c>
      <c r="G220" t="s">
        <v>339</v>
      </c>
      <c r="H220">
        <v>5</v>
      </c>
      <c r="J220" t="s">
        <v>331</v>
      </c>
      <c r="K220">
        <v>671.065786</v>
      </c>
      <c r="L220">
        <v>850</v>
      </c>
      <c r="M220">
        <v>78.948915999999997</v>
      </c>
      <c r="N220">
        <v>3</v>
      </c>
      <c r="O220">
        <v>0</v>
      </c>
      <c r="P220">
        <v>73.601778999999993</v>
      </c>
      <c r="Q220">
        <v>49.067852000000002</v>
      </c>
      <c r="R220">
        <v>50</v>
      </c>
      <c r="S220">
        <v>66.936194999999998</v>
      </c>
      <c r="T220">
        <v>75</v>
      </c>
      <c r="U220">
        <v>44.624130000000001</v>
      </c>
      <c r="V220">
        <v>50</v>
      </c>
      <c r="W220">
        <v>71.950433000000004</v>
      </c>
      <c r="X220">
        <v>47.966954999999999</v>
      </c>
      <c r="Y220">
        <v>50</v>
      </c>
      <c r="Z220">
        <v>75</v>
      </c>
      <c r="AA220">
        <v>64.392342999999997</v>
      </c>
      <c r="AB220">
        <v>42.928227999999997</v>
      </c>
      <c r="AC220">
        <v>50</v>
      </c>
      <c r="AD220">
        <v>70.818336000000002</v>
      </c>
      <c r="AE220">
        <v>47.212223999999999</v>
      </c>
      <c r="AF220">
        <v>50</v>
      </c>
      <c r="AG220">
        <v>63.068724000000003</v>
      </c>
      <c r="AH220">
        <v>74.181376</v>
      </c>
      <c r="AI220">
        <v>42.045816000000002</v>
      </c>
      <c r="AJ220">
        <v>50</v>
      </c>
      <c r="AK220">
        <v>8.06</v>
      </c>
      <c r="AL220">
        <v>10.6</v>
      </c>
      <c r="AM220">
        <v>11.11</v>
      </c>
      <c r="AN220">
        <v>0.65300100000000005</v>
      </c>
      <c r="AO220">
        <v>65.300111999999999</v>
      </c>
      <c r="AP220">
        <v>100</v>
      </c>
      <c r="AQ220">
        <v>0.570469</v>
      </c>
      <c r="AR220">
        <v>57.046872</v>
      </c>
      <c r="AS220">
        <v>100</v>
      </c>
      <c r="AT220">
        <v>0.64501600000000003</v>
      </c>
      <c r="AU220">
        <v>0.65607199999999999</v>
      </c>
      <c r="AV220">
        <v>64.501575000000003</v>
      </c>
      <c r="AW220">
        <v>100</v>
      </c>
      <c r="AX220">
        <v>0.60829500000000003</v>
      </c>
      <c r="AY220">
        <v>0.55591999999999997</v>
      </c>
      <c r="AZ220">
        <v>60.829537000000002</v>
      </c>
      <c r="BA220">
        <v>100</v>
      </c>
      <c r="BB220" t="s">
        <v>125</v>
      </c>
      <c r="BC220" t="s">
        <v>125</v>
      </c>
      <c r="BD220" t="s">
        <v>125</v>
      </c>
      <c r="BE220" t="s">
        <v>125</v>
      </c>
      <c r="BF220" t="s">
        <v>125</v>
      </c>
      <c r="BG220" t="s">
        <v>125</v>
      </c>
      <c r="BH220">
        <v>1</v>
      </c>
      <c r="BI220">
        <v>0.97992000000000001</v>
      </c>
      <c r="BJ220">
        <v>0.97402599999999995</v>
      </c>
      <c r="BK220">
        <v>0.98255800000000004</v>
      </c>
      <c r="BL220">
        <v>0.97992000000000001</v>
      </c>
      <c r="BM220">
        <v>0.97402599999999995</v>
      </c>
      <c r="BN220">
        <v>0.98255800000000004</v>
      </c>
      <c r="BO220">
        <v>0.93902399999999997</v>
      </c>
      <c r="BP220">
        <v>0.92307700000000004</v>
      </c>
      <c r="BQ220">
        <v>0.94642899999999996</v>
      </c>
      <c r="BR220">
        <v>2.6103999999999999E-2</v>
      </c>
      <c r="BS220">
        <v>50</v>
      </c>
      <c r="BT220">
        <v>50</v>
      </c>
      <c r="BU220">
        <v>5.2288000000000001E-2</v>
      </c>
      <c r="BV220">
        <v>49.542484000000002</v>
      </c>
      <c r="BW220">
        <v>50</v>
      </c>
      <c r="BX220" t="s">
        <v>125</v>
      </c>
      <c r="BY220" t="s">
        <v>125</v>
      </c>
      <c r="BZ220" t="s">
        <v>125</v>
      </c>
      <c r="CA220" t="s">
        <v>125</v>
      </c>
      <c r="CB220" t="s">
        <v>125</v>
      </c>
      <c r="CC220" t="s">
        <v>125</v>
      </c>
      <c r="CD220" t="s">
        <v>125</v>
      </c>
      <c r="CE220" t="s">
        <v>125</v>
      </c>
      <c r="CF220" t="s">
        <v>125</v>
      </c>
      <c r="CG220" t="s">
        <v>125</v>
      </c>
      <c r="CH220" t="s">
        <v>125</v>
      </c>
      <c r="CI220" t="s">
        <v>125</v>
      </c>
      <c r="CJ220" t="s">
        <v>125</v>
      </c>
      <c r="CK220" t="s">
        <v>125</v>
      </c>
      <c r="CL220" t="s">
        <v>125</v>
      </c>
      <c r="CM220" t="s">
        <v>125</v>
      </c>
      <c r="CN220" t="s">
        <v>125</v>
      </c>
      <c r="CO220" t="s">
        <v>125</v>
      </c>
      <c r="CP220" t="s">
        <v>125</v>
      </c>
      <c r="CQ220">
        <v>0.81395300000000004</v>
      </c>
      <c r="CR220">
        <v>0.97727299999999995</v>
      </c>
      <c r="CS220">
        <v>50</v>
      </c>
      <c r="CT220">
        <v>50</v>
      </c>
      <c r="CU220" t="s">
        <v>125</v>
      </c>
      <c r="CV220" t="s">
        <v>125</v>
      </c>
      <c r="CW220" t="s">
        <v>125</v>
      </c>
      <c r="CX220" t="s">
        <v>125</v>
      </c>
      <c r="CY220" t="s">
        <v>125</v>
      </c>
      <c r="CZ220" t="s">
        <v>125</v>
      </c>
      <c r="DA220">
        <v>15.314097</v>
      </c>
      <c r="DB220">
        <v>17.400950000000002</v>
      </c>
      <c r="DC220">
        <v>16.332519999999999</v>
      </c>
      <c r="DD220" t="s">
        <v>125</v>
      </c>
      <c r="DE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Q220" t="s">
        <v>126</v>
      </c>
    </row>
    <row r="221" spans="1:121" x14ac:dyDescent="0.15">
      <c r="A221">
        <v>2018</v>
      </c>
      <c r="B221" t="s">
        <v>186</v>
      </c>
      <c r="C221" t="str">
        <f>"0070011"</f>
        <v>0070011</v>
      </c>
      <c r="D221" t="s">
        <v>351</v>
      </c>
      <c r="E221" t="str">
        <f>"0070111"</f>
        <v>0070111</v>
      </c>
      <c r="F221" t="s">
        <v>328</v>
      </c>
      <c r="G221" t="s">
        <v>339</v>
      </c>
      <c r="H221">
        <v>5</v>
      </c>
      <c r="J221" t="s">
        <v>331</v>
      </c>
      <c r="K221">
        <v>663.76195800000005</v>
      </c>
      <c r="L221">
        <v>850</v>
      </c>
      <c r="M221">
        <v>78.089641999999998</v>
      </c>
      <c r="N221">
        <v>2</v>
      </c>
      <c r="O221">
        <v>0</v>
      </c>
      <c r="P221">
        <v>77.099208000000004</v>
      </c>
      <c r="Q221">
        <v>50</v>
      </c>
      <c r="R221">
        <v>50</v>
      </c>
      <c r="S221">
        <v>66.954958000000005</v>
      </c>
      <c r="T221">
        <v>75</v>
      </c>
      <c r="U221">
        <v>44.636639000000002</v>
      </c>
      <c r="V221">
        <v>50</v>
      </c>
      <c r="W221">
        <v>74.529835000000006</v>
      </c>
      <c r="X221">
        <v>49.686557000000001</v>
      </c>
      <c r="Y221">
        <v>50</v>
      </c>
      <c r="Z221">
        <v>75</v>
      </c>
      <c r="AA221">
        <v>63.837300999999997</v>
      </c>
      <c r="AB221">
        <v>42.558200999999997</v>
      </c>
      <c r="AC221">
        <v>50</v>
      </c>
      <c r="AD221">
        <v>70.147670000000005</v>
      </c>
      <c r="AE221">
        <v>46.765113999999997</v>
      </c>
      <c r="AF221">
        <v>50</v>
      </c>
      <c r="AG221">
        <v>62.112202000000003</v>
      </c>
      <c r="AH221">
        <v>75</v>
      </c>
      <c r="AI221">
        <v>41.408135000000001</v>
      </c>
      <c r="AJ221">
        <v>50</v>
      </c>
      <c r="AK221">
        <v>8.0399999999999991</v>
      </c>
      <c r="AL221">
        <v>11.16</v>
      </c>
      <c r="AM221">
        <v>12.88</v>
      </c>
      <c r="AN221">
        <v>0.58023800000000003</v>
      </c>
      <c r="AO221">
        <v>58.023775999999998</v>
      </c>
      <c r="AP221">
        <v>100</v>
      </c>
      <c r="AQ221">
        <v>0.69652199999999997</v>
      </c>
      <c r="AR221">
        <v>69.652220999999997</v>
      </c>
      <c r="AS221">
        <v>100</v>
      </c>
      <c r="AT221">
        <v>0.58777999999999997</v>
      </c>
      <c r="AU221">
        <v>0.57443599999999995</v>
      </c>
      <c r="AV221">
        <v>58.778046000000003</v>
      </c>
      <c r="AW221">
        <v>100</v>
      </c>
      <c r="AX221">
        <v>0.65476000000000001</v>
      </c>
      <c r="AY221">
        <v>0.72949200000000003</v>
      </c>
      <c r="AZ221">
        <v>65.475983999999997</v>
      </c>
      <c r="BA221">
        <v>100</v>
      </c>
      <c r="BB221" t="s">
        <v>125</v>
      </c>
      <c r="BC221" t="s">
        <v>125</v>
      </c>
      <c r="BD221" t="s">
        <v>125</v>
      </c>
      <c r="BE221" t="s">
        <v>125</v>
      </c>
      <c r="BF221" t="s">
        <v>125</v>
      </c>
      <c r="BG221" t="s">
        <v>125</v>
      </c>
      <c r="BH221">
        <v>0</v>
      </c>
      <c r="BI221">
        <v>0.99152499999999999</v>
      </c>
      <c r="BJ221">
        <v>0.97959200000000002</v>
      </c>
      <c r="BK221">
        <v>1</v>
      </c>
      <c r="BL221">
        <v>0.99137900000000001</v>
      </c>
      <c r="BM221">
        <v>0.97959200000000002</v>
      </c>
      <c r="BN221">
        <v>1</v>
      </c>
      <c r="BO221">
        <v>1</v>
      </c>
      <c r="BP221">
        <v>1</v>
      </c>
      <c r="BQ221">
        <v>1</v>
      </c>
      <c r="BR221">
        <v>6.1947000000000002E-2</v>
      </c>
      <c r="BS221">
        <v>47.610619</v>
      </c>
      <c r="BT221">
        <v>50</v>
      </c>
      <c r="BU221">
        <v>0.104167</v>
      </c>
      <c r="BV221">
        <v>39.166666999999997</v>
      </c>
      <c r="BW221">
        <v>50</v>
      </c>
      <c r="BX221" t="s">
        <v>125</v>
      </c>
      <c r="BY221" t="s">
        <v>125</v>
      </c>
      <c r="BZ221" t="s">
        <v>125</v>
      </c>
      <c r="CA221" t="s">
        <v>125</v>
      </c>
      <c r="CB221" t="s">
        <v>125</v>
      </c>
      <c r="CC221" t="s">
        <v>125</v>
      </c>
      <c r="CD221" t="s">
        <v>125</v>
      </c>
      <c r="CE221" t="s">
        <v>125</v>
      </c>
      <c r="CF221" t="s">
        <v>125</v>
      </c>
      <c r="CG221" t="s">
        <v>125</v>
      </c>
      <c r="CH221" t="s">
        <v>125</v>
      </c>
      <c r="CI221" t="s">
        <v>125</v>
      </c>
      <c r="CJ221" t="s">
        <v>125</v>
      </c>
      <c r="CK221" t="s">
        <v>125</v>
      </c>
      <c r="CL221" t="s">
        <v>125</v>
      </c>
      <c r="CM221" t="s">
        <v>125</v>
      </c>
      <c r="CN221" t="s">
        <v>125</v>
      </c>
      <c r="CO221" t="s">
        <v>125</v>
      </c>
      <c r="CP221" t="s">
        <v>125</v>
      </c>
      <c r="CQ221">
        <v>0.79166700000000001</v>
      </c>
      <c r="CR221">
        <v>0.92307700000000004</v>
      </c>
      <c r="CS221">
        <v>50</v>
      </c>
      <c r="CT221">
        <v>50</v>
      </c>
      <c r="CU221" t="s">
        <v>125</v>
      </c>
      <c r="CV221" t="s">
        <v>125</v>
      </c>
      <c r="CW221" t="s">
        <v>125</v>
      </c>
      <c r="CX221" t="s">
        <v>125</v>
      </c>
      <c r="CY221" t="s">
        <v>125</v>
      </c>
      <c r="CZ221" t="s">
        <v>125</v>
      </c>
      <c r="DA221">
        <v>15.314097</v>
      </c>
      <c r="DB221">
        <v>17.400950000000002</v>
      </c>
      <c r="DC221">
        <v>16.332519999999999</v>
      </c>
      <c r="DD221" t="s">
        <v>125</v>
      </c>
      <c r="DE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Q221" t="s">
        <v>126</v>
      </c>
    </row>
    <row r="222" spans="1:121" x14ac:dyDescent="0.15">
      <c r="A222">
        <v>2018</v>
      </c>
      <c r="B222" t="s">
        <v>198</v>
      </c>
      <c r="C222" t="str">
        <f>"0080011"</f>
        <v>0080011</v>
      </c>
      <c r="D222" t="s">
        <v>352</v>
      </c>
      <c r="E222" t="str">
        <f>"0080111"</f>
        <v>0080111</v>
      </c>
      <c r="F222" t="s">
        <v>328</v>
      </c>
      <c r="G222" t="s">
        <v>329</v>
      </c>
      <c r="H222">
        <v>6</v>
      </c>
      <c r="I222" t="s">
        <v>330</v>
      </c>
      <c r="J222" t="s">
        <v>331</v>
      </c>
      <c r="K222">
        <v>650.39511900000002</v>
      </c>
      <c r="L222">
        <v>800</v>
      </c>
      <c r="M222">
        <v>81.299390000000002</v>
      </c>
      <c r="N222">
        <v>2</v>
      </c>
      <c r="O222">
        <v>0</v>
      </c>
      <c r="P222">
        <v>76.494558999999995</v>
      </c>
      <c r="Q222">
        <v>50</v>
      </c>
      <c r="R222">
        <v>50</v>
      </c>
      <c r="S222">
        <v>62.517381999999998</v>
      </c>
      <c r="T222">
        <v>75</v>
      </c>
      <c r="U222">
        <v>41.678255</v>
      </c>
      <c r="V222">
        <v>50</v>
      </c>
      <c r="W222">
        <v>72.013277000000002</v>
      </c>
      <c r="X222">
        <v>48.008851</v>
      </c>
      <c r="Y222">
        <v>50</v>
      </c>
      <c r="Z222">
        <v>75</v>
      </c>
      <c r="AA222">
        <v>60.699537999999997</v>
      </c>
      <c r="AB222">
        <v>40.466358999999997</v>
      </c>
      <c r="AC222">
        <v>50</v>
      </c>
      <c r="AD222">
        <v>73.538200000000003</v>
      </c>
      <c r="AE222">
        <v>49.025466999999999</v>
      </c>
      <c r="AF222">
        <v>50</v>
      </c>
      <c r="AG222" t="s">
        <v>125</v>
      </c>
      <c r="AH222">
        <v>75</v>
      </c>
      <c r="AI222" t="s">
        <v>125</v>
      </c>
      <c r="AJ222" t="s">
        <v>125</v>
      </c>
      <c r="AK222">
        <v>12.48</v>
      </c>
      <c r="AL222">
        <v>14.3</v>
      </c>
      <c r="AM222" t="s">
        <v>125</v>
      </c>
      <c r="AN222">
        <v>0.73232600000000003</v>
      </c>
      <c r="AO222">
        <v>73.232607999999999</v>
      </c>
      <c r="AP222">
        <v>100</v>
      </c>
      <c r="AQ222">
        <v>0.78785700000000003</v>
      </c>
      <c r="AR222">
        <v>78.785675999999995</v>
      </c>
      <c r="AS222">
        <v>100</v>
      </c>
      <c r="AT222">
        <v>0.60761200000000004</v>
      </c>
      <c r="AU222">
        <v>0.78409399999999996</v>
      </c>
      <c r="AV222">
        <v>60.761184</v>
      </c>
      <c r="AW222">
        <v>100</v>
      </c>
      <c r="AX222">
        <v>0.73521300000000001</v>
      </c>
      <c r="AY222">
        <v>0.80970900000000001</v>
      </c>
      <c r="AZ222">
        <v>73.521333999999996</v>
      </c>
      <c r="BA222">
        <v>100</v>
      </c>
      <c r="BB222" t="s">
        <v>125</v>
      </c>
      <c r="BC222" t="s">
        <v>125</v>
      </c>
      <c r="BD222" t="s">
        <v>125</v>
      </c>
      <c r="BE222" t="s">
        <v>125</v>
      </c>
      <c r="BF222" t="s">
        <v>125</v>
      </c>
      <c r="BG222" t="s">
        <v>125</v>
      </c>
      <c r="BH222">
        <v>0</v>
      </c>
      <c r="BI222">
        <v>0.98578200000000005</v>
      </c>
      <c r="BJ222">
        <v>1</v>
      </c>
      <c r="BK222">
        <v>0.98</v>
      </c>
      <c r="BL222">
        <v>0.98578200000000005</v>
      </c>
      <c r="BM222">
        <v>1</v>
      </c>
      <c r="BN222">
        <v>0.98</v>
      </c>
      <c r="BO222">
        <v>0.95161300000000004</v>
      </c>
      <c r="BP222" t="s">
        <v>125</v>
      </c>
      <c r="BQ222">
        <v>0.93478300000000003</v>
      </c>
      <c r="BR222">
        <v>5.3976999999999997E-2</v>
      </c>
      <c r="BS222">
        <v>49.204545000000003</v>
      </c>
      <c r="BT222">
        <v>50</v>
      </c>
      <c r="BU222">
        <v>0.105769</v>
      </c>
      <c r="BV222">
        <v>38.846153999999999</v>
      </c>
      <c r="BW222">
        <v>50</v>
      </c>
      <c r="BX222" t="s">
        <v>125</v>
      </c>
      <c r="BY222" t="s">
        <v>125</v>
      </c>
      <c r="BZ222" t="s">
        <v>125</v>
      </c>
      <c r="CA222" t="s">
        <v>125</v>
      </c>
      <c r="CB222" t="s">
        <v>125</v>
      </c>
      <c r="CC222" t="s">
        <v>125</v>
      </c>
      <c r="CD222" t="s">
        <v>125</v>
      </c>
      <c r="CE222" t="s">
        <v>125</v>
      </c>
      <c r="CF222" t="s">
        <v>125</v>
      </c>
      <c r="CG222" t="s">
        <v>125</v>
      </c>
      <c r="CH222" t="s">
        <v>125</v>
      </c>
      <c r="CI222" t="s">
        <v>125</v>
      </c>
      <c r="CJ222" t="s">
        <v>125</v>
      </c>
      <c r="CK222" t="s">
        <v>125</v>
      </c>
      <c r="CL222" t="s">
        <v>125</v>
      </c>
      <c r="CM222" t="s">
        <v>125</v>
      </c>
      <c r="CN222" t="s">
        <v>125</v>
      </c>
      <c r="CO222" t="s">
        <v>125</v>
      </c>
      <c r="CP222" t="s">
        <v>125</v>
      </c>
      <c r="CQ222">
        <v>0.70296999999999998</v>
      </c>
      <c r="CR222">
        <v>1</v>
      </c>
      <c r="CS222">
        <v>46.864685999999999</v>
      </c>
      <c r="CT222">
        <v>50</v>
      </c>
      <c r="CU222" t="s">
        <v>125</v>
      </c>
      <c r="CV222" t="s">
        <v>125</v>
      </c>
      <c r="CW222" t="s">
        <v>125</v>
      </c>
      <c r="CX222" t="s">
        <v>125</v>
      </c>
      <c r="CY222" t="s">
        <v>125</v>
      </c>
      <c r="CZ222" t="s">
        <v>125</v>
      </c>
      <c r="DA222">
        <v>15.314097</v>
      </c>
      <c r="DB222">
        <v>17.400950000000002</v>
      </c>
      <c r="DC222">
        <v>16.332519999999999</v>
      </c>
      <c r="DD222" t="s">
        <v>125</v>
      </c>
      <c r="DE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Q222" t="s">
        <v>126</v>
      </c>
    </row>
    <row r="223" spans="1:121" x14ac:dyDescent="0.15">
      <c r="A223">
        <v>2018</v>
      </c>
      <c r="B223" t="s">
        <v>168</v>
      </c>
      <c r="C223" t="str">
        <f>"0090011"</f>
        <v>0090011</v>
      </c>
      <c r="D223" t="s">
        <v>353</v>
      </c>
      <c r="E223" t="str">
        <f>"0090411"</f>
        <v>0090411</v>
      </c>
      <c r="F223" t="s">
        <v>328</v>
      </c>
      <c r="G223" t="s">
        <v>339</v>
      </c>
      <c r="H223">
        <v>3</v>
      </c>
      <c r="I223" t="s">
        <v>330</v>
      </c>
      <c r="J223" t="s">
        <v>331</v>
      </c>
      <c r="K223">
        <v>528.27809100000002</v>
      </c>
      <c r="L223">
        <v>600</v>
      </c>
      <c r="M223">
        <v>88.046349000000006</v>
      </c>
      <c r="N223">
        <v>1</v>
      </c>
      <c r="O223">
        <v>0</v>
      </c>
      <c r="P223">
        <v>73.541082000000003</v>
      </c>
      <c r="Q223">
        <v>98.054776000000004</v>
      </c>
      <c r="R223">
        <v>100</v>
      </c>
      <c r="S223">
        <v>65.558175000000006</v>
      </c>
      <c r="T223">
        <v>75</v>
      </c>
      <c r="U223">
        <v>87.410899999999998</v>
      </c>
      <c r="V223">
        <v>100</v>
      </c>
      <c r="W223">
        <v>66.897114999999999</v>
      </c>
      <c r="X223">
        <v>89.196152999999995</v>
      </c>
      <c r="Y223">
        <v>100</v>
      </c>
      <c r="Z223">
        <v>72.489635000000007</v>
      </c>
      <c r="AA223">
        <v>58.570473</v>
      </c>
      <c r="AB223">
        <v>78.093964</v>
      </c>
      <c r="AC223">
        <v>100</v>
      </c>
      <c r="AD223" t="s">
        <v>125</v>
      </c>
      <c r="AE223" t="s">
        <v>125</v>
      </c>
      <c r="AF223" t="s">
        <v>125</v>
      </c>
      <c r="AG223" t="s">
        <v>125</v>
      </c>
      <c r="AH223" t="s">
        <v>125</v>
      </c>
      <c r="AI223" t="s">
        <v>125</v>
      </c>
      <c r="AJ223" t="s">
        <v>125</v>
      </c>
      <c r="AK223">
        <v>9.44</v>
      </c>
      <c r="AL223">
        <v>13.91</v>
      </c>
      <c r="AM223" t="s">
        <v>125</v>
      </c>
      <c r="AN223" t="s">
        <v>125</v>
      </c>
      <c r="AO223" t="s">
        <v>125</v>
      </c>
      <c r="AP223" t="s">
        <v>125</v>
      </c>
      <c r="AQ223" t="s">
        <v>125</v>
      </c>
      <c r="AR223" t="s">
        <v>125</v>
      </c>
      <c r="AS223" t="s">
        <v>125</v>
      </c>
      <c r="AT223" t="s">
        <v>125</v>
      </c>
      <c r="AU223" t="s">
        <v>125</v>
      </c>
      <c r="AV223" t="s">
        <v>125</v>
      </c>
      <c r="AW223" t="s">
        <v>125</v>
      </c>
      <c r="AX223" t="s">
        <v>125</v>
      </c>
      <c r="AY223" t="s">
        <v>125</v>
      </c>
      <c r="AZ223" t="s">
        <v>125</v>
      </c>
      <c r="BA223" t="s">
        <v>125</v>
      </c>
      <c r="BB223">
        <v>0.73539600000000005</v>
      </c>
      <c r="BC223">
        <v>36.769795999999999</v>
      </c>
      <c r="BD223">
        <v>50</v>
      </c>
      <c r="BE223">
        <v>0.77505000000000002</v>
      </c>
      <c r="BF223">
        <v>38.752501000000002</v>
      </c>
      <c r="BG223">
        <v>50</v>
      </c>
      <c r="BH223">
        <v>0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 t="s">
        <v>125</v>
      </c>
      <c r="BP223" t="s">
        <v>125</v>
      </c>
      <c r="BQ223" t="s">
        <v>125</v>
      </c>
      <c r="BR223">
        <v>1.1847999999999999E-2</v>
      </c>
      <c r="BS223">
        <v>50</v>
      </c>
      <c r="BT223">
        <v>50</v>
      </c>
      <c r="BU223">
        <v>1.2739E-2</v>
      </c>
      <c r="BV223">
        <v>50</v>
      </c>
      <c r="BW223">
        <v>50</v>
      </c>
      <c r="BX223" t="s">
        <v>125</v>
      </c>
      <c r="BY223" t="s">
        <v>125</v>
      </c>
      <c r="BZ223" t="s">
        <v>125</v>
      </c>
      <c r="CA223" t="s">
        <v>125</v>
      </c>
      <c r="CB223" t="s">
        <v>125</v>
      </c>
      <c r="CC223" t="s">
        <v>125</v>
      </c>
      <c r="CD223" t="s">
        <v>125</v>
      </c>
      <c r="CE223" t="s">
        <v>125</v>
      </c>
      <c r="CF223" t="s">
        <v>125</v>
      </c>
      <c r="CG223" t="s">
        <v>125</v>
      </c>
      <c r="CH223" t="s">
        <v>125</v>
      </c>
      <c r="CI223" t="s">
        <v>125</v>
      </c>
      <c r="CJ223" t="s">
        <v>125</v>
      </c>
      <c r="CK223" t="s">
        <v>125</v>
      </c>
      <c r="CL223" t="s">
        <v>125</v>
      </c>
      <c r="CM223" t="s">
        <v>125</v>
      </c>
      <c r="CN223" t="s">
        <v>125</v>
      </c>
      <c r="CO223" t="s">
        <v>125</v>
      </c>
      <c r="CP223" t="s">
        <v>125</v>
      </c>
      <c r="CQ223" t="s">
        <v>125</v>
      </c>
      <c r="CR223" t="s">
        <v>125</v>
      </c>
      <c r="CS223" t="s">
        <v>125</v>
      </c>
      <c r="CT223" t="s">
        <v>125</v>
      </c>
      <c r="CU223" t="s">
        <v>125</v>
      </c>
      <c r="CV223" t="s">
        <v>125</v>
      </c>
      <c r="CW223" t="s">
        <v>125</v>
      </c>
      <c r="CX223" t="s">
        <v>125</v>
      </c>
      <c r="CY223" t="s">
        <v>125</v>
      </c>
      <c r="CZ223" t="s">
        <v>125</v>
      </c>
      <c r="DA223">
        <v>15.314097</v>
      </c>
      <c r="DB223">
        <v>17.400950000000002</v>
      </c>
      <c r="DC223">
        <v>16.332519999999999</v>
      </c>
      <c r="DD223" t="s">
        <v>125</v>
      </c>
      <c r="DE223">
        <v>0</v>
      </c>
      <c r="DH223" t="s">
        <v>332</v>
      </c>
      <c r="DI223" t="s">
        <v>333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Q223" t="s">
        <v>126</v>
      </c>
    </row>
    <row r="224" spans="1:121" x14ac:dyDescent="0.15">
      <c r="A224">
        <v>2018</v>
      </c>
      <c r="B224" t="s">
        <v>168</v>
      </c>
      <c r="C224" t="str">
        <f>"0090011"</f>
        <v>0090011</v>
      </c>
      <c r="D224" t="s">
        <v>354</v>
      </c>
      <c r="E224" t="str">
        <f>"0096111"</f>
        <v>0096111</v>
      </c>
      <c r="F224" t="s">
        <v>328</v>
      </c>
      <c r="G224">
        <v>9</v>
      </c>
      <c r="H224">
        <v>12</v>
      </c>
      <c r="I224" t="s">
        <v>330</v>
      </c>
      <c r="J224" t="s">
        <v>331</v>
      </c>
      <c r="K224">
        <v>1270.7035940000001</v>
      </c>
      <c r="L224">
        <v>1550</v>
      </c>
      <c r="M224">
        <v>81.980877000000007</v>
      </c>
      <c r="N224">
        <v>2</v>
      </c>
      <c r="O224">
        <v>0</v>
      </c>
      <c r="P224">
        <v>61.192779999999999</v>
      </c>
      <c r="Q224">
        <v>122.385561</v>
      </c>
      <c r="R224">
        <v>150</v>
      </c>
      <c r="S224">
        <v>52.404761999999998</v>
      </c>
      <c r="T224">
        <v>66.02619</v>
      </c>
      <c r="U224">
        <v>104.809524</v>
      </c>
      <c r="V224">
        <v>150</v>
      </c>
      <c r="W224">
        <v>60.114182999999997</v>
      </c>
      <c r="X224">
        <v>120.22836700000001</v>
      </c>
      <c r="Y224">
        <v>150</v>
      </c>
      <c r="Z224">
        <v>64.140476000000007</v>
      </c>
      <c r="AA224">
        <v>52.793650999999997</v>
      </c>
      <c r="AB224">
        <v>105.58730199999999</v>
      </c>
      <c r="AC224">
        <v>150</v>
      </c>
      <c r="AD224">
        <v>68.823088999999996</v>
      </c>
      <c r="AE224">
        <v>91.764117999999996</v>
      </c>
      <c r="AF224">
        <v>100</v>
      </c>
      <c r="AG224">
        <v>60.523206999999999</v>
      </c>
      <c r="AH224">
        <v>73.506592999999995</v>
      </c>
      <c r="AI224">
        <v>80.697609</v>
      </c>
      <c r="AJ224">
        <v>100</v>
      </c>
      <c r="AK224">
        <v>13.62</v>
      </c>
      <c r="AL224">
        <v>11.34</v>
      </c>
      <c r="AM224">
        <v>12.98</v>
      </c>
      <c r="AN224" t="s">
        <v>125</v>
      </c>
      <c r="AO224" t="s">
        <v>125</v>
      </c>
      <c r="AP224" t="s">
        <v>125</v>
      </c>
      <c r="AQ224" t="s">
        <v>125</v>
      </c>
      <c r="AR224" t="s">
        <v>125</v>
      </c>
      <c r="AS224" t="s">
        <v>125</v>
      </c>
      <c r="AT224" t="s">
        <v>125</v>
      </c>
      <c r="AU224" t="s">
        <v>125</v>
      </c>
      <c r="AV224" t="s">
        <v>125</v>
      </c>
      <c r="AW224" t="s">
        <v>125</v>
      </c>
      <c r="AX224" t="s">
        <v>125</v>
      </c>
      <c r="AY224" t="s">
        <v>125</v>
      </c>
      <c r="AZ224" t="s">
        <v>125</v>
      </c>
      <c r="BA224" t="s">
        <v>125</v>
      </c>
      <c r="BB224">
        <v>0.50049299999999997</v>
      </c>
      <c r="BC224">
        <v>25.02467</v>
      </c>
      <c r="BD224">
        <v>50</v>
      </c>
      <c r="BE224">
        <v>0.65329800000000005</v>
      </c>
      <c r="BF224">
        <v>32.664887999999998</v>
      </c>
      <c r="BG224">
        <v>50</v>
      </c>
      <c r="BH224">
        <v>0</v>
      </c>
      <c r="BI224">
        <v>0.99118899999999999</v>
      </c>
      <c r="BJ224">
        <v>0.97619</v>
      </c>
      <c r="BK224">
        <v>1</v>
      </c>
      <c r="BL224">
        <v>0.99118899999999999</v>
      </c>
      <c r="BM224">
        <v>0.97619</v>
      </c>
      <c r="BN224">
        <v>1</v>
      </c>
      <c r="BO224">
        <v>0.99557499999999999</v>
      </c>
      <c r="BP224">
        <v>0.98809499999999995</v>
      </c>
      <c r="BQ224">
        <v>1</v>
      </c>
      <c r="BR224">
        <v>5.9020000000000003E-2</v>
      </c>
      <c r="BS224">
        <v>48.195990999999999</v>
      </c>
      <c r="BT224">
        <v>50</v>
      </c>
      <c r="BU224">
        <v>9.1743000000000005E-2</v>
      </c>
      <c r="BV224">
        <v>41.651375999999999</v>
      </c>
      <c r="BW224">
        <v>50</v>
      </c>
      <c r="BX224">
        <v>0.84361200000000003</v>
      </c>
      <c r="BY224">
        <v>50</v>
      </c>
      <c r="BZ224">
        <v>50</v>
      </c>
      <c r="CA224">
        <v>0.53964800000000002</v>
      </c>
      <c r="CB224">
        <v>35.976505000000003</v>
      </c>
      <c r="CC224">
        <v>50</v>
      </c>
      <c r="CD224">
        <v>0.950739</v>
      </c>
      <c r="CE224">
        <v>50</v>
      </c>
      <c r="CF224">
        <v>50</v>
      </c>
      <c r="CG224">
        <v>0.95336799999999999</v>
      </c>
      <c r="CH224">
        <v>100</v>
      </c>
      <c r="CI224">
        <v>100</v>
      </c>
      <c r="CJ224">
        <v>0</v>
      </c>
      <c r="CK224">
        <v>0.973333</v>
      </c>
      <c r="CL224">
        <v>100</v>
      </c>
      <c r="CM224">
        <v>100</v>
      </c>
      <c r="CN224">
        <v>0.78142100000000003</v>
      </c>
      <c r="CO224">
        <v>100</v>
      </c>
      <c r="CP224">
        <v>100</v>
      </c>
      <c r="CQ224">
        <v>0.46511599999999997</v>
      </c>
      <c r="CR224">
        <v>0.89211600000000002</v>
      </c>
      <c r="CS224">
        <v>15.503876</v>
      </c>
      <c r="CT224">
        <v>50</v>
      </c>
      <c r="CU224">
        <v>0.554566</v>
      </c>
      <c r="CV224">
        <v>46.213808</v>
      </c>
      <c r="CW224">
        <v>50</v>
      </c>
      <c r="CX224">
        <v>0.973333</v>
      </c>
      <c r="CY224">
        <v>0.94</v>
      </c>
      <c r="CZ224">
        <v>-3.3333000000000002E-2</v>
      </c>
      <c r="DA224">
        <v>15.314097</v>
      </c>
      <c r="DB224">
        <v>17.400950000000002</v>
      </c>
      <c r="DC224">
        <v>16.332519999999999</v>
      </c>
      <c r="DD224">
        <v>7.9891730000000001</v>
      </c>
      <c r="DE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Q224" t="s">
        <v>126</v>
      </c>
    </row>
    <row r="225" spans="1:121" x14ac:dyDescent="0.15">
      <c r="A225">
        <v>2018</v>
      </c>
      <c r="B225" t="s">
        <v>168</v>
      </c>
      <c r="C225" t="str">
        <f>"0090011"</f>
        <v>0090011</v>
      </c>
      <c r="D225" t="s">
        <v>355</v>
      </c>
      <c r="E225" t="str">
        <f>"0095111"</f>
        <v>0095111</v>
      </c>
      <c r="F225" t="s">
        <v>328</v>
      </c>
      <c r="G225">
        <v>6</v>
      </c>
      <c r="H225">
        <v>8</v>
      </c>
      <c r="I225" t="s">
        <v>330</v>
      </c>
      <c r="J225" t="s">
        <v>331</v>
      </c>
      <c r="K225">
        <v>701.94517099999996</v>
      </c>
      <c r="L225">
        <v>900</v>
      </c>
      <c r="M225">
        <v>77.993908000000005</v>
      </c>
      <c r="N225">
        <v>3</v>
      </c>
      <c r="O225">
        <v>1</v>
      </c>
      <c r="P225">
        <v>75.346706999999995</v>
      </c>
      <c r="Q225">
        <v>50</v>
      </c>
      <c r="R225">
        <v>50</v>
      </c>
      <c r="S225">
        <v>64.522317999999999</v>
      </c>
      <c r="T225">
        <v>75</v>
      </c>
      <c r="U225">
        <v>43.014878000000003</v>
      </c>
      <c r="V225">
        <v>50</v>
      </c>
      <c r="W225">
        <v>70.054535999999999</v>
      </c>
      <c r="X225">
        <v>46.703023999999999</v>
      </c>
      <c r="Y225">
        <v>50</v>
      </c>
      <c r="Z225">
        <v>75</v>
      </c>
      <c r="AA225">
        <v>60.099510000000002</v>
      </c>
      <c r="AB225">
        <v>40.066339999999997</v>
      </c>
      <c r="AC225">
        <v>50</v>
      </c>
      <c r="AD225">
        <v>69.880392000000001</v>
      </c>
      <c r="AE225">
        <v>46.586928</v>
      </c>
      <c r="AF225">
        <v>50</v>
      </c>
      <c r="AG225">
        <v>58.003162000000003</v>
      </c>
      <c r="AH225">
        <v>75</v>
      </c>
      <c r="AI225">
        <v>38.668774999999997</v>
      </c>
      <c r="AJ225">
        <v>50</v>
      </c>
      <c r="AK225">
        <v>10.47</v>
      </c>
      <c r="AL225">
        <v>14.9</v>
      </c>
      <c r="AM225">
        <v>16.989999999999998</v>
      </c>
      <c r="AN225">
        <v>0.63984200000000002</v>
      </c>
      <c r="AO225">
        <v>63.984220999999998</v>
      </c>
      <c r="AP225">
        <v>100</v>
      </c>
      <c r="AQ225">
        <v>0.65238200000000002</v>
      </c>
      <c r="AR225">
        <v>65.238198999999994</v>
      </c>
      <c r="AS225">
        <v>100</v>
      </c>
      <c r="AT225">
        <v>0.595059</v>
      </c>
      <c r="AU225">
        <v>0.66566700000000001</v>
      </c>
      <c r="AV225">
        <v>59.505871999999997</v>
      </c>
      <c r="AW225">
        <v>100</v>
      </c>
      <c r="AX225">
        <v>0.57106999999999997</v>
      </c>
      <c r="AY225">
        <v>0.69900600000000002</v>
      </c>
      <c r="AZ225">
        <v>57.107011</v>
      </c>
      <c r="BA225">
        <v>100</v>
      </c>
      <c r="BB225" t="s">
        <v>125</v>
      </c>
      <c r="BC225" t="s">
        <v>125</v>
      </c>
      <c r="BD225" t="s">
        <v>125</v>
      </c>
      <c r="BE225" t="s">
        <v>125</v>
      </c>
      <c r="BF225" t="s">
        <v>125</v>
      </c>
      <c r="BG225" t="s">
        <v>125</v>
      </c>
      <c r="BH225">
        <v>0</v>
      </c>
      <c r="BI225">
        <v>0.98936199999999996</v>
      </c>
      <c r="BJ225">
        <v>0.98349799999999998</v>
      </c>
      <c r="BK225">
        <v>0.99331800000000003</v>
      </c>
      <c r="BL225">
        <v>0.98535300000000003</v>
      </c>
      <c r="BM225">
        <v>0.97682100000000005</v>
      </c>
      <c r="BN225">
        <v>0.99109100000000006</v>
      </c>
      <c r="BO225">
        <v>0.995726</v>
      </c>
      <c r="BP225">
        <v>0.99</v>
      </c>
      <c r="BQ225">
        <v>1</v>
      </c>
      <c r="BR225">
        <v>3.8667E-2</v>
      </c>
      <c r="BS225">
        <v>50</v>
      </c>
      <c r="BT225">
        <v>50</v>
      </c>
      <c r="BU225">
        <v>6.7796999999999996E-2</v>
      </c>
      <c r="BV225">
        <v>46.440677999999998</v>
      </c>
      <c r="BW225">
        <v>50</v>
      </c>
      <c r="BX225" t="s">
        <v>125</v>
      </c>
      <c r="BY225" t="s">
        <v>125</v>
      </c>
      <c r="BZ225" t="s">
        <v>125</v>
      </c>
      <c r="CA225" t="s">
        <v>125</v>
      </c>
      <c r="CB225" t="s">
        <v>125</v>
      </c>
      <c r="CC225" t="s">
        <v>125</v>
      </c>
      <c r="CD225">
        <v>0.94270799999999999</v>
      </c>
      <c r="CE225">
        <v>50</v>
      </c>
      <c r="CF225">
        <v>50</v>
      </c>
      <c r="CG225" t="s">
        <v>125</v>
      </c>
      <c r="CH225" t="s">
        <v>125</v>
      </c>
      <c r="CI225" t="s">
        <v>125</v>
      </c>
      <c r="CJ225" t="s">
        <v>125</v>
      </c>
      <c r="CK225" t="s">
        <v>125</v>
      </c>
      <c r="CL225" t="s">
        <v>125</v>
      </c>
      <c r="CM225" t="s">
        <v>125</v>
      </c>
      <c r="CN225" t="s">
        <v>125</v>
      </c>
      <c r="CO225" t="s">
        <v>125</v>
      </c>
      <c r="CP225" t="s">
        <v>125</v>
      </c>
      <c r="CQ225">
        <v>0.66943900000000001</v>
      </c>
      <c r="CR225">
        <v>0.94684999999999997</v>
      </c>
      <c r="CS225">
        <v>44.629244999999997</v>
      </c>
      <c r="CT225">
        <v>50</v>
      </c>
      <c r="CU225" t="s">
        <v>125</v>
      </c>
      <c r="CV225" t="s">
        <v>125</v>
      </c>
      <c r="CW225" t="s">
        <v>125</v>
      </c>
      <c r="CX225" t="s">
        <v>125</v>
      </c>
      <c r="CY225" t="s">
        <v>125</v>
      </c>
      <c r="CZ225" t="s">
        <v>125</v>
      </c>
      <c r="DA225">
        <v>15.314097</v>
      </c>
      <c r="DB225">
        <v>17.400950000000002</v>
      </c>
      <c r="DC225">
        <v>16.332519999999999</v>
      </c>
      <c r="DD225" t="s">
        <v>125</v>
      </c>
      <c r="DE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Q225" t="s">
        <v>126</v>
      </c>
    </row>
    <row r="226" spans="1:121" x14ac:dyDescent="0.15">
      <c r="A226">
        <v>2018</v>
      </c>
      <c r="B226" t="s">
        <v>168</v>
      </c>
      <c r="C226" t="str">
        <f>"0090011"</f>
        <v>0090011</v>
      </c>
      <c r="D226" t="s">
        <v>356</v>
      </c>
      <c r="E226" t="str">
        <f>"0090111"</f>
        <v>0090111</v>
      </c>
      <c r="F226" t="s">
        <v>328</v>
      </c>
      <c r="G226" t="s">
        <v>329</v>
      </c>
      <c r="H226">
        <v>3</v>
      </c>
      <c r="J226" t="s">
        <v>331</v>
      </c>
      <c r="K226">
        <v>545.95166099999994</v>
      </c>
      <c r="L226">
        <v>600</v>
      </c>
      <c r="M226">
        <v>90.991944000000004</v>
      </c>
      <c r="N226">
        <v>1</v>
      </c>
      <c r="O226">
        <v>0</v>
      </c>
      <c r="P226">
        <v>75.451318000000001</v>
      </c>
      <c r="Q226">
        <v>100</v>
      </c>
      <c r="R226">
        <v>100</v>
      </c>
      <c r="S226">
        <v>66.924210000000002</v>
      </c>
      <c r="T226">
        <v>75</v>
      </c>
      <c r="U226">
        <v>89.232280000000003</v>
      </c>
      <c r="V226">
        <v>100</v>
      </c>
      <c r="W226">
        <v>69.327464000000006</v>
      </c>
      <c r="X226">
        <v>92.436617999999996</v>
      </c>
      <c r="Y226">
        <v>100</v>
      </c>
      <c r="Z226">
        <v>74.880401000000006</v>
      </c>
      <c r="AA226">
        <v>61.360205000000001</v>
      </c>
      <c r="AB226">
        <v>81.813607000000005</v>
      </c>
      <c r="AC226">
        <v>100</v>
      </c>
      <c r="AD226" t="s">
        <v>125</v>
      </c>
      <c r="AE226" t="s">
        <v>125</v>
      </c>
      <c r="AF226" t="s">
        <v>125</v>
      </c>
      <c r="AG226" t="s">
        <v>125</v>
      </c>
      <c r="AH226" t="s">
        <v>125</v>
      </c>
      <c r="AI226" t="s">
        <v>125</v>
      </c>
      <c r="AJ226" t="s">
        <v>125</v>
      </c>
      <c r="AK226">
        <v>8.07</v>
      </c>
      <c r="AL226">
        <v>13.52</v>
      </c>
      <c r="AM226" t="s">
        <v>125</v>
      </c>
      <c r="AN226" t="s">
        <v>125</v>
      </c>
      <c r="AO226" t="s">
        <v>125</v>
      </c>
      <c r="AP226" t="s">
        <v>125</v>
      </c>
      <c r="AQ226" t="s">
        <v>125</v>
      </c>
      <c r="AR226" t="s">
        <v>125</v>
      </c>
      <c r="AS226" t="s">
        <v>125</v>
      </c>
      <c r="AT226" t="s">
        <v>125</v>
      </c>
      <c r="AU226" t="s">
        <v>125</v>
      </c>
      <c r="AV226" t="s">
        <v>125</v>
      </c>
      <c r="AW226" t="s">
        <v>125</v>
      </c>
      <c r="AX226" t="s">
        <v>125</v>
      </c>
      <c r="AY226" t="s">
        <v>125</v>
      </c>
      <c r="AZ226" t="s">
        <v>125</v>
      </c>
      <c r="BA226" t="s">
        <v>125</v>
      </c>
      <c r="BB226">
        <v>0.93408199999999997</v>
      </c>
      <c r="BC226">
        <v>46.704084000000002</v>
      </c>
      <c r="BD226">
        <v>50</v>
      </c>
      <c r="BE226">
        <v>0.71530099999999996</v>
      </c>
      <c r="BF226">
        <v>35.765073000000001</v>
      </c>
      <c r="BG226">
        <v>50</v>
      </c>
      <c r="BH226">
        <v>0</v>
      </c>
      <c r="BI226">
        <v>1</v>
      </c>
      <c r="BJ226">
        <v>1</v>
      </c>
      <c r="BK226">
        <v>1</v>
      </c>
      <c r="BL226">
        <v>0.991228</v>
      </c>
      <c r="BM226">
        <v>1</v>
      </c>
      <c r="BN226">
        <v>0.985294</v>
      </c>
      <c r="BO226" t="s">
        <v>125</v>
      </c>
      <c r="BP226" t="s">
        <v>125</v>
      </c>
      <c r="BQ226" t="s">
        <v>125</v>
      </c>
      <c r="BR226">
        <v>3.3019E-2</v>
      </c>
      <c r="BS226">
        <v>50</v>
      </c>
      <c r="BT226">
        <v>50</v>
      </c>
      <c r="BU226">
        <v>4.7619000000000002E-2</v>
      </c>
      <c r="BV226">
        <v>50</v>
      </c>
      <c r="BW226">
        <v>50</v>
      </c>
      <c r="BX226" t="s">
        <v>125</v>
      </c>
      <c r="BY226" t="s">
        <v>125</v>
      </c>
      <c r="BZ226" t="s">
        <v>125</v>
      </c>
      <c r="CA226" t="s">
        <v>125</v>
      </c>
      <c r="CB226" t="s">
        <v>125</v>
      </c>
      <c r="CC226" t="s">
        <v>125</v>
      </c>
      <c r="CD226" t="s">
        <v>125</v>
      </c>
      <c r="CE226" t="s">
        <v>125</v>
      </c>
      <c r="CF226" t="s">
        <v>125</v>
      </c>
      <c r="CG226" t="s">
        <v>125</v>
      </c>
      <c r="CH226" t="s">
        <v>125</v>
      </c>
      <c r="CI226" t="s">
        <v>125</v>
      </c>
      <c r="CJ226" t="s">
        <v>125</v>
      </c>
      <c r="CK226" t="s">
        <v>125</v>
      </c>
      <c r="CL226" t="s">
        <v>125</v>
      </c>
      <c r="CM226" t="s">
        <v>125</v>
      </c>
      <c r="CN226" t="s">
        <v>125</v>
      </c>
      <c r="CO226" t="s">
        <v>125</v>
      </c>
      <c r="CP226" t="s">
        <v>125</v>
      </c>
      <c r="CQ226" t="s">
        <v>125</v>
      </c>
      <c r="CR226" t="s">
        <v>125</v>
      </c>
      <c r="CS226" t="s">
        <v>125</v>
      </c>
      <c r="CT226" t="s">
        <v>125</v>
      </c>
      <c r="CU226" t="s">
        <v>125</v>
      </c>
      <c r="CV226" t="s">
        <v>125</v>
      </c>
      <c r="CW226" t="s">
        <v>125</v>
      </c>
      <c r="CX226" t="s">
        <v>125</v>
      </c>
      <c r="CY226" t="s">
        <v>125</v>
      </c>
      <c r="CZ226" t="s">
        <v>125</v>
      </c>
      <c r="DA226">
        <v>15.314097</v>
      </c>
      <c r="DB226">
        <v>17.400950000000002</v>
      </c>
      <c r="DC226">
        <v>16.332519999999999</v>
      </c>
      <c r="DD226" t="s">
        <v>125</v>
      </c>
      <c r="DE226">
        <v>0</v>
      </c>
      <c r="DH226" t="s">
        <v>332</v>
      </c>
      <c r="DI226" t="s">
        <v>333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Q226" t="s">
        <v>126</v>
      </c>
    </row>
    <row r="227" spans="1:121" x14ac:dyDescent="0.15">
      <c r="A227">
        <v>2018</v>
      </c>
      <c r="B227" t="s">
        <v>168</v>
      </c>
      <c r="C227" t="str">
        <f>"0090011"</f>
        <v>0090011</v>
      </c>
      <c r="D227" t="s">
        <v>357</v>
      </c>
      <c r="E227" t="str">
        <f>"0090511"</f>
        <v>0090511</v>
      </c>
      <c r="F227" t="s">
        <v>328</v>
      </c>
      <c r="G227">
        <v>4</v>
      </c>
      <c r="H227">
        <v>5</v>
      </c>
      <c r="I227" t="s">
        <v>330</v>
      </c>
      <c r="J227" t="s">
        <v>331</v>
      </c>
      <c r="K227">
        <v>697.18131800000003</v>
      </c>
      <c r="L227">
        <v>950</v>
      </c>
      <c r="M227">
        <v>73.387506999999999</v>
      </c>
      <c r="N227">
        <v>2</v>
      </c>
      <c r="O227">
        <v>0</v>
      </c>
      <c r="P227">
        <v>75.065110000000004</v>
      </c>
      <c r="Q227">
        <v>50</v>
      </c>
      <c r="R227">
        <v>50</v>
      </c>
      <c r="S227">
        <v>65.561183999999997</v>
      </c>
      <c r="T227">
        <v>75</v>
      </c>
      <c r="U227">
        <v>43.707456000000001</v>
      </c>
      <c r="V227">
        <v>50</v>
      </c>
      <c r="W227">
        <v>72.820398999999995</v>
      </c>
      <c r="X227">
        <v>48.546933000000003</v>
      </c>
      <c r="Y227">
        <v>50</v>
      </c>
      <c r="Z227">
        <v>75</v>
      </c>
      <c r="AA227">
        <v>61.662166999999997</v>
      </c>
      <c r="AB227">
        <v>41.108111999999998</v>
      </c>
      <c r="AC227">
        <v>50</v>
      </c>
      <c r="AD227">
        <v>76.329677000000004</v>
      </c>
      <c r="AE227">
        <v>50</v>
      </c>
      <c r="AF227">
        <v>50</v>
      </c>
      <c r="AG227">
        <v>66.623773</v>
      </c>
      <c r="AH227">
        <v>75</v>
      </c>
      <c r="AI227">
        <v>44.415849000000001</v>
      </c>
      <c r="AJ227">
        <v>50</v>
      </c>
      <c r="AK227">
        <v>9.43</v>
      </c>
      <c r="AL227">
        <v>13.33</v>
      </c>
      <c r="AM227">
        <v>8.3699999999999992</v>
      </c>
      <c r="AN227">
        <v>0.59155199999999997</v>
      </c>
      <c r="AO227">
        <v>59.155213000000003</v>
      </c>
      <c r="AP227">
        <v>100</v>
      </c>
      <c r="AQ227">
        <v>0.643957</v>
      </c>
      <c r="AR227">
        <v>64.395668999999998</v>
      </c>
      <c r="AS227">
        <v>100</v>
      </c>
      <c r="AT227">
        <v>0.51801299999999995</v>
      </c>
      <c r="AU227">
        <v>0.63599300000000003</v>
      </c>
      <c r="AV227">
        <v>51.801291999999997</v>
      </c>
      <c r="AW227">
        <v>100</v>
      </c>
      <c r="AX227">
        <v>0.58104699999999998</v>
      </c>
      <c r="AY227">
        <v>0.68170299999999995</v>
      </c>
      <c r="AZ227">
        <v>58.104672000000001</v>
      </c>
      <c r="BA227">
        <v>100</v>
      </c>
      <c r="BB227">
        <v>0.73050000000000004</v>
      </c>
      <c r="BC227">
        <v>36.524984000000003</v>
      </c>
      <c r="BD227">
        <v>50</v>
      </c>
      <c r="BE227">
        <v>0.58782500000000004</v>
      </c>
      <c r="BF227">
        <v>29.391244</v>
      </c>
      <c r="BG227">
        <v>50</v>
      </c>
      <c r="BH227">
        <v>0</v>
      </c>
      <c r="BI227">
        <v>0.99793799999999999</v>
      </c>
      <c r="BJ227">
        <v>1</v>
      </c>
      <c r="BK227">
        <v>0.99662200000000001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2.6804000000000001E-2</v>
      </c>
      <c r="BS227">
        <v>50</v>
      </c>
      <c r="BT227">
        <v>50</v>
      </c>
      <c r="BU227">
        <v>4.3011000000000001E-2</v>
      </c>
      <c r="BV227">
        <v>50</v>
      </c>
      <c r="BW227">
        <v>50</v>
      </c>
      <c r="BX227" t="s">
        <v>125</v>
      </c>
      <c r="BY227" t="s">
        <v>125</v>
      </c>
      <c r="BZ227" t="s">
        <v>125</v>
      </c>
      <c r="CA227" t="s">
        <v>125</v>
      </c>
      <c r="CB227" t="s">
        <v>125</v>
      </c>
      <c r="CC227" t="s">
        <v>125</v>
      </c>
      <c r="CD227" t="s">
        <v>125</v>
      </c>
      <c r="CE227" t="s">
        <v>125</v>
      </c>
      <c r="CF227" t="s">
        <v>125</v>
      </c>
      <c r="CG227" t="s">
        <v>125</v>
      </c>
      <c r="CH227" t="s">
        <v>125</v>
      </c>
      <c r="CI227" t="s">
        <v>125</v>
      </c>
      <c r="CJ227" t="s">
        <v>125</v>
      </c>
      <c r="CK227" t="s">
        <v>125</v>
      </c>
      <c r="CL227" t="s">
        <v>125</v>
      </c>
      <c r="CM227" t="s">
        <v>125</v>
      </c>
      <c r="CN227" t="s">
        <v>125</v>
      </c>
      <c r="CO227" t="s">
        <v>125</v>
      </c>
      <c r="CP227" t="s">
        <v>125</v>
      </c>
      <c r="CQ227">
        <v>0.30044799999999999</v>
      </c>
      <c r="CR227">
        <v>0.982379</v>
      </c>
      <c r="CS227">
        <v>20.029895</v>
      </c>
      <c r="CT227">
        <v>50</v>
      </c>
      <c r="CU227" t="s">
        <v>125</v>
      </c>
      <c r="CV227" t="s">
        <v>125</v>
      </c>
      <c r="CW227" t="s">
        <v>125</v>
      </c>
      <c r="CX227" t="s">
        <v>125</v>
      </c>
      <c r="CY227" t="s">
        <v>125</v>
      </c>
      <c r="CZ227" t="s">
        <v>125</v>
      </c>
      <c r="DA227">
        <v>15.314097</v>
      </c>
      <c r="DB227">
        <v>17.400950000000002</v>
      </c>
      <c r="DC227">
        <v>16.332519999999999</v>
      </c>
      <c r="DD227" t="s">
        <v>125</v>
      </c>
      <c r="DE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Q227" t="s">
        <v>126</v>
      </c>
    </row>
    <row r="228" spans="1:121" x14ac:dyDescent="0.15">
      <c r="A228">
        <v>2018</v>
      </c>
      <c r="B228" t="s">
        <v>181</v>
      </c>
      <c r="C228" t="str">
        <f t="shared" ref="C228:C234" si="1">"0110011"</f>
        <v>0110011</v>
      </c>
      <c r="D228" t="s">
        <v>358</v>
      </c>
      <c r="E228" t="str">
        <f>"0116111"</f>
        <v>0116111</v>
      </c>
      <c r="F228" t="s">
        <v>328</v>
      </c>
      <c r="G228">
        <v>9</v>
      </c>
      <c r="H228">
        <v>12</v>
      </c>
      <c r="J228" t="s">
        <v>331</v>
      </c>
      <c r="K228">
        <v>1027.938975</v>
      </c>
      <c r="L228">
        <v>1450</v>
      </c>
      <c r="M228">
        <v>70.892342999999997</v>
      </c>
      <c r="N228">
        <v>2</v>
      </c>
      <c r="O228">
        <v>0</v>
      </c>
      <c r="P228">
        <v>50.216973000000003</v>
      </c>
      <c r="Q228">
        <v>100.43394600000001</v>
      </c>
      <c r="R228">
        <v>150</v>
      </c>
      <c r="S228">
        <v>45.909722000000002</v>
      </c>
      <c r="T228">
        <v>54.592593000000001</v>
      </c>
      <c r="U228">
        <v>91.819444000000004</v>
      </c>
      <c r="V228">
        <v>150</v>
      </c>
      <c r="W228">
        <v>44.529308999999998</v>
      </c>
      <c r="X228">
        <v>89.058617999999996</v>
      </c>
      <c r="Y228">
        <v>150</v>
      </c>
      <c r="Z228">
        <v>47.521163999999999</v>
      </c>
      <c r="AA228">
        <v>41.584201</v>
      </c>
      <c r="AB228">
        <v>83.168402999999998</v>
      </c>
      <c r="AC228">
        <v>150</v>
      </c>
      <c r="AD228">
        <v>50.82396</v>
      </c>
      <c r="AE228">
        <v>67.765279000000007</v>
      </c>
      <c r="AF228">
        <v>100</v>
      </c>
      <c r="AG228">
        <v>47.678314</v>
      </c>
      <c r="AH228">
        <v>54.019536000000002</v>
      </c>
      <c r="AI228">
        <v>63.571084999999997</v>
      </c>
      <c r="AJ228">
        <v>100</v>
      </c>
      <c r="AK228">
        <v>8.68</v>
      </c>
      <c r="AL228">
        <v>5.93</v>
      </c>
      <c r="AM228">
        <v>6.34</v>
      </c>
      <c r="AN228" t="s">
        <v>125</v>
      </c>
      <c r="AO228" t="s">
        <v>125</v>
      </c>
      <c r="AP228" t="s">
        <v>125</v>
      </c>
      <c r="AQ228" t="s">
        <v>125</v>
      </c>
      <c r="AR228" t="s">
        <v>125</v>
      </c>
      <c r="AS228" t="s">
        <v>125</v>
      </c>
      <c r="AT228" t="s">
        <v>125</v>
      </c>
      <c r="AU228" t="s">
        <v>125</v>
      </c>
      <c r="AV228" t="s">
        <v>125</v>
      </c>
      <c r="AW228" t="s">
        <v>125</v>
      </c>
      <c r="AX228" t="s">
        <v>125</v>
      </c>
      <c r="AY228" t="s">
        <v>125</v>
      </c>
      <c r="AZ228" t="s">
        <v>125</v>
      </c>
      <c r="BA228" t="s">
        <v>125</v>
      </c>
      <c r="BB228" t="s">
        <v>125</v>
      </c>
      <c r="BC228" t="s">
        <v>125</v>
      </c>
      <c r="BD228" t="s">
        <v>125</v>
      </c>
      <c r="BE228" t="s">
        <v>125</v>
      </c>
      <c r="BF228" t="s">
        <v>125</v>
      </c>
      <c r="BG228" t="s">
        <v>125</v>
      </c>
      <c r="BH228">
        <v>0</v>
      </c>
      <c r="BI228">
        <v>0.97101400000000004</v>
      </c>
      <c r="BJ228">
        <v>0.97101400000000004</v>
      </c>
      <c r="BK228">
        <v>0.97101400000000004</v>
      </c>
      <c r="BL228">
        <v>0.97101400000000004</v>
      </c>
      <c r="BM228">
        <v>0.97101400000000004</v>
      </c>
      <c r="BN228">
        <v>0.97101400000000004</v>
      </c>
      <c r="BO228">
        <v>0.96376799999999996</v>
      </c>
      <c r="BP228">
        <v>0.95652199999999998</v>
      </c>
      <c r="BQ228">
        <v>0.97101400000000004</v>
      </c>
      <c r="BR228">
        <v>5.6710999999999998E-2</v>
      </c>
      <c r="BS228">
        <v>48.657845000000002</v>
      </c>
      <c r="BT228">
        <v>50</v>
      </c>
      <c r="BU228">
        <v>8.0837999999999993E-2</v>
      </c>
      <c r="BV228">
        <v>43.832335</v>
      </c>
      <c r="BW228">
        <v>50</v>
      </c>
      <c r="BX228">
        <v>0.60536400000000001</v>
      </c>
      <c r="BY228">
        <v>40.357599</v>
      </c>
      <c r="BZ228">
        <v>50</v>
      </c>
      <c r="CA228">
        <v>0.203065</v>
      </c>
      <c r="CB228">
        <v>13.537675999999999</v>
      </c>
      <c r="CC228">
        <v>50</v>
      </c>
      <c r="CD228">
        <v>0.79561999999999999</v>
      </c>
      <c r="CE228">
        <v>42.320236000000001</v>
      </c>
      <c r="CF228">
        <v>50</v>
      </c>
      <c r="CG228">
        <v>0.91935500000000003</v>
      </c>
      <c r="CH228">
        <v>97.803706000000005</v>
      </c>
      <c r="CI228">
        <v>100</v>
      </c>
      <c r="CJ228">
        <v>0</v>
      </c>
      <c r="CK228">
        <v>0.91780799999999996</v>
      </c>
      <c r="CL228">
        <v>97.639172000000002</v>
      </c>
      <c r="CM228">
        <v>100</v>
      </c>
      <c r="CN228">
        <v>0.74789899999999998</v>
      </c>
      <c r="CO228">
        <v>99.719887999999997</v>
      </c>
      <c r="CP228">
        <v>100</v>
      </c>
      <c r="CQ228">
        <v>0.36065599999999998</v>
      </c>
      <c r="CR228">
        <v>0.89705900000000005</v>
      </c>
      <c r="CS228">
        <v>12.021858</v>
      </c>
      <c r="CT228">
        <v>50</v>
      </c>
      <c r="CU228">
        <v>0.43478299999999998</v>
      </c>
      <c r="CV228">
        <v>36.231884000000001</v>
      </c>
      <c r="CW228">
        <v>50</v>
      </c>
      <c r="CX228">
        <v>0.91780799999999996</v>
      </c>
      <c r="CY228">
        <v>0.94</v>
      </c>
      <c r="CZ228">
        <v>2.2192E-2</v>
      </c>
      <c r="DA228">
        <v>15.314097</v>
      </c>
      <c r="DB228">
        <v>17.400950000000002</v>
      </c>
      <c r="DC228">
        <v>16.332519999999999</v>
      </c>
      <c r="DD228">
        <v>7.9891730000000001</v>
      </c>
      <c r="DE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Q228" t="s">
        <v>126</v>
      </c>
    </row>
    <row r="229" spans="1:121" x14ac:dyDescent="0.15">
      <c r="A229">
        <v>2018</v>
      </c>
      <c r="B229" t="s">
        <v>181</v>
      </c>
      <c r="C229" t="str">
        <f t="shared" si="1"/>
        <v>0110011</v>
      </c>
      <c r="D229" t="s">
        <v>359</v>
      </c>
      <c r="E229" t="str">
        <f>"0110711"</f>
        <v>0110711</v>
      </c>
      <c r="F229" t="s">
        <v>328</v>
      </c>
      <c r="G229">
        <v>5</v>
      </c>
      <c r="H229">
        <v>6</v>
      </c>
      <c r="J229" t="s">
        <v>331</v>
      </c>
      <c r="K229">
        <v>619.62174100000004</v>
      </c>
      <c r="L229">
        <v>850</v>
      </c>
      <c r="M229">
        <v>72.896675000000002</v>
      </c>
      <c r="N229">
        <v>2</v>
      </c>
      <c r="O229">
        <v>0</v>
      </c>
      <c r="P229">
        <v>61.296295999999998</v>
      </c>
      <c r="Q229">
        <v>40.864198000000002</v>
      </c>
      <c r="R229">
        <v>50</v>
      </c>
      <c r="S229">
        <v>58.084408000000003</v>
      </c>
      <c r="T229">
        <v>70.167226999999997</v>
      </c>
      <c r="U229">
        <v>38.722937999999999</v>
      </c>
      <c r="V229">
        <v>50</v>
      </c>
      <c r="W229">
        <v>59.255915000000002</v>
      </c>
      <c r="X229">
        <v>39.503943</v>
      </c>
      <c r="Y229">
        <v>50</v>
      </c>
      <c r="Z229">
        <v>68.285166000000004</v>
      </c>
      <c r="AA229">
        <v>55.986702999999999</v>
      </c>
      <c r="AB229">
        <v>37.324469000000001</v>
      </c>
      <c r="AC229">
        <v>50</v>
      </c>
      <c r="AD229">
        <v>57.326765000000002</v>
      </c>
      <c r="AE229">
        <v>38.217843000000002</v>
      </c>
      <c r="AF229">
        <v>50</v>
      </c>
      <c r="AG229">
        <v>54.195098999999999</v>
      </c>
      <c r="AH229">
        <v>66.050691</v>
      </c>
      <c r="AI229">
        <v>36.130065999999999</v>
      </c>
      <c r="AJ229">
        <v>50</v>
      </c>
      <c r="AK229">
        <v>12.08</v>
      </c>
      <c r="AL229">
        <v>12.29</v>
      </c>
      <c r="AM229">
        <v>11.85</v>
      </c>
      <c r="AN229">
        <v>0.60231900000000005</v>
      </c>
      <c r="AO229">
        <v>60.231901999999998</v>
      </c>
      <c r="AP229">
        <v>100</v>
      </c>
      <c r="AQ229">
        <v>0.655416</v>
      </c>
      <c r="AR229">
        <v>65.541567999999998</v>
      </c>
      <c r="AS229">
        <v>100</v>
      </c>
      <c r="AT229">
        <v>0.59592699999999998</v>
      </c>
      <c r="AU229">
        <v>0.61879799999999996</v>
      </c>
      <c r="AV229">
        <v>59.592717999999998</v>
      </c>
      <c r="AW229">
        <v>100</v>
      </c>
      <c r="AX229">
        <v>0.65564100000000003</v>
      </c>
      <c r="AY229">
        <v>0.65483999999999998</v>
      </c>
      <c r="AZ229">
        <v>65.564052000000004</v>
      </c>
      <c r="BA229">
        <v>100</v>
      </c>
      <c r="BB229" t="s">
        <v>125</v>
      </c>
      <c r="BC229" t="s">
        <v>125</v>
      </c>
      <c r="BD229" t="s">
        <v>125</v>
      </c>
      <c r="BE229" t="s">
        <v>125</v>
      </c>
      <c r="BF229" t="s">
        <v>125</v>
      </c>
      <c r="BG229" t="s">
        <v>125</v>
      </c>
      <c r="BH229">
        <v>0</v>
      </c>
      <c r="BI229">
        <v>0.99604700000000002</v>
      </c>
      <c r="BJ229">
        <v>0.99465199999999998</v>
      </c>
      <c r="BK229">
        <v>1</v>
      </c>
      <c r="BL229">
        <v>0.99604700000000002</v>
      </c>
      <c r="BM229">
        <v>0.99465199999999998</v>
      </c>
      <c r="BN229">
        <v>1</v>
      </c>
      <c r="BO229">
        <v>0.991228</v>
      </c>
      <c r="BP229">
        <v>0.98837200000000003</v>
      </c>
      <c r="BQ229">
        <v>1</v>
      </c>
      <c r="BR229">
        <v>6.3241000000000006E-2</v>
      </c>
      <c r="BS229">
        <v>47.351779000000001</v>
      </c>
      <c r="BT229">
        <v>50</v>
      </c>
      <c r="BU229">
        <v>8.5560999999999998E-2</v>
      </c>
      <c r="BV229">
        <v>42.887701</v>
      </c>
      <c r="BW229">
        <v>50</v>
      </c>
      <c r="BX229" t="s">
        <v>125</v>
      </c>
      <c r="BY229" t="s">
        <v>125</v>
      </c>
      <c r="BZ229" t="s">
        <v>125</v>
      </c>
      <c r="CA229" t="s">
        <v>125</v>
      </c>
      <c r="CB229" t="s">
        <v>125</v>
      </c>
      <c r="CC229" t="s">
        <v>125</v>
      </c>
      <c r="CD229" t="s">
        <v>125</v>
      </c>
      <c r="CE229" t="s">
        <v>125</v>
      </c>
      <c r="CF229" t="s">
        <v>125</v>
      </c>
      <c r="CG229" t="s">
        <v>125</v>
      </c>
      <c r="CH229" t="s">
        <v>125</v>
      </c>
      <c r="CI229" t="s">
        <v>125</v>
      </c>
      <c r="CJ229" t="s">
        <v>125</v>
      </c>
      <c r="CK229" t="s">
        <v>125</v>
      </c>
      <c r="CL229" t="s">
        <v>125</v>
      </c>
      <c r="CM229" t="s">
        <v>125</v>
      </c>
      <c r="CN229" t="s">
        <v>125</v>
      </c>
      <c r="CO229" t="s">
        <v>125</v>
      </c>
      <c r="CP229" t="s">
        <v>125</v>
      </c>
      <c r="CQ229">
        <v>0.71532799999999996</v>
      </c>
      <c r="CR229">
        <v>0.98561200000000004</v>
      </c>
      <c r="CS229">
        <v>47.688564</v>
      </c>
      <c r="CT229">
        <v>50</v>
      </c>
      <c r="CU229" t="s">
        <v>125</v>
      </c>
      <c r="CV229" t="s">
        <v>125</v>
      </c>
      <c r="CW229" t="s">
        <v>125</v>
      </c>
      <c r="CX229" t="s">
        <v>125</v>
      </c>
      <c r="CY229" t="s">
        <v>125</v>
      </c>
      <c r="CZ229" t="s">
        <v>125</v>
      </c>
      <c r="DA229">
        <v>15.314097</v>
      </c>
      <c r="DB229">
        <v>17.400950000000002</v>
      </c>
      <c r="DC229">
        <v>16.332519999999999</v>
      </c>
      <c r="DD229" t="s">
        <v>125</v>
      </c>
      <c r="DE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Q229" t="s">
        <v>126</v>
      </c>
    </row>
    <row r="230" spans="1:121" x14ac:dyDescent="0.15">
      <c r="A230">
        <v>2018</v>
      </c>
      <c r="B230" t="s">
        <v>181</v>
      </c>
      <c r="C230" t="str">
        <f t="shared" si="1"/>
        <v>0110011</v>
      </c>
      <c r="D230" t="s">
        <v>360</v>
      </c>
      <c r="E230" t="str">
        <f>"0115211"</f>
        <v>0115211</v>
      </c>
      <c r="F230" t="s">
        <v>328</v>
      </c>
      <c r="G230">
        <v>7</v>
      </c>
      <c r="H230">
        <v>8</v>
      </c>
      <c r="I230" t="s">
        <v>336</v>
      </c>
      <c r="J230" t="s">
        <v>331</v>
      </c>
      <c r="K230">
        <v>622.17226500000004</v>
      </c>
      <c r="L230">
        <v>900</v>
      </c>
      <c r="M230">
        <v>69.130251999999999</v>
      </c>
      <c r="N230">
        <v>3</v>
      </c>
      <c r="O230">
        <v>0</v>
      </c>
      <c r="P230">
        <v>60.183587000000003</v>
      </c>
      <c r="Q230">
        <v>40.122391999999998</v>
      </c>
      <c r="R230">
        <v>50</v>
      </c>
      <c r="S230">
        <v>57.248119000000003</v>
      </c>
      <c r="T230">
        <v>65.893675999999999</v>
      </c>
      <c r="U230">
        <v>38.165413000000001</v>
      </c>
      <c r="V230">
        <v>50</v>
      </c>
      <c r="W230">
        <v>55.272525999999999</v>
      </c>
      <c r="X230">
        <v>36.848351000000001</v>
      </c>
      <c r="Y230">
        <v>50</v>
      </c>
      <c r="Z230">
        <v>61.993060999999997</v>
      </c>
      <c r="AA230">
        <v>51.817604000000003</v>
      </c>
      <c r="AB230">
        <v>34.545068999999998</v>
      </c>
      <c r="AC230">
        <v>50</v>
      </c>
      <c r="AD230">
        <v>57.138488000000002</v>
      </c>
      <c r="AE230">
        <v>38.092326</v>
      </c>
      <c r="AF230">
        <v>50</v>
      </c>
      <c r="AG230">
        <v>54.279449</v>
      </c>
      <c r="AH230">
        <v>61.362068999999998</v>
      </c>
      <c r="AI230">
        <v>36.186300000000003</v>
      </c>
      <c r="AJ230">
        <v>50</v>
      </c>
      <c r="AK230">
        <v>8.64</v>
      </c>
      <c r="AL230">
        <v>10.17</v>
      </c>
      <c r="AM230">
        <v>7.08</v>
      </c>
      <c r="AN230">
        <v>0.56551600000000002</v>
      </c>
      <c r="AO230">
        <v>56.551561999999997</v>
      </c>
      <c r="AP230">
        <v>100</v>
      </c>
      <c r="AQ230">
        <v>0.51959599999999995</v>
      </c>
      <c r="AR230">
        <v>51.959550999999998</v>
      </c>
      <c r="AS230">
        <v>100</v>
      </c>
      <c r="AT230">
        <v>0.58894199999999997</v>
      </c>
      <c r="AU230">
        <v>0.52069900000000002</v>
      </c>
      <c r="AV230">
        <v>58.894222999999997</v>
      </c>
      <c r="AW230">
        <v>100</v>
      </c>
      <c r="AX230">
        <v>0.52900999999999998</v>
      </c>
      <c r="AY230">
        <v>0.50158599999999998</v>
      </c>
      <c r="AZ230">
        <v>52.900967999999999</v>
      </c>
      <c r="BA230">
        <v>100</v>
      </c>
      <c r="BB230" t="s">
        <v>125</v>
      </c>
      <c r="BC230" t="s">
        <v>125</v>
      </c>
      <c r="BD230" t="s">
        <v>125</v>
      </c>
      <c r="BE230" t="s">
        <v>125</v>
      </c>
      <c r="BF230" t="s">
        <v>125</v>
      </c>
      <c r="BG230" t="s">
        <v>125</v>
      </c>
      <c r="BH230">
        <v>0</v>
      </c>
      <c r="BI230">
        <v>0.991228</v>
      </c>
      <c r="BJ230">
        <v>0.98666699999999996</v>
      </c>
      <c r="BK230">
        <v>1</v>
      </c>
      <c r="BL230">
        <v>0.991228</v>
      </c>
      <c r="BM230">
        <v>0.98666699999999996</v>
      </c>
      <c r="BN230">
        <v>1</v>
      </c>
      <c r="BO230">
        <v>1</v>
      </c>
      <c r="BP230">
        <v>1</v>
      </c>
      <c r="BQ230">
        <v>1</v>
      </c>
      <c r="BR230">
        <v>8.2969000000000001E-2</v>
      </c>
      <c r="BS230">
        <v>43.406114000000002</v>
      </c>
      <c r="BT230">
        <v>50</v>
      </c>
      <c r="BU230">
        <v>0.104575</v>
      </c>
      <c r="BV230">
        <v>39.084966999999999</v>
      </c>
      <c r="BW230">
        <v>50</v>
      </c>
      <c r="BX230" t="s">
        <v>125</v>
      </c>
      <c r="BY230" t="s">
        <v>125</v>
      </c>
      <c r="BZ230" t="s">
        <v>125</v>
      </c>
      <c r="CA230" t="s">
        <v>125</v>
      </c>
      <c r="CB230" t="s">
        <v>125</v>
      </c>
      <c r="CC230" t="s">
        <v>125</v>
      </c>
      <c r="CD230">
        <v>0.87254900000000002</v>
      </c>
      <c r="CE230">
        <v>46.412182000000001</v>
      </c>
      <c r="CF230">
        <v>50</v>
      </c>
      <c r="CG230" t="s">
        <v>125</v>
      </c>
      <c r="CH230" t="s">
        <v>125</v>
      </c>
      <c r="CI230" t="s">
        <v>125</v>
      </c>
      <c r="CJ230" t="s">
        <v>125</v>
      </c>
      <c r="CK230" t="s">
        <v>125</v>
      </c>
      <c r="CL230" t="s">
        <v>125</v>
      </c>
      <c r="CM230" t="s">
        <v>125</v>
      </c>
      <c r="CN230" t="s">
        <v>125</v>
      </c>
      <c r="CO230" t="s">
        <v>125</v>
      </c>
      <c r="CP230" t="s">
        <v>125</v>
      </c>
      <c r="CQ230">
        <v>0.735043</v>
      </c>
      <c r="CR230">
        <v>1.0173909999999999</v>
      </c>
      <c r="CS230">
        <v>49.002848999999998</v>
      </c>
      <c r="CT230">
        <v>50</v>
      </c>
      <c r="CU230" t="s">
        <v>125</v>
      </c>
      <c r="CV230" t="s">
        <v>125</v>
      </c>
      <c r="CW230" t="s">
        <v>125</v>
      </c>
      <c r="CX230" t="s">
        <v>125</v>
      </c>
      <c r="CY230" t="s">
        <v>125</v>
      </c>
      <c r="CZ230" t="s">
        <v>125</v>
      </c>
      <c r="DA230">
        <v>15.314097</v>
      </c>
      <c r="DB230">
        <v>17.400950000000002</v>
      </c>
      <c r="DC230">
        <v>16.332519999999999</v>
      </c>
      <c r="DD230" t="s">
        <v>125</v>
      </c>
      <c r="DE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Q230" t="s">
        <v>126</v>
      </c>
    </row>
    <row r="231" spans="1:121" x14ac:dyDescent="0.15">
      <c r="A231">
        <v>2018</v>
      </c>
      <c r="B231" t="s">
        <v>181</v>
      </c>
      <c r="C231" t="str">
        <f t="shared" si="1"/>
        <v>0110011</v>
      </c>
      <c r="D231" t="s">
        <v>361</v>
      </c>
      <c r="E231" t="str">
        <f>"0116311"</f>
        <v>0116311</v>
      </c>
      <c r="F231" t="s">
        <v>328</v>
      </c>
      <c r="G231">
        <v>6</v>
      </c>
      <c r="H231">
        <v>12</v>
      </c>
      <c r="J231" t="s">
        <v>331</v>
      </c>
      <c r="K231">
        <v>866.34934199999998</v>
      </c>
      <c r="L231">
        <v>1250</v>
      </c>
      <c r="M231">
        <v>69.307946999999999</v>
      </c>
      <c r="N231">
        <v>3</v>
      </c>
      <c r="O231">
        <v>0</v>
      </c>
      <c r="P231">
        <v>58.619799999999998</v>
      </c>
      <c r="Q231">
        <v>39.079866000000003</v>
      </c>
      <c r="R231">
        <v>50</v>
      </c>
      <c r="S231">
        <v>58.907870000000003</v>
      </c>
      <c r="T231">
        <v>58.028086999999999</v>
      </c>
      <c r="U231">
        <v>39.271914000000002</v>
      </c>
      <c r="V231">
        <v>50</v>
      </c>
      <c r="W231">
        <v>47.338349999999998</v>
      </c>
      <c r="X231">
        <v>31.558900000000001</v>
      </c>
      <c r="Y231">
        <v>50</v>
      </c>
      <c r="Z231">
        <v>47.297381999999999</v>
      </c>
      <c r="AA231">
        <v>47.358294999999998</v>
      </c>
      <c r="AB231">
        <v>31.572196999999999</v>
      </c>
      <c r="AC231">
        <v>50</v>
      </c>
      <c r="AD231">
        <v>54.967905000000002</v>
      </c>
      <c r="AE231">
        <v>36.645269999999996</v>
      </c>
      <c r="AF231">
        <v>50</v>
      </c>
      <c r="AG231">
        <v>53.983511</v>
      </c>
      <c r="AH231">
        <v>56.551493000000001</v>
      </c>
      <c r="AI231">
        <v>35.989007999999998</v>
      </c>
      <c r="AJ231">
        <v>50</v>
      </c>
      <c r="AK231">
        <v>-0.87</v>
      </c>
      <c r="AL231">
        <v>-0.06</v>
      </c>
      <c r="AM231">
        <v>2.56</v>
      </c>
      <c r="AN231">
        <v>0.49674600000000002</v>
      </c>
      <c r="AO231">
        <v>49.674619999999997</v>
      </c>
      <c r="AP231">
        <v>100</v>
      </c>
      <c r="AQ231">
        <v>0.437301</v>
      </c>
      <c r="AR231">
        <v>43.730141000000003</v>
      </c>
      <c r="AS231">
        <v>100</v>
      </c>
      <c r="AT231">
        <v>0.48957600000000001</v>
      </c>
      <c r="AU231">
        <v>0.51527000000000001</v>
      </c>
      <c r="AV231">
        <v>48.957585999999999</v>
      </c>
      <c r="AW231">
        <v>100</v>
      </c>
      <c r="AX231">
        <v>0.44812999999999997</v>
      </c>
      <c r="AY231">
        <v>0.40887699999999999</v>
      </c>
      <c r="AZ231">
        <v>44.812992999999999</v>
      </c>
      <c r="BA231">
        <v>100</v>
      </c>
      <c r="BB231" t="s">
        <v>125</v>
      </c>
      <c r="BC231" t="s">
        <v>125</v>
      </c>
      <c r="BD231" t="s">
        <v>125</v>
      </c>
      <c r="BE231" t="s">
        <v>125</v>
      </c>
      <c r="BF231" t="s">
        <v>125</v>
      </c>
      <c r="BG231" t="s">
        <v>125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8.9946999999999999E-2</v>
      </c>
      <c r="BS231">
        <v>42.010581999999999</v>
      </c>
      <c r="BT231">
        <v>50</v>
      </c>
      <c r="BU231">
        <v>0.103704</v>
      </c>
      <c r="BV231">
        <v>39.259259</v>
      </c>
      <c r="BW231">
        <v>50</v>
      </c>
      <c r="BX231">
        <v>0.87234</v>
      </c>
      <c r="BY231">
        <v>50</v>
      </c>
      <c r="BZ231">
        <v>50</v>
      </c>
      <c r="CA231">
        <v>0.170213</v>
      </c>
      <c r="CB231">
        <v>11.347518000000001</v>
      </c>
      <c r="CC231">
        <v>50</v>
      </c>
      <c r="CD231">
        <v>0.93023299999999998</v>
      </c>
      <c r="CE231">
        <v>49.480454999999999</v>
      </c>
      <c r="CF231">
        <v>50</v>
      </c>
      <c r="CG231">
        <v>1</v>
      </c>
      <c r="CH231">
        <v>100</v>
      </c>
      <c r="CI231">
        <v>100</v>
      </c>
      <c r="CJ231">
        <v>0</v>
      </c>
      <c r="CK231" t="s">
        <v>125</v>
      </c>
      <c r="CL231" t="s">
        <v>125</v>
      </c>
      <c r="CM231" t="s">
        <v>125</v>
      </c>
      <c r="CN231">
        <v>0.69230800000000003</v>
      </c>
      <c r="CO231">
        <v>92.307692000000003</v>
      </c>
      <c r="CP231">
        <v>100</v>
      </c>
      <c r="CQ231">
        <v>0.45977000000000001</v>
      </c>
      <c r="CR231">
        <v>0.98863599999999996</v>
      </c>
      <c r="CS231">
        <v>30.651340999999999</v>
      </c>
      <c r="CT231">
        <v>50</v>
      </c>
      <c r="CU231">
        <v>0.76041700000000001</v>
      </c>
      <c r="CV231">
        <v>50</v>
      </c>
      <c r="CW231">
        <v>50</v>
      </c>
      <c r="CX231" t="s">
        <v>125</v>
      </c>
      <c r="CY231" t="s">
        <v>125</v>
      </c>
      <c r="CZ231" t="s">
        <v>125</v>
      </c>
      <c r="DA231">
        <v>15.314097</v>
      </c>
      <c r="DB231">
        <v>17.400950000000002</v>
      </c>
      <c r="DC231">
        <v>16.332519999999999</v>
      </c>
      <c r="DD231">
        <v>7.9891730000000001</v>
      </c>
      <c r="DE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Q231" t="s">
        <v>126</v>
      </c>
    </row>
    <row r="232" spans="1:121" x14ac:dyDescent="0.15">
      <c r="A232">
        <v>2018</v>
      </c>
      <c r="B232" t="s">
        <v>181</v>
      </c>
      <c r="C232" t="str">
        <f t="shared" si="1"/>
        <v>0110011</v>
      </c>
      <c r="D232" t="s">
        <v>362</v>
      </c>
      <c r="E232" t="str">
        <f>"0110611"</f>
        <v>0110611</v>
      </c>
      <c r="F232" t="s">
        <v>328</v>
      </c>
      <c r="G232" t="s">
        <v>339</v>
      </c>
      <c r="H232">
        <v>2</v>
      </c>
      <c r="I232" t="s">
        <v>336</v>
      </c>
      <c r="J232" t="s">
        <v>331</v>
      </c>
      <c r="K232">
        <v>76.763807</v>
      </c>
      <c r="L232">
        <v>100</v>
      </c>
      <c r="M232">
        <v>76.763807</v>
      </c>
      <c r="N232" t="s">
        <v>125</v>
      </c>
      <c r="O232" t="s">
        <v>125</v>
      </c>
      <c r="P232" t="s">
        <v>125</v>
      </c>
      <c r="Q232" t="s">
        <v>125</v>
      </c>
      <c r="R232" t="s">
        <v>125</v>
      </c>
      <c r="S232" t="s">
        <v>125</v>
      </c>
      <c r="T232" t="s">
        <v>125</v>
      </c>
      <c r="U232" t="s">
        <v>125</v>
      </c>
      <c r="V232" t="s">
        <v>125</v>
      </c>
      <c r="W232" t="s">
        <v>125</v>
      </c>
      <c r="X232" t="s">
        <v>125</v>
      </c>
      <c r="Y232" t="s">
        <v>125</v>
      </c>
      <c r="Z232" t="s">
        <v>125</v>
      </c>
      <c r="AA232" t="s">
        <v>125</v>
      </c>
      <c r="AB232" t="s">
        <v>125</v>
      </c>
      <c r="AC232" t="s">
        <v>125</v>
      </c>
      <c r="AD232" t="s">
        <v>125</v>
      </c>
      <c r="AE232" t="s">
        <v>125</v>
      </c>
      <c r="AF232" t="s">
        <v>125</v>
      </c>
      <c r="AG232" t="s">
        <v>125</v>
      </c>
      <c r="AH232" t="s">
        <v>125</v>
      </c>
      <c r="AI232" t="s">
        <v>125</v>
      </c>
      <c r="AJ232" t="s">
        <v>125</v>
      </c>
      <c r="AK232" t="s">
        <v>125</v>
      </c>
      <c r="AL232" t="s">
        <v>125</v>
      </c>
      <c r="AM232" t="s">
        <v>125</v>
      </c>
      <c r="AN232" t="s">
        <v>125</v>
      </c>
      <c r="AO232" t="s">
        <v>125</v>
      </c>
      <c r="AP232" t="s">
        <v>125</v>
      </c>
      <c r="AQ232" t="s">
        <v>125</v>
      </c>
      <c r="AR232" t="s">
        <v>125</v>
      </c>
      <c r="AS232" t="s">
        <v>125</v>
      </c>
      <c r="AT232" t="s">
        <v>125</v>
      </c>
      <c r="AU232" t="s">
        <v>125</v>
      </c>
      <c r="AV232" t="s">
        <v>125</v>
      </c>
      <c r="AW232" t="s">
        <v>125</v>
      </c>
      <c r="AX232" t="s">
        <v>125</v>
      </c>
      <c r="AY232" t="s">
        <v>125</v>
      </c>
      <c r="AZ232" t="s">
        <v>125</v>
      </c>
      <c r="BA232" t="s">
        <v>125</v>
      </c>
      <c r="BB232" t="s">
        <v>125</v>
      </c>
      <c r="BC232" t="s">
        <v>125</v>
      </c>
      <c r="BD232" t="s">
        <v>125</v>
      </c>
      <c r="BE232" t="s">
        <v>125</v>
      </c>
      <c r="BF232" t="s">
        <v>125</v>
      </c>
      <c r="BG232" t="s">
        <v>125</v>
      </c>
      <c r="BH232" t="s">
        <v>125</v>
      </c>
      <c r="BI232" t="s">
        <v>125</v>
      </c>
      <c r="BJ232" t="s">
        <v>125</v>
      </c>
      <c r="BK232" t="s">
        <v>125</v>
      </c>
      <c r="BL232" t="s">
        <v>125</v>
      </c>
      <c r="BM232" t="s">
        <v>125</v>
      </c>
      <c r="BN232" t="s">
        <v>125</v>
      </c>
      <c r="BO232" t="s">
        <v>125</v>
      </c>
      <c r="BP232" t="s">
        <v>125</v>
      </c>
      <c r="BQ232" t="s">
        <v>125</v>
      </c>
      <c r="BR232">
        <v>9.9714999999999998E-2</v>
      </c>
      <c r="BS232">
        <v>40.056980000000003</v>
      </c>
      <c r="BT232">
        <v>50</v>
      </c>
      <c r="BU232">
        <v>0.116466</v>
      </c>
      <c r="BV232">
        <v>36.706826999999997</v>
      </c>
      <c r="BW232">
        <v>50</v>
      </c>
      <c r="BX232" t="s">
        <v>125</v>
      </c>
      <c r="BY232" t="s">
        <v>125</v>
      </c>
      <c r="BZ232" t="s">
        <v>125</v>
      </c>
      <c r="CA232" t="s">
        <v>125</v>
      </c>
      <c r="CB232" t="s">
        <v>125</v>
      </c>
      <c r="CC232" t="s">
        <v>125</v>
      </c>
      <c r="CD232" t="s">
        <v>125</v>
      </c>
      <c r="CE232" t="s">
        <v>125</v>
      </c>
      <c r="CF232" t="s">
        <v>125</v>
      </c>
      <c r="CG232" t="s">
        <v>125</v>
      </c>
      <c r="CH232" t="s">
        <v>125</v>
      </c>
      <c r="CI232" t="s">
        <v>125</v>
      </c>
      <c r="CJ232" t="s">
        <v>125</v>
      </c>
      <c r="CK232" t="s">
        <v>125</v>
      </c>
      <c r="CL232" t="s">
        <v>125</v>
      </c>
      <c r="CM232" t="s">
        <v>125</v>
      </c>
      <c r="CN232" t="s">
        <v>125</v>
      </c>
      <c r="CO232" t="s">
        <v>125</v>
      </c>
      <c r="CP232" t="s">
        <v>125</v>
      </c>
      <c r="CQ232" t="s">
        <v>125</v>
      </c>
      <c r="CR232" t="s">
        <v>125</v>
      </c>
      <c r="CS232" t="s">
        <v>125</v>
      </c>
      <c r="CT232" t="s">
        <v>125</v>
      </c>
      <c r="CU232" t="s">
        <v>125</v>
      </c>
      <c r="CV232" t="s">
        <v>125</v>
      </c>
      <c r="CW232" t="s">
        <v>125</v>
      </c>
      <c r="CX232" t="s">
        <v>125</v>
      </c>
      <c r="CY232" t="s">
        <v>125</v>
      </c>
      <c r="CZ232" t="s">
        <v>125</v>
      </c>
      <c r="DA232" t="s">
        <v>125</v>
      </c>
      <c r="DB232" t="s">
        <v>125</v>
      </c>
      <c r="DC232" t="s">
        <v>125</v>
      </c>
      <c r="DD232" t="s">
        <v>125</v>
      </c>
      <c r="DE232" t="s">
        <v>125</v>
      </c>
      <c r="DJ232" t="s">
        <v>125</v>
      </c>
      <c r="DK232" t="s">
        <v>125</v>
      </c>
      <c r="DL232" t="s">
        <v>125</v>
      </c>
      <c r="DM232" t="s">
        <v>125</v>
      </c>
      <c r="DN232" t="s">
        <v>125</v>
      </c>
      <c r="DO232" t="s">
        <v>125</v>
      </c>
      <c r="DQ232" t="s">
        <v>126</v>
      </c>
    </row>
    <row r="233" spans="1:121" x14ac:dyDescent="0.15">
      <c r="A233">
        <v>2018</v>
      </c>
      <c r="B233" t="s">
        <v>181</v>
      </c>
      <c r="C233" t="str">
        <f t="shared" si="1"/>
        <v>0110011</v>
      </c>
      <c r="D233" t="s">
        <v>363</v>
      </c>
      <c r="E233" t="str">
        <f>"0116411"</f>
        <v>0116411</v>
      </c>
      <c r="F233" t="s">
        <v>328</v>
      </c>
      <c r="G233">
        <v>9</v>
      </c>
      <c r="H233">
        <v>12</v>
      </c>
      <c r="J233" t="s">
        <v>331</v>
      </c>
      <c r="K233">
        <v>0</v>
      </c>
      <c r="L233">
        <v>0</v>
      </c>
      <c r="M233">
        <v>0</v>
      </c>
      <c r="N233" t="s">
        <v>125</v>
      </c>
      <c r="O233" t="s">
        <v>125</v>
      </c>
      <c r="P233" t="s">
        <v>125</v>
      </c>
      <c r="Q233" t="s">
        <v>125</v>
      </c>
      <c r="R233" t="s">
        <v>125</v>
      </c>
      <c r="S233" t="s">
        <v>125</v>
      </c>
      <c r="T233" t="s">
        <v>125</v>
      </c>
      <c r="U233" t="s">
        <v>125</v>
      </c>
      <c r="V233" t="s">
        <v>125</v>
      </c>
      <c r="W233" t="s">
        <v>125</v>
      </c>
      <c r="X233" t="s">
        <v>125</v>
      </c>
      <c r="Y233" t="s">
        <v>125</v>
      </c>
      <c r="Z233" t="s">
        <v>125</v>
      </c>
      <c r="AA233" t="s">
        <v>125</v>
      </c>
      <c r="AB233" t="s">
        <v>125</v>
      </c>
      <c r="AC233" t="s">
        <v>125</v>
      </c>
      <c r="AD233" t="s">
        <v>125</v>
      </c>
      <c r="AE233" t="s">
        <v>125</v>
      </c>
      <c r="AF233" t="s">
        <v>125</v>
      </c>
      <c r="AG233" t="s">
        <v>125</v>
      </c>
      <c r="AH233" t="s">
        <v>125</v>
      </c>
      <c r="AI233" t="s">
        <v>125</v>
      </c>
      <c r="AJ233" t="s">
        <v>125</v>
      </c>
      <c r="AK233" t="s">
        <v>125</v>
      </c>
      <c r="AL233" t="s">
        <v>125</v>
      </c>
      <c r="AM233" t="s">
        <v>125</v>
      </c>
      <c r="AN233" t="s">
        <v>125</v>
      </c>
      <c r="AO233" t="s">
        <v>125</v>
      </c>
      <c r="AP233" t="s">
        <v>125</v>
      </c>
      <c r="AQ233" t="s">
        <v>125</v>
      </c>
      <c r="AR233" t="s">
        <v>125</v>
      </c>
      <c r="AS233" t="s">
        <v>125</v>
      </c>
      <c r="AT233" t="s">
        <v>125</v>
      </c>
      <c r="AU233" t="s">
        <v>125</v>
      </c>
      <c r="AV233" t="s">
        <v>125</v>
      </c>
      <c r="AW233" t="s">
        <v>125</v>
      </c>
      <c r="AX233" t="s">
        <v>125</v>
      </c>
      <c r="AY233" t="s">
        <v>125</v>
      </c>
      <c r="AZ233" t="s">
        <v>125</v>
      </c>
      <c r="BA233" t="s">
        <v>125</v>
      </c>
      <c r="BB233" t="s">
        <v>125</v>
      </c>
      <c r="BC233" t="s">
        <v>125</v>
      </c>
      <c r="BD233" t="s">
        <v>125</v>
      </c>
      <c r="BE233" t="s">
        <v>125</v>
      </c>
      <c r="BF233" t="s">
        <v>125</v>
      </c>
      <c r="BG233" t="s">
        <v>125</v>
      </c>
      <c r="BH233">
        <v>0</v>
      </c>
      <c r="BI233" t="s">
        <v>125</v>
      </c>
      <c r="BJ233" t="s">
        <v>125</v>
      </c>
      <c r="BK233" t="s">
        <v>125</v>
      </c>
      <c r="BL233" t="s">
        <v>125</v>
      </c>
      <c r="BM233" t="s">
        <v>125</v>
      </c>
      <c r="BN233" t="s">
        <v>125</v>
      </c>
      <c r="BO233" t="s">
        <v>125</v>
      </c>
      <c r="BP233" t="s">
        <v>125</v>
      </c>
      <c r="BQ233" t="s">
        <v>125</v>
      </c>
      <c r="BR233" t="s">
        <v>125</v>
      </c>
      <c r="BS233" t="s">
        <v>125</v>
      </c>
      <c r="BT233" t="s">
        <v>125</v>
      </c>
      <c r="BU233" t="s">
        <v>125</v>
      </c>
      <c r="BV233" t="s">
        <v>125</v>
      </c>
      <c r="BW233" t="s">
        <v>125</v>
      </c>
      <c r="BX233" t="s">
        <v>125</v>
      </c>
      <c r="BY233" t="s">
        <v>125</v>
      </c>
      <c r="BZ233" t="s">
        <v>125</v>
      </c>
      <c r="CA233" t="s">
        <v>125</v>
      </c>
      <c r="CB233" t="s">
        <v>125</v>
      </c>
      <c r="CC233" t="s">
        <v>125</v>
      </c>
      <c r="CD233" t="s">
        <v>125</v>
      </c>
      <c r="CE233" t="s">
        <v>125</v>
      </c>
      <c r="CF233" t="s">
        <v>125</v>
      </c>
      <c r="CG233" t="s">
        <v>125</v>
      </c>
      <c r="CH233" t="s">
        <v>125</v>
      </c>
      <c r="CI233" t="s">
        <v>125</v>
      </c>
      <c r="CJ233" t="s">
        <v>125</v>
      </c>
      <c r="CK233" t="s">
        <v>125</v>
      </c>
      <c r="CL233" t="s">
        <v>125</v>
      </c>
      <c r="CM233" t="s">
        <v>125</v>
      </c>
      <c r="CN233" t="s">
        <v>125</v>
      </c>
      <c r="CO233" t="s">
        <v>125</v>
      </c>
      <c r="CP233" t="s">
        <v>125</v>
      </c>
      <c r="CQ233" t="s">
        <v>125</v>
      </c>
      <c r="CR233" t="s">
        <v>125</v>
      </c>
      <c r="CS233" t="s">
        <v>125</v>
      </c>
      <c r="CT233" t="s">
        <v>125</v>
      </c>
      <c r="CU233" t="s">
        <v>125</v>
      </c>
      <c r="CV233" t="s">
        <v>125</v>
      </c>
      <c r="CW233" t="s">
        <v>125</v>
      </c>
      <c r="CX233" t="s">
        <v>125</v>
      </c>
      <c r="CY233" t="s">
        <v>125</v>
      </c>
      <c r="CZ233" t="s">
        <v>125</v>
      </c>
      <c r="DA233" t="s">
        <v>125</v>
      </c>
      <c r="DB233" t="s">
        <v>125</v>
      </c>
      <c r="DC233" t="s">
        <v>125</v>
      </c>
      <c r="DD233" t="s">
        <v>125</v>
      </c>
      <c r="DE233" t="s">
        <v>125</v>
      </c>
      <c r="DJ233" t="s">
        <v>125</v>
      </c>
      <c r="DK233" t="s">
        <v>125</v>
      </c>
      <c r="DL233" t="s">
        <v>125</v>
      </c>
      <c r="DM233" t="s">
        <v>125</v>
      </c>
      <c r="DN233" t="s">
        <v>125</v>
      </c>
      <c r="DO233" t="s">
        <v>125</v>
      </c>
      <c r="DQ233" t="s">
        <v>126</v>
      </c>
    </row>
    <row r="234" spans="1:121" x14ac:dyDescent="0.15">
      <c r="A234">
        <v>2018</v>
      </c>
      <c r="B234" t="s">
        <v>181</v>
      </c>
      <c r="C234" t="str">
        <f t="shared" si="1"/>
        <v>0110011</v>
      </c>
      <c r="D234" t="s">
        <v>364</v>
      </c>
      <c r="E234" t="str">
        <f>"0110511"</f>
        <v>0110511</v>
      </c>
      <c r="F234" t="s">
        <v>328</v>
      </c>
      <c r="G234">
        <v>3</v>
      </c>
      <c r="H234">
        <v>4</v>
      </c>
      <c r="I234" t="s">
        <v>336</v>
      </c>
      <c r="J234" t="s">
        <v>331</v>
      </c>
      <c r="K234">
        <v>463.81968999999998</v>
      </c>
      <c r="L234">
        <v>750</v>
      </c>
      <c r="M234">
        <v>61.842624999999998</v>
      </c>
      <c r="N234">
        <v>3</v>
      </c>
      <c r="O234">
        <v>0</v>
      </c>
      <c r="P234">
        <v>63.298599000000003</v>
      </c>
      <c r="Q234">
        <v>42.199066000000002</v>
      </c>
      <c r="R234">
        <v>50</v>
      </c>
      <c r="S234">
        <v>58.420695000000002</v>
      </c>
      <c r="T234">
        <v>73.348257000000004</v>
      </c>
      <c r="U234">
        <v>38.947130000000001</v>
      </c>
      <c r="V234">
        <v>50</v>
      </c>
      <c r="W234">
        <v>57.355572000000002</v>
      </c>
      <c r="X234">
        <v>38.237048000000001</v>
      </c>
      <c r="Y234">
        <v>50</v>
      </c>
      <c r="Z234">
        <v>67.605343000000005</v>
      </c>
      <c r="AA234">
        <v>52.380536999999997</v>
      </c>
      <c r="AB234">
        <v>34.920358</v>
      </c>
      <c r="AC234">
        <v>50</v>
      </c>
      <c r="AD234" t="s">
        <v>125</v>
      </c>
      <c r="AE234" t="s">
        <v>125</v>
      </c>
      <c r="AF234" t="s">
        <v>125</v>
      </c>
      <c r="AG234" t="s">
        <v>125</v>
      </c>
      <c r="AH234" t="s">
        <v>125</v>
      </c>
      <c r="AI234" t="s">
        <v>125</v>
      </c>
      <c r="AJ234" t="s">
        <v>125</v>
      </c>
      <c r="AK234">
        <v>14.92</v>
      </c>
      <c r="AL234">
        <v>15.22</v>
      </c>
      <c r="AM234" t="s">
        <v>125</v>
      </c>
      <c r="AN234">
        <v>0.49048799999999998</v>
      </c>
      <c r="AO234">
        <v>49.048777000000001</v>
      </c>
      <c r="AP234">
        <v>100</v>
      </c>
      <c r="AQ234">
        <v>0.49747200000000003</v>
      </c>
      <c r="AR234">
        <v>49.747171999999999</v>
      </c>
      <c r="AS234">
        <v>100</v>
      </c>
      <c r="AT234">
        <v>0.46069399999999999</v>
      </c>
      <c r="AU234">
        <v>0.54560600000000004</v>
      </c>
      <c r="AV234">
        <v>46.069400000000002</v>
      </c>
      <c r="AW234">
        <v>100</v>
      </c>
      <c r="AX234">
        <v>0.46122800000000003</v>
      </c>
      <c r="AY234">
        <v>0.56452199999999997</v>
      </c>
      <c r="AZ234">
        <v>46.122808999999997</v>
      </c>
      <c r="BA234">
        <v>100</v>
      </c>
      <c r="BB234" t="s">
        <v>125</v>
      </c>
      <c r="BC234" t="s">
        <v>125</v>
      </c>
      <c r="BD234" t="s">
        <v>125</v>
      </c>
      <c r="BE234" t="s">
        <v>125</v>
      </c>
      <c r="BF234" t="s">
        <v>125</v>
      </c>
      <c r="BG234" t="s">
        <v>125</v>
      </c>
      <c r="BH234">
        <v>0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 t="s">
        <v>125</v>
      </c>
      <c r="BP234" t="s">
        <v>125</v>
      </c>
      <c r="BQ234" t="s">
        <v>125</v>
      </c>
      <c r="BR234">
        <v>8.2396999999999998E-2</v>
      </c>
      <c r="BS234">
        <v>43.520598999999997</v>
      </c>
      <c r="BT234">
        <v>50</v>
      </c>
      <c r="BU234">
        <v>0.103825</v>
      </c>
      <c r="BV234">
        <v>39.234972999999997</v>
      </c>
      <c r="BW234">
        <v>50</v>
      </c>
      <c r="BX234" t="s">
        <v>125</v>
      </c>
      <c r="BY234" t="s">
        <v>125</v>
      </c>
      <c r="BZ234" t="s">
        <v>125</v>
      </c>
      <c r="CA234" t="s">
        <v>125</v>
      </c>
      <c r="CB234" t="s">
        <v>125</v>
      </c>
      <c r="CC234" t="s">
        <v>125</v>
      </c>
      <c r="CD234" t="s">
        <v>125</v>
      </c>
      <c r="CE234" t="s">
        <v>125</v>
      </c>
      <c r="CF234" t="s">
        <v>125</v>
      </c>
      <c r="CG234" t="s">
        <v>125</v>
      </c>
      <c r="CH234" t="s">
        <v>125</v>
      </c>
      <c r="CI234" t="s">
        <v>125</v>
      </c>
      <c r="CJ234" t="s">
        <v>125</v>
      </c>
      <c r="CK234" t="s">
        <v>125</v>
      </c>
      <c r="CL234" t="s">
        <v>125</v>
      </c>
      <c r="CM234" t="s">
        <v>125</v>
      </c>
      <c r="CN234" t="s">
        <v>125</v>
      </c>
      <c r="CO234" t="s">
        <v>125</v>
      </c>
      <c r="CP234" t="s">
        <v>125</v>
      </c>
      <c r="CQ234">
        <v>0.53658499999999998</v>
      </c>
      <c r="CR234">
        <v>0.98399999999999999</v>
      </c>
      <c r="CS234">
        <v>35.772357999999997</v>
      </c>
      <c r="CT234">
        <v>50</v>
      </c>
      <c r="CU234" t="s">
        <v>125</v>
      </c>
      <c r="CV234" t="s">
        <v>125</v>
      </c>
      <c r="CW234" t="s">
        <v>125</v>
      </c>
      <c r="CX234" t="s">
        <v>125</v>
      </c>
      <c r="CY234" t="s">
        <v>125</v>
      </c>
      <c r="CZ234" t="s">
        <v>125</v>
      </c>
      <c r="DA234">
        <v>15.314097</v>
      </c>
      <c r="DB234">
        <v>17.400950000000002</v>
      </c>
      <c r="DC234">
        <v>16.332519999999999</v>
      </c>
      <c r="DD234" t="s">
        <v>125</v>
      </c>
      <c r="DE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Q234" t="s">
        <v>126</v>
      </c>
    </row>
    <row r="235" spans="1:121" x14ac:dyDescent="0.15">
      <c r="A235">
        <v>2018</v>
      </c>
      <c r="B235" t="s">
        <v>141</v>
      </c>
      <c r="C235" t="str">
        <f>"0120011"</f>
        <v>0120011</v>
      </c>
      <c r="D235" t="s">
        <v>365</v>
      </c>
      <c r="E235" t="str">
        <f>"0120111"</f>
        <v>0120111</v>
      </c>
      <c r="F235" t="s">
        <v>328</v>
      </c>
      <c r="G235" t="s">
        <v>329</v>
      </c>
      <c r="H235">
        <v>8</v>
      </c>
      <c r="I235" t="s">
        <v>330</v>
      </c>
      <c r="J235" t="s">
        <v>331</v>
      </c>
      <c r="K235">
        <v>659.89107999999999</v>
      </c>
      <c r="L235">
        <v>900</v>
      </c>
      <c r="M235">
        <v>73.321230999999997</v>
      </c>
      <c r="N235">
        <v>2</v>
      </c>
      <c r="O235">
        <v>0</v>
      </c>
      <c r="P235">
        <v>77.214194000000006</v>
      </c>
      <c r="Q235">
        <v>50</v>
      </c>
      <c r="R235">
        <v>50</v>
      </c>
      <c r="S235">
        <v>64.990509000000003</v>
      </c>
      <c r="T235">
        <v>75</v>
      </c>
      <c r="U235">
        <v>43.327005999999997</v>
      </c>
      <c r="V235">
        <v>50</v>
      </c>
      <c r="W235">
        <v>73.237025000000003</v>
      </c>
      <c r="X235">
        <v>48.824683999999998</v>
      </c>
      <c r="Y235">
        <v>50</v>
      </c>
      <c r="Z235">
        <v>75</v>
      </c>
      <c r="AA235">
        <v>59.458556999999999</v>
      </c>
      <c r="AB235">
        <v>39.639037999999999</v>
      </c>
      <c r="AC235">
        <v>50</v>
      </c>
      <c r="AD235">
        <v>75.815651000000003</v>
      </c>
      <c r="AE235">
        <v>50</v>
      </c>
      <c r="AF235">
        <v>50</v>
      </c>
      <c r="AG235">
        <v>64.301057</v>
      </c>
      <c r="AH235">
        <v>75</v>
      </c>
      <c r="AI235">
        <v>42.867370999999999</v>
      </c>
      <c r="AJ235">
        <v>50</v>
      </c>
      <c r="AK235">
        <v>10</v>
      </c>
      <c r="AL235">
        <v>15.54</v>
      </c>
      <c r="AM235">
        <v>10.69</v>
      </c>
      <c r="AN235">
        <v>0.58734699999999995</v>
      </c>
      <c r="AO235">
        <v>58.734686000000004</v>
      </c>
      <c r="AP235">
        <v>100</v>
      </c>
      <c r="AQ235">
        <v>0.61204700000000001</v>
      </c>
      <c r="AR235">
        <v>61.204704</v>
      </c>
      <c r="AS235">
        <v>100</v>
      </c>
      <c r="AT235">
        <v>0.51663000000000003</v>
      </c>
      <c r="AU235">
        <v>0.61576900000000001</v>
      </c>
      <c r="AV235">
        <v>51.662984000000002</v>
      </c>
      <c r="AW235">
        <v>100</v>
      </c>
      <c r="AX235">
        <v>0.49428899999999998</v>
      </c>
      <c r="AY235">
        <v>0.65937599999999996</v>
      </c>
      <c r="AZ235">
        <v>49.428927000000002</v>
      </c>
      <c r="BA235">
        <v>100</v>
      </c>
      <c r="BB235" t="s">
        <v>125</v>
      </c>
      <c r="BC235" t="s">
        <v>125</v>
      </c>
      <c r="BD235" t="s">
        <v>125</v>
      </c>
      <c r="BE235" t="s">
        <v>125</v>
      </c>
      <c r="BF235" t="s">
        <v>125</v>
      </c>
      <c r="BG235" t="s">
        <v>125</v>
      </c>
      <c r="BH235">
        <v>0</v>
      </c>
      <c r="BI235">
        <v>0.98039200000000004</v>
      </c>
      <c r="BJ235">
        <v>0.99137900000000001</v>
      </c>
      <c r="BK235">
        <v>0.97510399999999997</v>
      </c>
      <c r="BL235">
        <v>0.98039200000000004</v>
      </c>
      <c r="BM235">
        <v>0.99137900000000001</v>
      </c>
      <c r="BN235">
        <v>0.97510399999999997</v>
      </c>
      <c r="BO235">
        <v>0.98461500000000002</v>
      </c>
      <c r="BP235">
        <v>0.97674399999999995</v>
      </c>
      <c r="BQ235">
        <v>0.988506</v>
      </c>
      <c r="BR235">
        <v>4.3137000000000002E-2</v>
      </c>
      <c r="BS235">
        <v>50</v>
      </c>
      <c r="BT235">
        <v>50</v>
      </c>
      <c r="BU235">
        <v>0.123377</v>
      </c>
      <c r="BV235">
        <v>35.324674999999999</v>
      </c>
      <c r="BW235">
        <v>50</v>
      </c>
      <c r="BX235" t="s">
        <v>125</v>
      </c>
      <c r="BY235" t="s">
        <v>125</v>
      </c>
      <c r="BZ235" t="s">
        <v>125</v>
      </c>
      <c r="CA235" t="s">
        <v>125</v>
      </c>
      <c r="CB235" t="s">
        <v>125</v>
      </c>
      <c r="CC235" t="s">
        <v>125</v>
      </c>
      <c r="CD235">
        <v>0.95</v>
      </c>
      <c r="CE235">
        <v>50</v>
      </c>
      <c r="CF235">
        <v>50</v>
      </c>
      <c r="CG235" t="s">
        <v>125</v>
      </c>
      <c r="CH235" t="s">
        <v>125</v>
      </c>
      <c r="CI235" t="s">
        <v>125</v>
      </c>
      <c r="CJ235" t="s">
        <v>125</v>
      </c>
      <c r="CK235" t="s">
        <v>125</v>
      </c>
      <c r="CL235" t="s">
        <v>125</v>
      </c>
      <c r="CM235" t="s">
        <v>125</v>
      </c>
      <c r="CN235" t="s">
        <v>125</v>
      </c>
      <c r="CO235" t="s">
        <v>125</v>
      </c>
      <c r="CP235" t="s">
        <v>125</v>
      </c>
      <c r="CQ235">
        <v>0.43315500000000001</v>
      </c>
      <c r="CR235">
        <v>0.99468100000000004</v>
      </c>
      <c r="CS235">
        <v>28.877005</v>
      </c>
      <c r="CT235">
        <v>50</v>
      </c>
      <c r="CU235" t="s">
        <v>125</v>
      </c>
      <c r="CV235" t="s">
        <v>125</v>
      </c>
      <c r="CW235" t="s">
        <v>125</v>
      </c>
      <c r="CX235" t="s">
        <v>125</v>
      </c>
      <c r="CY235" t="s">
        <v>125</v>
      </c>
      <c r="CZ235" t="s">
        <v>125</v>
      </c>
      <c r="DA235">
        <v>15.314097</v>
      </c>
      <c r="DB235">
        <v>17.400950000000002</v>
      </c>
      <c r="DC235">
        <v>16.332519999999999</v>
      </c>
      <c r="DD235" t="s">
        <v>125</v>
      </c>
      <c r="DE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Q235" t="s">
        <v>126</v>
      </c>
    </row>
    <row r="236" spans="1:121" x14ac:dyDescent="0.15">
      <c r="A236">
        <v>2018</v>
      </c>
      <c r="B236" t="s">
        <v>141</v>
      </c>
      <c r="C236" t="str">
        <f>"0120011"</f>
        <v>0120011</v>
      </c>
      <c r="D236" t="s">
        <v>366</v>
      </c>
      <c r="E236" t="str">
        <f>"0126111"</f>
        <v>0126111</v>
      </c>
      <c r="F236" t="s">
        <v>328</v>
      </c>
      <c r="G236">
        <v>9</v>
      </c>
      <c r="H236">
        <v>12</v>
      </c>
      <c r="J236" t="s">
        <v>331</v>
      </c>
      <c r="K236">
        <v>857.822183</v>
      </c>
      <c r="L236">
        <v>950</v>
      </c>
      <c r="M236">
        <v>90.297072</v>
      </c>
      <c r="N236">
        <v>1</v>
      </c>
      <c r="O236">
        <v>0</v>
      </c>
      <c r="P236">
        <v>62.547221999999998</v>
      </c>
      <c r="Q236">
        <v>125.094444</v>
      </c>
      <c r="R236">
        <v>150</v>
      </c>
      <c r="S236" t="s">
        <v>125</v>
      </c>
      <c r="T236">
        <v>68.259690000000006</v>
      </c>
      <c r="U236" t="s">
        <v>125</v>
      </c>
      <c r="V236" t="s">
        <v>125</v>
      </c>
      <c r="W236">
        <v>56.191667000000002</v>
      </c>
      <c r="X236">
        <v>112.38333299999999</v>
      </c>
      <c r="Y236">
        <v>150</v>
      </c>
      <c r="Z236">
        <v>60.968992</v>
      </c>
      <c r="AA236" t="s">
        <v>125</v>
      </c>
      <c r="AB236" t="s">
        <v>125</v>
      </c>
      <c r="AC236" t="s">
        <v>125</v>
      </c>
      <c r="AD236">
        <v>73.967949000000004</v>
      </c>
      <c r="AE236">
        <v>98.623931999999996</v>
      </c>
      <c r="AF236">
        <v>100</v>
      </c>
      <c r="AG236" t="s">
        <v>125</v>
      </c>
      <c r="AH236">
        <v>75</v>
      </c>
      <c r="AI236" t="s">
        <v>125</v>
      </c>
      <c r="AJ236" t="s">
        <v>125</v>
      </c>
      <c r="AK236" t="s">
        <v>125</v>
      </c>
      <c r="AL236" t="s">
        <v>125</v>
      </c>
      <c r="AM236" t="s">
        <v>125</v>
      </c>
      <c r="AN236" t="s">
        <v>125</v>
      </c>
      <c r="AO236" t="s">
        <v>125</v>
      </c>
      <c r="AP236" t="s">
        <v>125</v>
      </c>
      <c r="AQ236" t="s">
        <v>125</v>
      </c>
      <c r="AR236" t="s">
        <v>125</v>
      </c>
      <c r="AS236" t="s">
        <v>125</v>
      </c>
      <c r="AT236" t="s">
        <v>125</v>
      </c>
      <c r="AU236" t="s">
        <v>125</v>
      </c>
      <c r="AV236" t="s">
        <v>125</v>
      </c>
      <c r="AW236" t="s">
        <v>125</v>
      </c>
      <c r="AX236" t="s">
        <v>125</v>
      </c>
      <c r="AY236" t="s">
        <v>125</v>
      </c>
      <c r="AZ236" t="s">
        <v>125</v>
      </c>
      <c r="BA236" t="s">
        <v>125</v>
      </c>
      <c r="BB236" t="s">
        <v>125</v>
      </c>
      <c r="BC236" t="s">
        <v>125</v>
      </c>
      <c r="BD236" t="s">
        <v>125</v>
      </c>
      <c r="BE236" t="s">
        <v>125</v>
      </c>
      <c r="BF236" t="s">
        <v>125</v>
      </c>
      <c r="BG236" t="s">
        <v>125</v>
      </c>
      <c r="BH236">
        <v>0</v>
      </c>
      <c r="BI236">
        <v>1</v>
      </c>
      <c r="BJ236" t="s">
        <v>125</v>
      </c>
      <c r="BK236">
        <v>1</v>
      </c>
      <c r="BL236">
        <v>1</v>
      </c>
      <c r="BM236" t="s">
        <v>125</v>
      </c>
      <c r="BN236">
        <v>1</v>
      </c>
      <c r="BO236">
        <v>1</v>
      </c>
      <c r="BP236" t="s">
        <v>125</v>
      </c>
      <c r="BQ236">
        <v>1</v>
      </c>
      <c r="BR236">
        <v>5.0388000000000002E-2</v>
      </c>
      <c r="BS236">
        <v>49.922480999999998</v>
      </c>
      <c r="BT236">
        <v>50</v>
      </c>
      <c r="BU236">
        <v>9.7222000000000003E-2</v>
      </c>
      <c r="BV236">
        <v>40.555556000000003</v>
      </c>
      <c r="BW236">
        <v>50</v>
      </c>
      <c r="BX236">
        <v>0.76612899999999995</v>
      </c>
      <c r="BY236">
        <v>50</v>
      </c>
      <c r="BZ236">
        <v>50</v>
      </c>
      <c r="CA236">
        <v>0.50806499999999999</v>
      </c>
      <c r="CB236">
        <v>33.870967999999998</v>
      </c>
      <c r="CC236">
        <v>50</v>
      </c>
      <c r="CD236">
        <v>0.971831</v>
      </c>
      <c r="CE236">
        <v>50</v>
      </c>
      <c r="CF236">
        <v>50</v>
      </c>
      <c r="CG236">
        <v>0.98734200000000005</v>
      </c>
      <c r="CH236">
        <v>100</v>
      </c>
      <c r="CI236">
        <v>100</v>
      </c>
      <c r="CJ236">
        <v>0</v>
      </c>
      <c r="CK236" t="s">
        <v>125</v>
      </c>
      <c r="CL236" t="s">
        <v>125</v>
      </c>
      <c r="CM236" t="s">
        <v>125</v>
      </c>
      <c r="CN236">
        <v>0.84810099999999999</v>
      </c>
      <c r="CO236">
        <v>100</v>
      </c>
      <c r="CP236">
        <v>100</v>
      </c>
      <c r="CQ236">
        <v>0.72413799999999995</v>
      </c>
      <c r="CR236">
        <v>0.92063499999999998</v>
      </c>
      <c r="CS236">
        <v>48.275861999999996</v>
      </c>
      <c r="CT236">
        <v>50</v>
      </c>
      <c r="CU236">
        <v>0.58914699999999998</v>
      </c>
      <c r="CV236">
        <v>49.095607000000001</v>
      </c>
      <c r="CW236">
        <v>50</v>
      </c>
      <c r="CX236" t="s">
        <v>125</v>
      </c>
      <c r="CY236" t="s">
        <v>125</v>
      </c>
      <c r="CZ236" t="s">
        <v>125</v>
      </c>
      <c r="DA236">
        <v>15.314097</v>
      </c>
      <c r="DB236">
        <v>17.400950000000002</v>
      </c>
      <c r="DC236">
        <v>16.332519999999999</v>
      </c>
      <c r="DD236">
        <v>7.9891730000000001</v>
      </c>
      <c r="DE236">
        <v>0</v>
      </c>
      <c r="DH236" t="s">
        <v>332</v>
      </c>
      <c r="DI236" t="s">
        <v>367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1</v>
      </c>
      <c r="DQ236" t="s">
        <v>126</v>
      </c>
    </row>
    <row r="237" spans="1:121" x14ac:dyDescent="0.15">
      <c r="A237">
        <v>2018</v>
      </c>
      <c r="B237" t="s">
        <v>158</v>
      </c>
      <c r="C237" t="str">
        <f>"0130011"</f>
        <v>0130011</v>
      </c>
      <c r="D237" t="s">
        <v>368</v>
      </c>
      <c r="E237" t="str">
        <f>"0130111"</f>
        <v>0130111</v>
      </c>
      <c r="F237" t="s">
        <v>328</v>
      </c>
      <c r="G237" t="s">
        <v>329</v>
      </c>
      <c r="H237">
        <v>8</v>
      </c>
      <c r="I237" t="s">
        <v>330</v>
      </c>
      <c r="J237" t="s">
        <v>331</v>
      </c>
      <c r="K237">
        <v>625.25504899999999</v>
      </c>
      <c r="L237">
        <v>850</v>
      </c>
      <c r="M237">
        <v>73.559416999999996</v>
      </c>
      <c r="N237">
        <v>2</v>
      </c>
      <c r="O237">
        <v>0</v>
      </c>
      <c r="P237">
        <v>68.262862999999996</v>
      </c>
      <c r="Q237">
        <v>45.508575</v>
      </c>
      <c r="R237">
        <v>50</v>
      </c>
      <c r="S237">
        <v>62.232416999999998</v>
      </c>
      <c r="T237">
        <v>72.656473000000005</v>
      </c>
      <c r="U237">
        <v>41.488278000000001</v>
      </c>
      <c r="V237">
        <v>50</v>
      </c>
      <c r="W237">
        <v>64.373439000000005</v>
      </c>
      <c r="X237">
        <v>42.915626000000003</v>
      </c>
      <c r="Y237">
        <v>50</v>
      </c>
      <c r="Z237">
        <v>69.122972000000004</v>
      </c>
      <c r="AA237">
        <v>57.854472999999999</v>
      </c>
      <c r="AB237">
        <v>38.569648000000001</v>
      </c>
      <c r="AC237">
        <v>50</v>
      </c>
      <c r="AD237">
        <v>69.345215999999994</v>
      </c>
      <c r="AE237">
        <v>46.230144000000003</v>
      </c>
      <c r="AF237">
        <v>50</v>
      </c>
      <c r="AG237" t="s">
        <v>125</v>
      </c>
      <c r="AH237">
        <v>75</v>
      </c>
      <c r="AI237" t="s">
        <v>125</v>
      </c>
      <c r="AJ237" t="s">
        <v>125</v>
      </c>
      <c r="AK237">
        <v>10.42</v>
      </c>
      <c r="AL237">
        <v>11.26</v>
      </c>
      <c r="AM237" t="s">
        <v>125</v>
      </c>
      <c r="AN237">
        <v>0.54711500000000002</v>
      </c>
      <c r="AO237">
        <v>54.711478999999997</v>
      </c>
      <c r="AP237">
        <v>100</v>
      </c>
      <c r="AQ237">
        <v>0.66597300000000004</v>
      </c>
      <c r="AR237">
        <v>66.597314999999995</v>
      </c>
      <c r="AS237">
        <v>100</v>
      </c>
      <c r="AT237">
        <v>0.49672300000000003</v>
      </c>
      <c r="AU237">
        <v>0.58045100000000005</v>
      </c>
      <c r="AV237">
        <v>49.672336999999999</v>
      </c>
      <c r="AW237">
        <v>100</v>
      </c>
      <c r="AX237">
        <v>0.70256099999999999</v>
      </c>
      <c r="AY237">
        <v>0.64176900000000003</v>
      </c>
      <c r="AZ237">
        <v>70.256138000000007</v>
      </c>
      <c r="BA237">
        <v>100</v>
      </c>
      <c r="BB237" t="s">
        <v>125</v>
      </c>
      <c r="BC237" t="s">
        <v>125</v>
      </c>
      <c r="BD237" t="s">
        <v>125</v>
      </c>
      <c r="BE237" t="s">
        <v>125</v>
      </c>
      <c r="BF237" t="s">
        <v>125</v>
      </c>
      <c r="BG237" t="s">
        <v>125</v>
      </c>
      <c r="BH237">
        <v>0</v>
      </c>
      <c r="BI237">
        <v>0.98412699999999997</v>
      </c>
      <c r="BJ237">
        <v>0.96363600000000005</v>
      </c>
      <c r="BK237">
        <v>1</v>
      </c>
      <c r="BL237">
        <v>0.98412699999999997</v>
      </c>
      <c r="BM237">
        <v>0.96363600000000005</v>
      </c>
      <c r="BN237">
        <v>1</v>
      </c>
      <c r="BO237">
        <v>0.97826100000000005</v>
      </c>
      <c r="BP237">
        <v>0.95454499999999998</v>
      </c>
      <c r="BQ237">
        <v>1</v>
      </c>
      <c r="BR237">
        <v>4.6511999999999998E-2</v>
      </c>
      <c r="BS237">
        <v>50</v>
      </c>
      <c r="BT237">
        <v>50</v>
      </c>
      <c r="BU237">
        <v>8.8608000000000006E-2</v>
      </c>
      <c r="BV237">
        <v>42.278480999999999</v>
      </c>
      <c r="BW237">
        <v>50</v>
      </c>
      <c r="BX237" t="s">
        <v>125</v>
      </c>
      <c r="BY237" t="s">
        <v>125</v>
      </c>
      <c r="BZ237" t="s">
        <v>125</v>
      </c>
      <c r="CA237" t="s">
        <v>125</v>
      </c>
      <c r="CB237" t="s">
        <v>125</v>
      </c>
      <c r="CC237" t="s">
        <v>125</v>
      </c>
      <c r="CD237">
        <v>1</v>
      </c>
      <c r="CE237">
        <v>50</v>
      </c>
      <c r="CF237">
        <v>50</v>
      </c>
      <c r="CG237" t="s">
        <v>125</v>
      </c>
      <c r="CH237" t="s">
        <v>125</v>
      </c>
      <c r="CI237" t="s">
        <v>125</v>
      </c>
      <c r="CJ237" t="s">
        <v>125</v>
      </c>
      <c r="CK237" t="s">
        <v>125</v>
      </c>
      <c r="CL237" t="s">
        <v>125</v>
      </c>
      <c r="CM237" t="s">
        <v>125</v>
      </c>
      <c r="CN237" t="s">
        <v>125</v>
      </c>
      <c r="CO237" t="s">
        <v>125</v>
      </c>
      <c r="CP237" t="s">
        <v>125</v>
      </c>
      <c r="CQ237">
        <v>0.40540500000000002</v>
      </c>
      <c r="CR237">
        <v>1</v>
      </c>
      <c r="CS237">
        <v>27.027027</v>
      </c>
      <c r="CT237">
        <v>50</v>
      </c>
      <c r="CU237" t="s">
        <v>125</v>
      </c>
      <c r="CV237" t="s">
        <v>125</v>
      </c>
      <c r="CW237" t="s">
        <v>125</v>
      </c>
      <c r="CX237" t="s">
        <v>125</v>
      </c>
      <c r="CY237" t="s">
        <v>125</v>
      </c>
      <c r="CZ237" t="s">
        <v>125</v>
      </c>
      <c r="DA237">
        <v>15.314097</v>
      </c>
      <c r="DB237">
        <v>17.400950000000002</v>
      </c>
      <c r="DC237">
        <v>16.332519999999999</v>
      </c>
      <c r="DD237" t="s">
        <v>125</v>
      </c>
      <c r="DE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Q237" t="s">
        <v>126</v>
      </c>
    </row>
    <row r="238" spans="1:121" x14ac:dyDescent="0.15">
      <c r="A238">
        <v>2018</v>
      </c>
      <c r="B238" t="s">
        <v>159</v>
      </c>
      <c r="C238" t="str">
        <f>"0140011"</f>
        <v>0140011</v>
      </c>
      <c r="D238" t="s">
        <v>369</v>
      </c>
      <c r="E238" t="str">
        <f>"0146111"</f>
        <v>0146111</v>
      </c>
      <c r="F238" t="s">
        <v>328</v>
      </c>
      <c r="G238">
        <v>9</v>
      </c>
      <c r="H238">
        <v>12</v>
      </c>
      <c r="J238" t="s">
        <v>331</v>
      </c>
      <c r="K238">
        <v>1145.1450580000001</v>
      </c>
      <c r="L238">
        <v>1450</v>
      </c>
      <c r="M238">
        <v>78.975521000000001</v>
      </c>
      <c r="N238">
        <v>3</v>
      </c>
      <c r="O238">
        <v>1</v>
      </c>
      <c r="P238">
        <v>60.052227000000002</v>
      </c>
      <c r="Q238">
        <v>120.104455</v>
      </c>
      <c r="R238">
        <v>150</v>
      </c>
      <c r="S238">
        <v>50.532863999999996</v>
      </c>
      <c r="T238">
        <v>64.681506999999996</v>
      </c>
      <c r="U238">
        <v>101.06572799999999</v>
      </c>
      <c r="V238">
        <v>150</v>
      </c>
      <c r="W238">
        <v>58.247056000000001</v>
      </c>
      <c r="X238">
        <v>116.494112</v>
      </c>
      <c r="Y238">
        <v>150</v>
      </c>
      <c r="Z238">
        <v>64.103881000000001</v>
      </c>
      <c r="AA238">
        <v>46.203443</v>
      </c>
      <c r="AB238">
        <v>92.406886</v>
      </c>
      <c r="AC238">
        <v>150</v>
      </c>
      <c r="AD238">
        <v>60.767884000000002</v>
      </c>
      <c r="AE238">
        <v>81.023846000000006</v>
      </c>
      <c r="AF238">
        <v>100</v>
      </c>
      <c r="AG238">
        <v>50.184165</v>
      </c>
      <c r="AH238">
        <v>66.169230999999996</v>
      </c>
      <c r="AI238">
        <v>66.912220000000005</v>
      </c>
      <c r="AJ238">
        <v>100</v>
      </c>
      <c r="AK238">
        <v>14.14</v>
      </c>
      <c r="AL238">
        <v>17.899999999999999</v>
      </c>
      <c r="AM238">
        <v>15.98</v>
      </c>
      <c r="AN238" t="s">
        <v>125</v>
      </c>
      <c r="AO238" t="s">
        <v>125</v>
      </c>
      <c r="AP238" t="s">
        <v>125</v>
      </c>
      <c r="AQ238" t="s">
        <v>125</v>
      </c>
      <c r="AR238" t="s">
        <v>125</v>
      </c>
      <c r="AS238" t="s">
        <v>125</v>
      </c>
      <c r="AT238" t="s">
        <v>125</v>
      </c>
      <c r="AU238" t="s">
        <v>125</v>
      </c>
      <c r="AV238" t="s">
        <v>125</v>
      </c>
      <c r="AW238" t="s">
        <v>125</v>
      </c>
      <c r="AX238" t="s">
        <v>125</v>
      </c>
      <c r="AY238" t="s">
        <v>125</v>
      </c>
      <c r="AZ238" t="s">
        <v>125</v>
      </c>
      <c r="BA238" t="s">
        <v>125</v>
      </c>
      <c r="BB238" t="s">
        <v>125</v>
      </c>
      <c r="BC238" t="s">
        <v>125</v>
      </c>
      <c r="BD238" t="s">
        <v>125</v>
      </c>
      <c r="BE238" t="s">
        <v>125</v>
      </c>
      <c r="BF238" t="s">
        <v>125</v>
      </c>
      <c r="BG238" t="s">
        <v>125</v>
      </c>
      <c r="BH238">
        <v>1</v>
      </c>
      <c r="BI238">
        <v>0.97777800000000004</v>
      </c>
      <c r="BJ238">
        <v>0.93589699999999998</v>
      </c>
      <c r="BK238">
        <v>1</v>
      </c>
      <c r="BL238">
        <v>0.97777800000000004</v>
      </c>
      <c r="BM238">
        <v>0.93589699999999998</v>
      </c>
      <c r="BN238">
        <v>1</v>
      </c>
      <c r="BO238">
        <v>0.98666699999999996</v>
      </c>
      <c r="BP238">
        <v>0.97435899999999998</v>
      </c>
      <c r="BQ238">
        <v>0.993197</v>
      </c>
      <c r="BR238">
        <v>0.10173699999999999</v>
      </c>
      <c r="BS238">
        <v>39.652605000000001</v>
      </c>
      <c r="BT238">
        <v>50</v>
      </c>
      <c r="BU238">
        <v>0.159468</v>
      </c>
      <c r="BV238">
        <v>28.106311999999999</v>
      </c>
      <c r="BW238">
        <v>50</v>
      </c>
      <c r="BX238">
        <v>0.93778799999999995</v>
      </c>
      <c r="BY238">
        <v>50</v>
      </c>
      <c r="BZ238">
        <v>50</v>
      </c>
      <c r="CA238">
        <v>0.45391700000000001</v>
      </c>
      <c r="CB238">
        <v>30.261137000000002</v>
      </c>
      <c r="CC238">
        <v>50</v>
      </c>
      <c r="CD238">
        <v>0.96648000000000001</v>
      </c>
      <c r="CE238">
        <v>50</v>
      </c>
      <c r="CF238">
        <v>50</v>
      </c>
      <c r="CG238">
        <v>0.96172199999999997</v>
      </c>
      <c r="CH238">
        <v>100</v>
      </c>
      <c r="CI238">
        <v>100</v>
      </c>
      <c r="CJ238">
        <v>0</v>
      </c>
      <c r="CK238">
        <v>0.96385500000000002</v>
      </c>
      <c r="CL238">
        <v>100</v>
      </c>
      <c r="CM238">
        <v>100</v>
      </c>
      <c r="CN238">
        <v>0.72058800000000001</v>
      </c>
      <c r="CO238">
        <v>96.078430999999995</v>
      </c>
      <c r="CP238">
        <v>100</v>
      </c>
      <c r="CQ238">
        <v>0.43181799999999998</v>
      </c>
      <c r="CR238">
        <v>0.91191699999999998</v>
      </c>
      <c r="CS238">
        <v>28.787879</v>
      </c>
      <c r="CT238">
        <v>50</v>
      </c>
      <c r="CU238">
        <v>0.53101699999999996</v>
      </c>
      <c r="CV238">
        <v>44.251446999999999</v>
      </c>
      <c r="CW238">
        <v>50</v>
      </c>
      <c r="CX238">
        <v>0.96385500000000002</v>
      </c>
      <c r="CY238">
        <v>0.94</v>
      </c>
      <c r="CZ238">
        <v>-2.3855000000000001E-2</v>
      </c>
      <c r="DA238">
        <v>15.314097</v>
      </c>
      <c r="DB238">
        <v>17.400950000000002</v>
      </c>
      <c r="DC238">
        <v>16.332519999999999</v>
      </c>
      <c r="DD238">
        <v>7.9891730000000001</v>
      </c>
      <c r="DE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Q238" t="s">
        <v>126</v>
      </c>
    </row>
    <row r="239" spans="1:121" x14ac:dyDescent="0.15">
      <c r="A239">
        <v>2018</v>
      </c>
      <c r="B239" t="s">
        <v>159</v>
      </c>
      <c r="C239" t="str">
        <f>"0140011"</f>
        <v>0140011</v>
      </c>
      <c r="D239" t="s">
        <v>370</v>
      </c>
      <c r="E239" t="str">
        <f>"0145111"</f>
        <v>0145111</v>
      </c>
      <c r="F239" t="s">
        <v>328</v>
      </c>
      <c r="G239">
        <v>5</v>
      </c>
      <c r="H239">
        <v>8</v>
      </c>
      <c r="I239" t="s">
        <v>330</v>
      </c>
      <c r="J239" t="s">
        <v>331</v>
      </c>
      <c r="K239">
        <v>741.58727499999998</v>
      </c>
      <c r="L239">
        <v>1000</v>
      </c>
      <c r="M239">
        <v>74.158726999999999</v>
      </c>
      <c r="N239">
        <v>2</v>
      </c>
      <c r="O239">
        <v>0</v>
      </c>
      <c r="P239">
        <v>71.131333999999995</v>
      </c>
      <c r="Q239">
        <v>47.420889000000003</v>
      </c>
      <c r="R239">
        <v>50</v>
      </c>
      <c r="S239">
        <v>62.540866999999999</v>
      </c>
      <c r="T239">
        <v>75</v>
      </c>
      <c r="U239">
        <v>41.693911999999997</v>
      </c>
      <c r="V239">
        <v>50</v>
      </c>
      <c r="W239">
        <v>66.882386999999994</v>
      </c>
      <c r="X239">
        <v>44.588258000000003</v>
      </c>
      <c r="Y239">
        <v>50</v>
      </c>
      <c r="Z239">
        <v>73.760838000000007</v>
      </c>
      <c r="AA239">
        <v>57.622202000000001</v>
      </c>
      <c r="AB239">
        <v>38.414800999999997</v>
      </c>
      <c r="AC239">
        <v>50</v>
      </c>
      <c r="AD239">
        <v>70.242193999999998</v>
      </c>
      <c r="AE239">
        <v>46.828128999999997</v>
      </c>
      <c r="AF239">
        <v>50</v>
      </c>
      <c r="AG239">
        <v>60.892364999999998</v>
      </c>
      <c r="AH239">
        <v>75</v>
      </c>
      <c r="AI239">
        <v>40.594909999999999</v>
      </c>
      <c r="AJ239">
        <v>50</v>
      </c>
      <c r="AK239">
        <v>12.45</v>
      </c>
      <c r="AL239">
        <v>16.13</v>
      </c>
      <c r="AM239">
        <v>14.1</v>
      </c>
      <c r="AN239">
        <v>0.63983800000000002</v>
      </c>
      <c r="AO239">
        <v>63.983777000000003</v>
      </c>
      <c r="AP239">
        <v>100</v>
      </c>
      <c r="AQ239">
        <v>0.58830499999999997</v>
      </c>
      <c r="AR239">
        <v>58.830514000000001</v>
      </c>
      <c r="AS239">
        <v>100</v>
      </c>
      <c r="AT239">
        <v>0.62782300000000002</v>
      </c>
      <c r="AU239">
        <v>0.64823500000000001</v>
      </c>
      <c r="AV239">
        <v>62.782344999999999</v>
      </c>
      <c r="AW239">
        <v>100</v>
      </c>
      <c r="AX239">
        <v>0.53001299999999996</v>
      </c>
      <c r="AY239">
        <v>0.62889300000000004</v>
      </c>
      <c r="AZ239">
        <v>53.001269999999998</v>
      </c>
      <c r="BA239">
        <v>100</v>
      </c>
      <c r="BB239">
        <v>0.67435</v>
      </c>
      <c r="BC239">
        <v>33.717506999999998</v>
      </c>
      <c r="BD239">
        <v>50</v>
      </c>
      <c r="BE239">
        <v>0.70423100000000005</v>
      </c>
      <c r="BF239">
        <v>35.211548000000001</v>
      </c>
      <c r="BG239">
        <v>50</v>
      </c>
      <c r="BH239">
        <v>0</v>
      </c>
      <c r="BI239">
        <v>0.99541299999999999</v>
      </c>
      <c r="BJ239">
        <v>0.99736100000000005</v>
      </c>
      <c r="BK239">
        <v>0.99391499999999999</v>
      </c>
      <c r="BL239">
        <v>0.99311899999999997</v>
      </c>
      <c r="BM239">
        <v>0.99208399999999997</v>
      </c>
      <c r="BN239">
        <v>0.99391499999999999</v>
      </c>
      <c r="BO239">
        <v>1</v>
      </c>
      <c r="BP239">
        <v>1</v>
      </c>
      <c r="BQ239">
        <v>1</v>
      </c>
      <c r="BR239">
        <v>3.2147000000000002E-2</v>
      </c>
      <c r="BS239">
        <v>50</v>
      </c>
      <c r="BT239">
        <v>50</v>
      </c>
      <c r="BU239">
        <v>5.1491000000000002E-2</v>
      </c>
      <c r="BV239">
        <v>49.701897000000002</v>
      </c>
      <c r="BW239">
        <v>50</v>
      </c>
      <c r="BX239" t="s">
        <v>125</v>
      </c>
      <c r="BY239" t="s">
        <v>125</v>
      </c>
      <c r="BZ239" t="s">
        <v>125</v>
      </c>
      <c r="CA239" t="s">
        <v>125</v>
      </c>
      <c r="CB239" t="s">
        <v>125</v>
      </c>
      <c r="CC239" t="s">
        <v>125</v>
      </c>
      <c r="CD239">
        <v>0.94791700000000001</v>
      </c>
      <c r="CE239">
        <v>50</v>
      </c>
      <c r="CF239">
        <v>50</v>
      </c>
      <c r="CG239" t="s">
        <v>125</v>
      </c>
      <c r="CH239" t="s">
        <v>125</v>
      </c>
      <c r="CI239" t="s">
        <v>125</v>
      </c>
      <c r="CJ239" t="s">
        <v>125</v>
      </c>
      <c r="CK239" t="s">
        <v>125</v>
      </c>
      <c r="CL239" t="s">
        <v>125</v>
      </c>
      <c r="CM239" t="s">
        <v>125</v>
      </c>
      <c r="CN239" t="s">
        <v>125</v>
      </c>
      <c r="CO239" t="s">
        <v>125</v>
      </c>
      <c r="CP239" t="s">
        <v>125</v>
      </c>
      <c r="CQ239">
        <v>0.37226300000000001</v>
      </c>
      <c r="CR239">
        <v>0.92776499999999995</v>
      </c>
      <c r="CS239">
        <v>24.817518</v>
      </c>
      <c r="CT239">
        <v>50</v>
      </c>
      <c r="CU239" t="s">
        <v>125</v>
      </c>
      <c r="CV239" t="s">
        <v>125</v>
      </c>
      <c r="CW239" t="s">
        <v>125</v>
      </c>
      <c r="CX239" t="s">
        <v>125</v>
      </c>
      <c r="CY239" t="s">
        <v>125</v>
      </c>
      <c r="CZ239" t="s">
        <v>125</v>
      </c>
      <c r="DA239">
        <v>15.314097</v>
      </c>
      <c r="DB239">
        <v>17.400950000000002</v>
      </c>
      <c r="DC239">
        <v>16.332519999999999</v>
      </c>
      <c r="DD239" t="s">
        <v>125</v>
      </c>
      <c r="DE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Q239" t="s">
        <v>126</v>
      </c>
    </row>
    <row r="240" spans="1:121" x14ac:dyDescent="0.15">
      <c r="A240">
        <v>2018</v>
      </c>
      <c r="B240" t="s">
        <v>159</v>
      </c>
      <c r="C240" t="str">
        <f>"0140011"</f>
        <v>0140011</v>
      </c>
      <c r="D240" t="s">
        <v>371</v>
      </c>
      <c r="E240" t="str">
        <f>"0141611"</f>
        <v>0141611</v>
      </c>
      <c r="F240" t="s">
        <v>328</v>
      </c>
      <c r="G240" t="s">
        <v>329</v>
      </c>
      <c r="H240">
        <v>4</v>
      </c>
      <c r="I240" t="s">
        <v>330</v>
      </c>
      <c r="J240" t="s">
        <v>331</v>
      </c>
      <c r="K240">
        <v>491.51530000000002</v>
      </c>
      <c r="L240">
        <v>750</v>
      </c>
      <c r="M240">
        <v>65.535373000000007</v>
      </c>
      <c r="N240">
        <v>3</v>
      </c>
      <c r="O240">
        <v>0</v>
      </c>
      <c r="P240">
        <v>71.129446999999999</v>
      </c>
      <c r="Q240">
        <v>47.419632</v>
      </c>
      <c r="R240">
        <v>50</v>
      </c>
      <c r="S240">
        <v>62.167346000000002</v>
      </c>
      <c r="T240">
        <v>75</v>
      </c>
      <c r="U240">
        <v>41.444896999999997</v>
      </c>
      <c r="V240">
        <v>50</v>
      </c>
      <c r="W240">
        <v>68.346393000000006</v>
      </c>
      <c r="X240">
        <v>45.564261999999999</v>
      </c>
      <c r="Y240">
        <v>50</v>
      </c>
      <c r="Z240">
        <v>75</v>
      </c>
      <c r="AA240">
        <v>58.356354000000003</v>
      </c>
      <c r="AB240">
        <v>38.904235999999997</v>
      </c>
      <c r="AC240">
        <v>50</v>
      </c>
      <c r="AD240" t="s">
        <v>125</v>
      </c>
      <c r="AE240" t="s">
        <v>125</v>
      </c>
      <c r="AF240" t="s">
        <v>125</v>
      </c>
      <c r="AG240" t="s">
        <v>125</v>
      </c>
      <c r="AH240" t="s">
        <v>125</v>
      </c>
      <c r="AI240" t="s">
        <v>125</v>
      </c>
      <c r="AJ240" t="s">
        <v>125</v>
      </c>
      <c r="AK240">
        <v>12.83</v>
      </c>
      <c r="AL240">
        <v>16.64</v>
      </c>
      <c r="AM240" t="s">
        <v>125</v>
      </c>
      <c r="AN240">
        <v>0.45386100000000001</v>
      </c>
      <c r="AO240">
        <v>45.386116999999999</v>
      </c>
      <c r="AP240">
        <v>100</v>
      </c>
      <c r="AQ240">
        <v>0.51502099999999995</v>
      </c>
      <c r="AR240">
        <v>51.502118000000003</v>
      </c>
      <c r="AS240">
        <v>100</v>
      </c>
      <c r="AT240">
        <v>0.399696</v>
      </c>
      <c r="AU240">
        <v>0.51931099999999997</v>
      </c>
      <c r="AV240">
        <v>39.969586</v>
      </c>
      <c r="AW240">
        <v>100</v>
      </c>
      <c r="AX240">
        <v>0.41324499999999997</v>
      </c>
      <c r="AY240">
        <v>0.63800100000000004</v>
      </c>
      <c r="AZ240">
        <v>41.324452000000001</v>
      </c>
      <c r="BA240">
        <v>100</v>
      </c>
      <c r="BB240" t="s">
        <v>125</v>
      </c>
      <c r="BC240" t="s">
        <v>125</v>
      </c>
      <c r="BD240" t="s">
        <v>125</v>
      </c>
      <c r="BE240" t="s">
        <v>125</v>
      </c>
      <c r="BF240" t="s">
        <v>125</v>
      </c>
      <c r="BG240" t="s">
        <v>125</v>
      </c>
      <c r="BH240">
        <v>1</v>
      </c>
      <c r="BI240">
        <v>0.98230099999999998</v>
      </c>
      <c r="BJ240">
        <v>0.96551699999999996</v>
      </c>
      <c r="BK240">
        <v>1</v>
      </c>
      <c r="BL240">
        <v>0.97345099999999996</v>
      </c>
      <c r="BM240">
        <v>0.94827600000000001</v>
      </c>
      <c r="BN240">
        <v>1</v>
      </c>
      <c r="BO240" t="s">
        <v>125</v>
      </c>
      <c r="BP240" t="s">
        <v>125</v>
      </c>
      <c r="BQ240" t="s">
        <v>125</v>
      </c>
      <c r="BR240">
        <v>3.7037E-2</v>
      </c>
      <c r="BS240">
        <v>50</v>
      </c>
      <c r="BT240">
        <v>50</v>
      </c>
      <c r="BU240">
        <v>4.9296E-2</v>
      </c>
      <c r="BV240">
        <v>50</v>
      </c>
      <c r="BW240">
        <v>50</v>
      </c>
      <c r="BX240" t="s">
        <v>125</v>
      </c>
      <c r="BY240" t="s">
        <v>125</v>
      </c>
      <c r="BZ240" t="s">
        <v>125</v>
      </c>
      <c r="CA240" t="s">
        <v>125</v>
      </c>
      <c r="CB240" t="s">
        <v>125</v>
      </c>
      <c r="CC240" t="s">
        <v>125</v>
      </c>
      <c r="CD240" t="s">
        <v>125</v>
      </c>
      <c r="CE240" t="s">
        <v>125</v>
      </c>
      <c r="CF240" t="s">
        <v>125</v>
      </c>
      <c r="CG240" t="s">
        <v>125</v>
      </c>
      <c r="CH240" t="s">
        <v>125</v>
      </c>
      <c r="CI240" t="s">
        <v>125</v>
      </c>
      <c r="CJ240" t="s">
        <v>125</v>
      </c>
      <c r="CK240" t="s">
        <v>125</v>
      </c>
      <c r="CL240" t="s">
        <v>125</v>
      </c>
      <c r="CM240" t="s">
        <v>125</v>
      </c>
      <c r="CN240" t="s">
        <v>125</v>
      </c>
      <c r="CO240" t="s">
        <v>125</v>
      </c>
      <c r="CP240" t="s">
        <v>125</v>
      </c>
      <c r="CQ240">
        <v>0.6</v>
      </c>
      <c r="CR240">
        <v>1.0169490000000001</v>
      </c>
      <c r="CS240">
        <v>40</v>
      </c>
      <c r="CT240">
        <v>50</v>
      </c>
      <c r="CU240" t="s">
        <v>125</v>
      </c>
      <c r="CV240" t="s">
        <v>125</v>
      </c>
      <c r="CW240" t="s">
        <v>125</v>
      </c>
      <c r="CX240" t="s">
        <v>125</v>
      </c>
      <c r="CY240" t="s">
        <v>125</v>
      </c>
      <c r="CZ240" t="s">
        <v>125</v>
      </c>
      <c r="DA240">
        <v>15.314097</v>
      </c>
      <c r="DB240">
        <v>17.400950000000002</v>
      </c>
      <c r="DC240">
        <v>16.332519999999999</v>
      </c>
      <c r="DD240" t="s">
        <v>125</v>
      </c>
      <c r="DE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Q240" t="s">
        <v>126</v>
      </c>
    </row>
    <row r="241" spans="1:121" x14ac:dyDescent="0.15">
      <c r="A241">
        <v>2018</v>
      </c>
      <c r="B241" t="s">
        <v>159</v>
      </c>
      <c r="C241" t="str">
        <f>"0140011"</f>
        <v>0140011</v>
      </c>
      <c r="D241" t="s">
        <v>372</v>
      </c>
      <c r="E241" t="str">
        <f>"0141511"</f>
        <v>0141511</v>
      </c>
      <c r="F241" t="s">
        <v>328</v>
      </c>
      <c r="G241" t="s">
        <v>329</v>
      </c>
      <c r="H241">
        <v>4</v>
      </c>
      <c r="J241" t="s">
        <v>331</v>
      </c>
      <c r="K241">
        <v>595.164312</v>
      </c>
      <c r="L241">
        <v>750</v>
      </c>
      <c r="M241">
        <v>79.355242000000004</v>
      </c>
      <c r="N241">
        <v>2</v>
      </c>
      <c r="O241">
        <v>0</v>
      </c>
      <c r="P241">
        <v>73.518066000000005</v>
      </c>
      <c r="Q241">
        <v>49.012044000000003</v>
      </c>
      <c r="R241">
        <v>50</v>
      </c>
      <c r="S241">
        <v>64.869150000000005</v>
      </c>
      <c r="T241">
        <v>75</v>
      </c>
      <c r="U241">
        <v>43.246099999999998</v>
      </c>
      <c r="V241">
        <v>50</v>
      </c>
      <c r="W241">
        <v>75.003986999999995</v>
      </c>
      <c r="X241">
        <v>50</v>
      </c>
      <c r="Y241">
        <v>50</v>
      </c>
      <c r="Z241">
        <v>75</v>
      </c>
      <c r="AA241">
        <v>64.500789999999995</v>
      </c>
      <c r="AB241">
        <v>43.000526999999998</v>
      </c>
      <c r="AC241">
        <v>50</v>
      </c>
      <c r="AD241" t="s">
        <v>125</v>
      </c>
      <c r="AE241" t="s">
        <v>125</v>
      </c>
      <c r="AF241" t="s">
        <v>125</v>
      </c>
      <c r="AG241" t="s">
        <v>125</v>
      </c>
      <c r="AH241" t="s">
        <v>125</v>
      </c>
      <c r="AI241" t="s">
        <v>125</v>
      </c>
      <c r="AJ241" t="s">
        <v>125</v>
      </c>
      <c r="AK241">
        <v>10.130000000000001</v>
      </c>
      <c r="AL241">
        <v>10.49</v>
      </c>
      <c r="AM241" t="s">
        <v>125</v>
      </c>
      <c r="AN241">
        <v>0.65309899999999999</v>
      </c>
      <c r="AO241">
        <v>65.309916000000001</v>
      </c>
      <c r="AP241">
        <v>100</v>
      </c>
      <c r="AQ241">
        <v>0.77961400000000003</v>
      </c>
      <c r="AR241">
        <v>77.961410000000001</v>
      </c>
      <c r="AS241">
        <v>100</v>
      </c>
      <c r="AT241">
        <v>0.58911500000000006</v>
      </c>
      <c r="AU241">
        <v>0.68218299999999998</v>
      </c>
      <c r="AV241">
        <v>58.911496999999997</v>
      </c>
      <c r="AW241">
        <v>100</v>
      </c>
      <c r="AX241">
        <v>0.692855</v>
      </c>
      <c r="AY241">
        <v>0.81904999999999994</v>
      </c>
      <c r="AZ241">
        <v>69.285511</v>
      </c>
      <c r="BA241">
        <v>100</v>
      </c>
      <c r="BB241" t="s">
        <v>125</v>
      </c>
      <c r="BC241" t="s">
        <v>125</v>
      </c>
      <c r="BD241" t="s">
        <v>125</v>
      </c>
      <c r="BE241" t="s">
        <v>125</v>
      </c>
      <c r="BF241" t="s">
        <v>125</v>
      </c>
      <c r="BG241" t="s">
        <v>125</v>
      </c>
      <c r="BH241">
        <v>0</v>
      </c>
      <c r="BI241">
        <v>0.98540099999999997</v>
      </c>
      <c r="BJ241">
        <v>0.95833299999999999</v>
      </c>
      <c r="BK241">
        <v>1</v>
      </c>
      <c r="BL241">
        <v>0.98540099999999997</v>
      </c>
      <c r="BM241">
        <v>0.95833299999999999</v>
      </c>
      <c r="BN241">
        <v>1</v>
      </c>
      <c r="BO241" t="s">
        <v>125</v>
      </c>
      <c r="BP241" t="s">
        <v>125</v>
      </c>
      <c r="BQ241" t="s">
        <v>125</v>
      </c>
      <c r="BR241">
        <v>5.3096999999999998E-2</v>
      </c>
      <c r="BS241">
        <v>49.380530999999998</v>
      </c>
      <c r="BT241">
        <v>50</v>
      </c>
      <c r="BU241">
        <v>8.0356999999999998E-2</v>
      </c>
      <c r="BV241">
        <v>43.928570999999998</v>
      </c>
      <c r="BW241">
        <v>50</v>
      </c>
      <c r="BX241" t="s">
        <v>125</v>
      </c>
      <c r="BY241" t="s">
        <v>125</v>
      </c>
      <c r="BZ241" t="s">
        <v>125</v>
      </c>
      <c r="CA241" t="s">
        <v>125</v>
      </c>
      <c r="CB241" t="s">
        <v>125</v>
      </c>
      <c r="CC241" t="s">
        <v>125</v>
      </c>
      <c r="CD241" t="s">
        <v>125</v>
      </c>
      <c r="CE241" t="s">
        <v>125</v>
      </c>
      <c r="CF241" t="s">
        <v>125</v>
      </c>
      <c r="CG241" t="s">
        <v>125</v>
      </c>
      <c r="CH241" t="s">
        <v>125</v>
      </c>
      <c r="CI241" t="s">
        <v>125</v>
      </c>
      <c r="CJ241" t="s">
        <v>125</v>
      </c>
      <c r="CK241" t="s">
        <v>125</v>
      </c>
      <c r="CL241" t="s">
        <v>125</v>
      </c>
      <c r="CM241" t="s">
        <v>125</v>
      </c>
      <c r="CN241" t="s">
        <v>125</v>
      </c>
      <c r="CO241" t="s">
        <v>125</v>
      </c>
      <c r="CP241" t="s">
        <v>125</v>
      </c>
      <c r="CQ241">
        <v>0.67692300000000005</v>
      </c>
      <c r="CR241">
        <v>0.97014900000000004</v>
      </c>
      <c r="CS241">
        <v>45.128205000000001</v>
      </c>
      <c r="CT241">
        <v>50</v>
      </c>
      <c r="CU241" t="s">
        <v>125</v>
      </c>
      <c r="CV241" t="s">
        <v>125</v>
      </c>
      <c r="CW241" t="s">
        <v>125</v>
      </c>
      <c r="CX241" t="s">
        <v>125</v>
      </c>
      <c r="CY241" t="s">
        <v>125</v>
      </c>
      <c r="CZ241" t="s">
        <v>125</v>
      </c>
      <c r="DA241">
        <v>15.314097</v>
      </c>
      <c r="DB241">
        <v>17.400950000000002</v>
      </c>
      <c r="DC241">
        <v>16.332519999999999</v>
      </c>
      <c r="DD241" t="s">
        <v>125</v>
      </c>
      <c r="DE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Q241" t="s">
        <v>126</v>
      </c>
    </row>
    <row r="242" spans="1:121" x14ac:dyDescent="0.15">
      <c r="A242">
        <v>2018</v>
      </c>
      <c r="B242" t="s">
        <v>159</v>
      </c>
      <c r="C242" t="str">
        <f>"0140011"</f>
        <v>0140011</v>
      </c>
      <c r="D242" t="s">
        <v>373</v>
      </c>
      <c r="E242" t="str">
        <f>"0141411"</f>
        <v>0141411</v>
      </c>
      <c r="F242" t="s">
        <v>328</v>
      </c>
      <c r="G242" t="s">
        <v>329</v>
      </c>
      <c r="H242">
        <v>4</v>
      </c>
      <c r="I242" t="s">
        <v>330</v>
      </c>
      <c r="J242" t="s">
        <v>331</v>
      </c>
      <c r="K242">
        <v>627.350146</v>
      </c>
      <c r="L242">
        <v>850</v>
      </c>
      <c r="M242">
        <v>73.805899999999994</v>
      </c>
      <c r="N242">
        <v>2</v>
      </c>
      <c r="O242">
        <v>0</v>
      </c>
      <c r="P242">
        <v>70.588042000000002</v>
      </c>
      <c r="Q242">
        <v>47.058695</v>
      </c>
      <c r="R242">
        <v>50</v>
      </c>
      <c r="S242">
        <v>66.132002999999997</v>
      </c>
      <c r="T242">
        <v>75</v>
      </c>
      <c r="U242">
        <v>44.088002000000003</v>
      </c>
      <c r="V242">
        <v>50</v>
      </c>
      <c r="W242">
        <v>68.002643000000006</v>
      </c>
      <c r="X242">
        <v>45.335095000000003</v>
      </c>
      <c r="Y242">
        <v>50</v>
      </c>
      <c r="Z242">
        <v>74.105551000000006</v>
      </c>
      <c r="AA242">
        <v>62.986553999999998</v>
      </c>
      <c r="AB242">
        <v>41.991036000000001</v>
      </c>
      <c r="AC242">
        <v>50</v>
      </c>
      <c r="AD242" t="s">
        <v>125</v>
      </c>
      <c r="AE242" t="s">
        <v>125</v>
      </c>
      <c r="AF242" t="s">
        <v>125</v>
      </c>
      <c r="AG242" t="s">
        <v>125</v>
      </c>
      <c r="AH242" t="s">
        <v>125</v>
      </c>
      <c r="AI242" t="s">
        <v>125</v>
      </c>
      <c r="AJ242" t="s">
        <v>125</v>
      </c>
      <c r="AK242">
        <v>8.86</v>
      </c>
      <c r="AL242">
        <v>11.11</v>
      </c>
      <c r="AM242" t="s">
        <v>125</v>
      </c>
      <c r="AN242">
        <v>0.71882000000000001</v>
      </c>
      <c r="AO242">
        <v>71.882002</v>
      </c>
      <c r="AP242">
        <v>100</v>
      </c>
      <c r="AQ242">
        <v>0.73135300000000003</v>
      </c>
      <c r="AR242">
        <v>73.135315000000006</v>
      </c>
      <c r="AS242">
        <v>100</v>
      </c>
      <c r="AT242">
        <v>0.67533600000000005</v>
      </c>
      <c r="AU242">
        <v>0.76102499999999995</v>
      </c>
      <c r="AV242">
        <v>67.533638999999994</v>
      </c>
      <c r="AW242">
        <v>100</v>
      </c>
      <c r="AX242">
        <v>0.68115499999999995</v>
      </c>
      <c r="AY242">
        <v>0.78007499999999996</v>
      </c>
      <c r="AZ242">
        <v>68.115531000000004</v>
      </c>
      <c r="BA242">
        <v>100</v>
      </c>
      <c r="BB242">
        <v>0.60565100000000005</v>
      </c>
      <c r="BC242">
        <v>30.282547000000001</v>
      </c>
      <c r="BD242">
        <v>50</v>
      </c>
      <c r="BE242">
        <v>0.503973</v>
      </c>
      <c r="BF242">
        <v>25.198634999999999</v>
      </c>
      <c r="BG242">
        <v>50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 t="s">
        <v>125</v>
      </c>
      <c r="BP242" t="s">
        <v>125</v>
      </c>
      <c r="BQ242" t="s">
        <v>125</v>
      </c>
      <c r="BR242">
        <v>6.8376000000000006E-2</v>
      </c>
      <c r="BS242">
        <v>46.324786000000003</v>
      </c>
      <c r="BT242">
        <v>50</v>
      </c>
      <c r="BU242">
        <v>0.112903</v>
      </c>
      <c r="BV242">
        <v>37.419355000000003</v>
      </c>
      <c r="BW242">
        <v>50</v>
      </c>
      <c r="BX242" t="s">
        <v>125</v>
      </c>
      <c r="BY242" t="s">
        <v>125</v>
      </c>
      <c r="BZ242" t="s">
        <v>125</v>
      </c>
      <c r="CA242" t="s">
        <v>125</v>
      </c>
      <c r="CB242" t="s">
        <v>125</v>
      </c>
      <c r="CC242" t="s">
        <v>125</v>
      </c>
      <c r="CD242" t="s">
        <v>125</v>
      </c>
      <c r="CE242" t="s">
        <v>125</v>
      </c>
      <c r="CF242" t="s">
        <v>125</v>
      </c>
      <c r="CG242" t="s">
        <v>125</v>
      </c>
      <c r="CH242" t="s">
        <v>125</v>
      </c>
      <c r="CI242" t="s">
        <v>125</v>
      </c>
      <c r="CJ242" t="s">
        <v>125</v>
      </c>
      <c r="CK242" t="s">
        <v>125</v>
      </c>
      <c r="CL242" t="s">
        <v>125</v>
      </c>
      <c r="CM242" t="s">
        <v>125</v>
      </c>
      <c r="CN242" t="s">
        <v>125</v>
      </c>
      <c r="CO242" t="s">
        <v>125</v>
      </c>
      <c r="CP242" t="s">
        <v>125</v>
      </c>
      <c r="CQ242">
        <v>0.43478299999999998</v>
      </c>
      <c r="CR242">
        <v>1.0147060000000001</v>
      </c>
      <c r="CS242">
        <v>28.985506999999998</v>
      </c>
      <c r="CT242">
        <v>50</v>
      </c>
      <c r="CU242" t="s">
        <v>125</v>
      </c>
      <c r="CV242" t="s">
        <v>125</v>
      </c>
      <c r="CW242" t="s">
        <v>125</v>
      </c>
      <c r="CX242" t="s">
        <v>125</v>
      </c>
      <c r="CY242" t="s">
        <v>125</v>
      </c>
      <c r="CZ242" t="s">
        <v>125</v>
      </c>
      <c r="DA242">
        <v>15.314097</v>
      </c>
      <c r="DB242">
        <v>17.400950000000002</v>
      </c>
      <c r="DC242">
        <v>16.332519999999999</v>
      </c>
      <c r="DD242" t="s">
        <v>125</v>
      </c>
      <c r="DE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Q242" t="s">
        <v>126</v>
      </c>
    </row>
    <row r="243" spans="1:121" x14ac:dyDescent="0.15">
      <c r="A243">
        <v>2018</v>
      </c>
      <c r="B243" t="s">
        <v>122</v>
      </c>
      <c r="C243" t="str">
        <f t="shared" ref="C243:C277" si="2">"0150011"</f>
        <v>0150011</v>
      </c>
      <c r="D243" t="s">
        <v>374</v>
      </c>
      <c r="E243" t="str">
        <f>"0150811"</f>
        <v>0150811</v>
      </c>
      <c r="F243" t="s">
        <v>328</v>
      </c>
      <c r="G243">
        <v>9</v>
      </c>
      <c r="H243">
        <v>12</v>
      </c>
      <c r="J243" t="s">
        <v>331</v>
      </c>
      <c r="K243">
        <v>993.40123200000005</v>
      </c>
      <c r="L243">
        <v>1450</v>
      </c>
      <c r="M243">
        <v>68.510429999999999</v>
      </c>
      <c r="N243">
        <v>3</v>
      </c>
      <c r="O243">
        <v>0</v>
      </c>
      <c r="P243">
        <v>50.1875</v>
      </c>
      <c r="Q243">
        <v>100.375</v>
      </c>
      <c r="R243">
        <v>150</v>
      </c>
      <c r="S243">
        <v>45.496599000000003</v>
      </c>
      <c r="T243">
        <v>56.081197000000003</v>
      </c>
      <c r="U243">
        <v>90.993196999999995</v>
      </c>
      <c r="V243">
        <v>150</v>
      </c>
      <c r="W243">
        <v>48.541666999999997</v>
      </c>
      <c r="X243">
        <v>97.083332999999996</v>
      </c>
      <c r="Y243">
        <v>150</v>
      </c>
      <c r="Z243">
        <v>55.846153999999999</v>
      </c>
      <c r="AA243">
        <v>42.727891</v>
      </c>
      <c r="AB243">
        <v>85.455781999999999</v>
      </c>
      <c r="AC243">
        <v>150</v>
      </c>
      <c r="AD243">
        <v>48.193980000000003</v>
      </c>
      <c r="AE243">
        <v>64.25864</v>
      </c>
      <c r="AF243">
        <v>100</v>
      </c>
      <c r="AG243">
        <v>43.658284000000002</v>
      </c>
      <c r="AH243">
        <v>54.090384999999998</v>
      </c>
      <c r="AI243">
        <v>58.211044999999999</v>
      </c>
      <c r="AJ243">
        <v>100</v>
      </c>
      <c r="AK243">
        <v>10.58</v>
      </c>
      <c r="AL243">
        <v>13.11</v>
      </c>
      <c r="AM243">
        <v>10.43</v>
      </c>
      <c r="AN243" t="s">
        <v>125</v>
      </c>
      <c r="AO243" t="s">
        <v>125</v>
      </c>
      <c r="AP243" t="s">
        <v>125</v>
      </c>
      <c r="AQ243" t="s">
        <v>125</v>
      </c>
      <c r="AR243" t="s">
        <v>125</v>
      </c>
      <c r="AS243" t="s">
        <v>125</v>
      </c>
      <c r="AT243" t="s">
        <v>125</v>
      </c>
      <c r="AU243" t="s">
        <v>125</v>
      </c>
      <c r="AV243" t="s">
        <v>125</v>
      </c>
      <c r="AW243" t="s">
        <v>125</v>
      </c>
      <c r="AX243" t="s">
        <v>125</v>
      </c>
      <c r="AY243" t="s">
        <v>125</v>
      </c>
      <c r="AZ243" t="s">
        <v>125</v>
      </c>
      <c r="BA243" t="s">
        <v>125</v>
      </c>
      <c r="BB243" t="s">
        <v>125</v>
      </c>
      <c r="BC243" t="s">
        <v>125</v>
      </c>
      <c r="BD243" t="s">
        <v>125</v>
      </c>
      <c r="BE243" t="s">
        <v>125</v>
      </c>
      <c r="BF243" t="s">
        <v>125</v>
      </c>
      <c r="BG243" t="s">
        <v>125</v>
      </c>
      <c r="BH243">
        <v>0</v>
      </c>
      <c r="BI243">
        <v>0.95698899999999998</v>
      </c>
      <c r="BJ243">
        <v>0.961538</v>
      </c>
      <c r="BK243">
        <v>0.95121999999999995</v>
      </c>
      <c r="BL243">
        <v>0.95698899999999998</v>
      </c>
      <c r="BM243">
        <v>0.961538</v>
      </c>
      <c r="BN243">
        <v>0.95121999999999995</v>
      </c>
      <c r="BO243">
        <v>1</v>
      </c>
      <c r="BP243">
        <v>1</v>
      </c>
      <c r="BQ243">
        <v>1</v>
      </c>
      <c r="BR243">
        <v>0.129108</v>
      </c>
      <c r="BS243">
        <v>34.178404</v>
      </c>
      <c r="BT243">
        <v>50</v>
      </c>
      <c r="BU243">
        <v>0.17355400000000001</v>
      </c>
      <c r="BV243">
        <v>25.289256000000002</v>
      </c>
      <c r="BW243">
        <v>50</v>
      </c>
      <c r="BX243">
        <v>0.968912</v>
      </c>
      <c r="BY243">
        <v>50</v>
      </c>
      <c r="BZ243">
        <v>50</v>
      </c>
      <c r="CA243">
        <v>0.36787599999999998</v>
      </c>
      <c r="CB243">
        <v>24.525043</v>
      </c>
      <c r="CC243">
        <v>50</v>
      </c>
      <c r="CD243">
        <v>0.66666700000000001</v>
      </c>
      <c r="CE243">
        <v>35.460993000000002</v>
      </c>
      <c r="CF243">
        <v>50</v>
      </c>
      <c r="CG243">
        <v>0.92682900000000001</v>
      </c>
      <c r="CH243">
        <v>98.598858000000007</v>
      </c>
      <c r="CI243">
        <v>100</v>
      </c>
      <c r="CJ243">
        <v>0</v>
      </c>
      <c r="CK243">
        <v>0.94285699999999995</v>
      </c>
      <c r="CL243">
        <v>100</v>
      </c>
      <c r="CM243">
        <v>100</v>
      </c>
      <c r="CN243">
        <v>0.84821400000000002</v>
      </c>
      <c r="CO243">
        <v>100</v>
      </c>
      <c r="CP243">
        <v>100</v>
      </c>
      <c r="CQ243">
        <v>0.634409</v>
      </c>
      <c r="CR243">
        <v>0.885714</v>
      </c>
      <c r="CS243">
        <v>21.146953</v>
      </c>
      <c r="CT243">
        <v>50</v>
      </c>
      <c r="CU243">
        <v>9.3896999999999994E-2</v>
      </c>
      <c r="CV243">
        <v>7.8247260000000001</v>
      </c>
      <c r="CW243">
        <v>50</v>
      </c>
      <c r="CX243">
        <v>0.94285699999999995</v>
      </c>
      <c r="CY243" t="s">
        <v>125</v>
      </c>
      <c r="CZ243" t="s">
        <v>125</v>
      </c>
      <c r="DA243">
        <v>15.314097</v>
      </c>
      <c r="DB243">
        <v>17.400950000000002</v>
      </c>
      <c r="DC243">
        <v>16.332519999999999</v>
      </c>
      <c r="DD243">
        <v>7.9891730000000001</v>
      </c>
      <c r="DE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Q243" t="s">
        <v>126</v>
      </c>
    </row>
    <row r="244" spans="1:121" x14ac:dyDescent="0.15">
      <c r="A244">
        <v>2018</v>
      </c>
      <c r="B244" t="s">
        <v>122</v>
      </c>
      <c r="C244" t="str">
        <f t="shared" si="2"/>
        <v>0150011</v>
      </c>
      <c r="D244" t="s">
        <v>375</v>
      </c>
      <c r="E244" t="str">
        <f>"0150111"</f>
        <v>0150111</v>
      </c>
      <c r="F244" t="s">
        <v>328</v>
      </c>
      <c r="G244" t="s">
        <v>329</v>
      </c>
      <c r="H244">
        <v>8</v>
      </c>
      <c r="I244" t="s">
        <v>336</v>
      </c>
      <c r="J244" t="s">
        <v>331</v>
      </c>
      <c r="K244">
        <v>493.60018600000001</v>
      </c>
      <c r="L244">
        <v>1000</v>
      </c>
      <c r="M244">
        <v>49.360019000000001</v>
      </c>
      <c r="N244">
        <v>5</v>
      </c>
      <c r="O244">
        <v>0</v>
      </c>
      <c r="P244">
        <v>47.122798000000003</v>
      </c>
      <c r="Q244">
        <v>31.415198</v>
      </c>
      <c r="R244">
        <v>50</v>
      </c>
      <c r="S244">
        <v>45.877820999999997</v>
      </c>
      <c r="T244" t="s">
        <v>125</v>
      </c>
      <c r="U244">
        <v>30.585214000000001</v>
      </c>
      <c r="V244">
        <v>50</v>
      </c>
      <c r="W244">
        <v>40.816369999999999</v>
      </c>
      <c r="X244">
        <v>27.210913000000001</v>
      </c>
      <c r="Y244">
        <v>50</v>
      </c>
      <c r="Z244" t="s">
        <v>125</v>
      </c>
      <c r="AA244">
        <v>40.031731999999998</v>
      </c>
      <c r="AB244">
        <v>26.687821</v>
      </c>
      <c r="AC244">
        <v>50</v>
      </c>
      <c r="AD244">
        <v>46.890031</v>
      </c>
      <c r="AE244">
        <v>31.260020999999998</v>
      </c>
      <c r="AF244">
        <v>50</v>
      </c>
      <c r="AG244">
        <v>46.419193999999997</v>
      </c>
      <c r="AH244" t="s">
        <v>125</v>
      </c>
      <c r="AI244">
        <v>30.946128999999999</v>
      </c>
      <c r="AJ244">
        <v>50</v>
      </c>
      <c r="AK244" t="s">
        <v>125</v>
      </c>
      <c r="AL244" t="s">
        <v>125</v>
      </c>
      <c r="AM244" t="s">
        <v>125</v>
      </c>
      <c r="AN244">
        <v>0.48490100000000003</v>
      </c>
      <c r="AO244">
        <v>48.490096000000001</v>
      </c>
      <c r="AP244">
        <v>100</v>
      </c>
      <c r="AQ244">
        <v>0.42619099999999999</v>
      </c>
      <c r="AR244">
        <v>42.619129999999998</v>
      </c>
      <c r="AS244">
        <v>100</v>
      </c>
      <c r="AT244">
        <v>0.472304</v>
      </c>
      <c r="AU244" t="s">
        <v>125</v>
      </c>
      <c r="AV244">
        <v>47.230378999999999</v>
      </c>
      <c r="AW244">
        <v>100</v>
      </c>
      <c r="AX244">
        <v>0.42177900000000002</v>
      </c>
      <c r="AY244" t="s">
        <v>125</v>
      </c>
      <c r="AZ244">
        <v>42.177875</v>
      </c>
      <c r="BA244">
        <v>100</v>
      </c>
      <c r="BB244">
        <v>0.52224199999999998</v>
      </c>
      <c r="BC244">
        <v>26.112093999999999</v>
      </c>
      <c r="BD244">
        <v>50</v>
      </c>
      <c r="BE244">
        <v>0.44308900000000001</v>
      </c>
      <c r="BF244">
        <v>22.154434999999999</v>
      </c>
      <c r="BG244">
        <v>50</v>
      </c>
      <c r="BH244">
        <v>0</v>
      </c>
      <c r="BI244">
        <v>0.97647099999999998</v>
      </c>
      <c r="BJ244">
        <v>0.974522</v>
      </c>
      <c r="BK244">
        <v>1</v>
      </c>
      <c r="BL244">
        <v>0.97647099999999998</v>
      </c>
      <c r="BM244">
        <v>0.974522</v>
      </c>
      <c r="BN244">
        <v>1</v>
      </c>
      <c r="BO244">
        <v>0.95238100000000003</v>
      </c>
      <c r="BP244">
        <v>0.95</v>
      </c>
      <c r="BQ244" t="s">
        <v>125</v>
      </c>
      <c r="BR244">
        <v>0.251689</v>
      </c>
      <c r="BS244">
        <v>9.6621620000000004</v>
      </c>
      <c r="BT244">
        <v>50</v>
      </c>
      <c r="BU244">
        <v>0.24359</v>
      </c>
      <c r="BV244">
        <v>11.282050999999999</v>
      </c>
      <c r="BW244">
        <v>50</v>
      </c>
      <c r="BX244" t="s">
        <v>125</v>
      </c>
      <c r="BY244" t="s">
        <v>125</v>
      </c>
      <c r="BZ244" t="s">
        <v>125</v>
      </c>
      <c r="CA244" t="s">
        <v>125</v>
      </c>
      <c r="CB244" t="s">
        <v>125</v>
      </c>
      <c r="CC244" t="s">
        <v>125</v>
      </c>
      <c r="CD244">
        <v>0.84615399999999996</v>
      </c>
      <c r="CE244">
        <v>45.008183000000002</v>
      </c>
      <c r="CF244">
        <v>50</v>
      </c>
      <c r="CG244" t="s">
        <v>125</v>
      </c>
      <c r="CH244" t="s">
        <v>125</v>
      </c>
      <c r="CI244" t="s">
        <v>125</v>
      </c>
      <c r="CJ244" t="s">
        <v>125</v>
      </c>
      <c r="CK244" t="s">
        <v>125</v>
      </c>
      <c r="CL244" t="s">
        <v>125</v>
      </c>
      <c r="CM244" t="s">
        <v>125</v>
      </c>
      <c r="CN244" t="s">
        <v>125</v>
      </c>
      <c r="CO244" t="s">
        <v>125</v>
      </c>
      <c r="CP244" t="s">
        <v>125</v>
      </c>
      <c r="CQ244">
        <v>0.31137700000000001</v>
      </c>
      <c r="CR244">
        <v>0.98235300000000003</v>
      </c>
      <c r="CS244">
        <v>20.758482999999998</v>
      </c>
      <c r="CT244">
        <v>50</v>
      </c>
      <c r="CU244" t="s">
        <v>125</v>
      </c>
      <c r="CV244" t="s">
        <v>125</v>
      </c>
      <c r="CW244" t="s">
        <v>125</v>
      </c>
      <c r="CX244" t="s">
        <v>125</v>
      </c>
      <c r="CY244" t="s">
        <v>125</v>
      </c>
      <c r="CZ244" t="s">
        <v>125</v>
      </c>
      <c r="DA244">
        <v>15.314097</v>
      </c>
      <c r="DB244">
        <v>17.400950000000002</v>
      </c>
      <c r="DC244">
        <v>16.332519999999999</v>
      </c>
      <c r="DD244" t="s">
        <v>125</v>
      </c>
      <c r="DE244">
        <v>0</v>
      </c>
      <c r="DF244" t="s">
        <v>376</v>
      </c>
      <c r="DG244" t="s">
        <v>377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Q244" t="s">
        <v>126</v>
      </c>
    </row>
    <row r="245" spans="1:121" x14ac:dyDescent="0.15">
      <c r="A245">
        <v>2018</v>
      </c>
      <c r="B245" t="s">
        <v>122</v>
      </c>
      <c r="C245" t="str">
        <f t="shared" si="2"/>
        <v>0150011</v>
      </c>
      <c r="D245" t="s">
        <v>378</v>
      </c>
      <c r="E245" t="str">
        <f>"0156111"</f>
        <v>0156111</v>
      </c>
      <c r="F245" t="s">
        <v>328</v>
      </c>
      <c r="G245">
        <v>9</v>
      </c>
      <c r="H245">
        <v>12</v>
      </c>
      <c r="J245" t="s">
        <v>331</v>
      </c>
      <c r="K245">
        <v>729.683178</v>
      </c>
      <c r="L245">
        <v>1550</v>
      </c>
      <c r="M245">
        <v>47.076334000000003</v>
      </c>
      <c r="N245">
        <v>5</v>
      </c>
      <c r="O245">
        <v>0</v>
      </c>
      <c r="P245">
        <v>37.297980000000003</v>
      </c>
      <c r="Q245">
        <v>74.595960000000005</v>
      </c>
      <c r="R245">
        <v>150</v>
      </c>
      <c r="S245">
        <v>36.714596999999998</v>
      </c>
      <c r="T245" t="s">
        <v>125</v>
      </c>
      <c r="U245">
        <v>73.429193999999995</v>
      </c>
      <c r="V245">
        <v>150</v>
      </c>
      <c r="W245">
        <v>30.676767999999999</v>
      </c>
      <c r="X245">
        <v>61.353535000000001</v>
      </c>
      <c r="Y245">
        <v>150</v>
      </c>
      <c r="Z245" t="s">
        <v>125</v>
      </c>
      <c r="AA245">
        <v>30.405773</v>
      </c>
      <c r="AB245">
        <v>60.811546999999997</v>
      </c>
      <c r="AC245">
        <v>150</v>
      </c>
      <c r="AD245">
        <v>38.476267999999997</v>
      </c>
      <c r="AE245">
        <v>51.301690999999998</v>
      </c>
      <c r="AF245">
        <v>100</v>
      </c>
      <c r="AG245">
        <v>38.565072999999998</v>
      </c>
      <c r="AH245" t="s">
        <v>125</v>
      </c>
      <c r="AI245">
        <v>51.420098000000003</v>
      </c>
      <c r="AJ245">
        <v>100</v>
      </c>
      <c r="AK245" t="s">
        <v>125</v>
      </c>
      <c r="AL245" t="s">
        <v>125</v>
      </c>
      <c r="AM245" t="s">
        <v>125</v>
      </c>
      <c r="AN245" t="s">
        <v>125</v>
      </c>
      <c r="AO245" t="s">
        <v>125</v>
      </c>
      <c r="AP245" t="s">
        <v>125</v>
      </c>
      <c r="AQ245" t="s">
        <v>125</v>
      </c>
      <c r="AR245" t="s">
        <v>125</v>
      </c>
      <c r="AS245" t="s">
        <v>125</v>
      </c>
      <c r="AT245" t="s">
        <v>125</v>
      </c>
      <c r="AU245" t="s">
        <v>125</v>
      </c>
      <c r="AV245" t="s">
        <v>125</v>
      </c>
      <c r="AW245" t="s">
        <v>125</v>
      </c>
      <c r="AX245" t="s">
        <v>125</v>
      </c>
      <c r="AY245" t="s">
        <v>125</v>
      </c>
      <c r="AZ245" t="s">
        <v>125</v>
      </c>
      <c r="BA245" t="s">
        <v>125</v>
      </c>
      <c r="BB245">
        <v>0.26711299999999999</v>
      </c>
      <c r="BC245">
        <v>13.355629</v>
      </c>
      <c r="BD245">
        <v>50</v>
      </c>
      <c r="BE245">
        <v>0.383884</v>
      </c>
      <c r="BF245">
        <v>19.194220000000001</v>
      </c>
      <c r="BG245">
        <v>50</v>
      </c>
      <c r="BH245">
        <v>1</v>
      </c>
      <c r="BI245">
        <v>0.85714299999999999</v>
      </c>
      <c r="BJ245">
        <v>0.84732799999999997</v>
      </c>
      <c r="BK245">
        <v>0.91304300000000005</v>
      </c>
      <c r="BL245">
        <v>0.85714299999999999</v>
      </c>
      <c r="BM245">
        <v>0.84732799999999997</v>
      </c>
      <c r="BN245">
        <v>0.91304300000000005</v>
      </c>
      <c r="BO245">
        <v>0.85906000000000005</v>
      </c>
      <c r="BP245">
        <v>0.86507900000000004</v>
      </c>
      <c r="BQ245">
        <v>0.82608700000000002</v>
      </c>
      <c r="BR245">
        <v>0.46066000000000001</v>
      </c>
      <c r="BS245">
        <v>0</v>
      </c>
      <c r="BT245">
        <v>50</v>
      </c>
      <c r="BU245">
        <v>0.47514600000000001</v>
      </c>
      <c r="BV245">
        <v>0</v>
      </c>
      <c r="BW245">
        <v>50</v>
      </c>
      <c r="BX245">
        <v>0.371585</v>
      </c>
      <c r="BY245">
        <v>24.772313</v>
      </c>
      <c r="BZ245">
        <v>50</v>
      </c>
      <c r="CA245">
        <v>3.2786999999999997E-2</v>
      </c>
      <c r="CB245">
        <v>2.1857920000000002</v>
      </c>
      <c r="CC245">
        <v>50</v>
      </c>
      <c r="CD245">
        <v>0.57954499999999998</v>
      </c>
      <c r="CE245">
        <v>30.826885999999998</v>
      </c>
      <c r="CF245">
        <v>50</v>
      </c>
      <c r="CG245">
        <v>0.64426899999999998</v>
      </c>
      <c r="CH245">
        <v>68.539231000000001</v>
      </c>
      <c r="CI245">
        <v>100</v>
      </c>
      <c r="CJ245">
        <v>0</v>
      </c>
      <c r="CK245">
        <v>0.66784500000000002</v>
      </c>
      <c r="CL245">
        <v>71.047290000000004</v>
      </c>
      <c r="CM245">
        <v>100</v>
      </c>
      <c r="CN245">
        <v>0.40236699999999997</v>
      </c>
      <c r="CO245">
        <v>53.648915000000002</v>
      </c>
      <c r="CP245">
        <v>100</v>
      </c>
      <c r="CQ245">
        <v>0.44921899999999998</v>
      </c>
      <c r="CR245">
        <v>1.4463280000000001</v>
      </c>
      <c r="CS245">
        <v>29.947917</v>
      </c>
      <c r="CT245">
        <v>50</v>
      </c>
      <c r="CU245">
        <v>0.51903600000000005</v>
      </c>
      <c r="CV245">
        <v>43.252960999999999</v>
      </c>
      <c r="CW245">
        <v>50</v>
      </c>
      <c r="CX245">
        <v>0.66784500000000002</v>
      </c>
      <c r="CY245" t="s">
        <v>125</v>
      </c>
      <c r="CZ245" t="s">
        <v>125</v>
      </c>
      <c r="DA245">
        <v>15.314097</v>
      </c>
      <c r="DB245">
        <v>17.400950000000002</v>
      </c>
      <c r="DC245">
        <v>16.332519999999999</v>
      </c>
      <c r="DD245">
        <v>7.9891730000000001</v>
      </c>
      <c r="DE245">
        <v>1</v>
      </c>
      <c r="DF245" t="s">
        <v>376</v>
      </c>
      <c r="DG245" t="s">
        <v>379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Q245" t="s">
        <v>126</v>
      </c>
    </row>
    <row r="246" spans="1:121" x14ac:dyDescent="0.15">
      <c r="A246">
        <v>2018</v>
      </c>
      <c r="B246" t="s">
        <v>122</v>
      </c>
      <c r="C246" t="str">
        <f t="shared" si="2"/>
        <v>0150011</v>
      </c>
      <c r="D246" t="s">
        <v>380</v>
      </c>
      <c r="E246" t="str">
        <f>"0150211"</f>
        <v>0150211</v>
      </c>
      <c r="F246" t="s">
        <v>328</v>
      </c>
      <c r="G246" t="s">
        <v>329</v>
      </c>
      <c r="H246">
        <v>6</v>
      </c>
      <c r="I246" t="s">
        <v>336</v>
      </c>
      <c r="J246" t="s">
        <v>331</v>
      </c>
      <c r="K246">
        <v>588.83460100000002</v>
      </c>
      <c r="L246">
        <v>850</v>
      </c>
      <c r="M246">
        <v>69.274659</v>
      </c>
      <c r="N246">
        <v>3</v>
      </c>
      <c r="O246">
        <v>0</v>
      </c>
      <c r="P246">
        <v>61.145685</v>
      </c>
      <c r="Q246">
        <v>40.76379</v>
      </c>
      <c r="R246">
        <v>50</v>
      </c>
      <c r="S246">
        <v>60.563996000000003</v>
      </c>
      <c r="T246" t="s">
        <v>125</v>
      </c>
      <c r="U246">
        <v>40.375996999999998</v>
      </c>
      <c r="V246">
        <v>50</v>
      </c>
      <c r="W246">
        <v>51.527414</v>
      </c>
      <c r="X246">
        <v>34.351609000000003</v>
      </c>
      <c r="Y246">
        <v>50</v>
      </c>
      <c r="Z246" t="s">
        <v>125</v>
      </c>
      <c r="AA246">
        <v>50.338976000000002</v>
      </c>
      <c r="AB246">
        <v>33.559317</v>
      </c>
      <c r="AC246">
        <v>50</v>
      </c>
      <c r="AD246">
        <v>63.194299000000001</v>
      </c>
      <c r="AE246">
        <v>42.129531999999998</v>
      </c>
      <c r="AF246">
        <v>50</v>
      </c>
      <c r="AG246">
        <v>62.731749000000001</v>
      </c>
      <c r="AH246" t="s">
        <v>125</v>
      </c>
      <c r="AI246">
        <v>41.821165999999998</v>
      </c>
      <c r="AJ246">
        <v>50</v>
      </c>
      <c r="AK246" t="s">
        <v>125</v>
      </c>
      <c r="AL246" t="s">
        <v>125</v>
      </c>
      <c r="AM246" t="s">
        <v>125</v>
      </c>
      <c r="AN246">
        <v>0.62416700000000003</v>
      </c>
      <c r="AO246">
        <v>62.41666</v>
      </c>
      <c r="AP246">
        <v>100</v>
      </c>
      <c r="AQ246">
        <v>0.71482699999999999</v>
      </c>
      <c r="AR246">
        <v>71.482724000000005</v>
      </c>
      <c r="AS246">
        <v>100</v>
      </c>
      <c r="AT246">
        <v>0.61785999999999996</v>
      </c>
      <c r="AU246" t="s">
        <v>125</v>
      </c>
      <c r="AV246">
        <v>61.785978</v>
      </c>
      <c r="AW246">
        <v>100</v>
      </c>
      <c r="AX246">
        <v>0.72117100000000001</v>
      </c>
      <c r="AY246" t="s">
        <v>125</v>
      </c>
      <c r="AZ246">
        <v>72.117103</v>
      </c>
      <c r="BA246">
        <v>100</v>
      </c>
      <c r="BB246" t="s">
        <v>125</v>
      </c>
      <c r="BC246" t="s">
        <v>125</v>
      </c>
      <c r="BD246" t="s">
        <v>125</v>
      </c>
      <c r="BE246" t="s">
        <v>125</v>
      </c>
      <c r="BF246" t="s">
        <v>125</v>
      </c>
      <c r="BG246" t="s">
        <v>125</v>
      </c>
      <c r="BH246">
        <v>0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 t="s">
        <v>125</v>
      </c>
      <c r="BR246">
        <v>0.14760100000000001</v>
      </c>
      <c r="BS246">
        <v>30.479704999999999</v>
      </c>
      <c r="BT246">
        <v>50</v>
      </c>
      <c r="BU246">
        <v>0.15510199999999999</v>
      </c>
      <c r="BV246">
        <v>28.979592</v>
      </c>
      <c r="BW246">
        <v>50</v>
      </c>
      <c r="BX246" t="s">
        <v>125</v>
      </c>
      <c r="BY246" t="s">
        <v>125</v>
      </c>
      <c r="BZ246" t="s">
        <v>125</v>
      </c>
      <c r="CA246" t="s">
        <v>125</v>
      </c>
      <c r="CB246" t="s">
        <v>125</v>
      </c>
      <c r="CC246" t="s">
        <v>125</v>
      </c>
      <c r="CD246" t="s">
        <v>125</v>
      </c>
      <c r="CE246" t="s">
        <v>125</v>
      </c>
      <c r="CF246" t="s">
        <v>125</v>
      </c>
      <c r="CG246" t="s">
        <v>125</v>
      </c>
      <c r="CH246" t="s">
        <v>125</v>
      </c>
      <c r="CI246" t="s">
        <v>125</v>
      </c>
      <c r="CJ246" t="s">
        <v>125</v>
      </c>
      <c r="CK246" t="s">
        <v>125</v>
      </c>
      <c r="CL246" t="s">
        <v>125</v>
      </c>
      <c r="CM246" t="s">
        <v>125</v>
      </c>
      <c r="CN246" t="s">
        <v>125</v>
      </c>
      <c r="CO246" t="s">
        <v>125</v>
      </c>
      <c r="CP246" t="s">
        <v>125</v>
      </c>
      <c r="CQ246">
        <v>0.42857099999999998</v>
      </c>
      <c r="CR246">
        <v>1</v>
      </c>
      <c r="CS246">
        <v>28.571428999999998</v>
      </c>
      <c r="CT246">
        <v>50</v>
      </c>
      <c r="CU246" t="s">
        <v>125</v>
      </c>
      <c r="CV246" t="s">
        <v>125</v>
      </c>
      <c r="CW246" t="s">
        <v>125</v>
      </c>
      <c r="CX246" t="s">
        <v>125</v>
      </c>
      <c r="CY246" t="s">
        <v>125</v>
      </c>
      <c r="CZ246" t="s">
        <v>125</v>
      </c>
      <c r="DA246">
        <v>15.314097</v>
      </c>
      <c r="DB246">
        <v>17.400950000000002</v>
      </c>
      <c r="DC246">
        <v>16.332519999999999</v>
      </c>
      <c r="DD246" t="s">
        <v>125</v>
      </c>
      <c r="DE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Q246" t="s">
        <v>126</v>
      </c>
    </row>
    <row r="247" spans="1:121" x14ac:dyDescent="0.15">
      <c r="A247">
        <v>2018</v>
      </c>
      <c r="B247" t="s">
        <v>122</v>
      </c>
      <c r="C247" t="str">
        <f t="shared" si="2"/>
        <v>0150011</v>
      </c>
      <c r="D247" t="s">
        <v>381</v>
      </c>
      <c r="E247" t="str">
        <f>"0150611"</f>
        <v>0150611</v>
      </c>
      <c r="F247" t="s">
        <v>328</v>
      </c>
      <c r="G247">
        <v>9</v>
      </c>
      <c r="H247">
        <v>12</v>
      </c>
      <c r="J247" t="s">
        <v>331</v>
      </c>
      <c r="K247">
        <v>981.90509399999996</v>
      </c>
      <c r="L247">
        <v>1450</v>
      </c>
      <c r="M247">
        <v>67.717592999999994</v>
      </c>
      <c r="N247">
        <v>3</v>
      </c>
      <c r="O247">
        <v>1</v>
      </c>
      <c r="P247">
        <v>55.440705000000001</v>
      </c>
      <c r="Q247">
        <v>110.88141</v>
      </c>
      <c r="R247">
        <v>150</v>
      </c>
      <c r="S247">
        <v>47.923977000000001</v>
      </c>
      <c r="T247">
        <v>64.556737999999996</v>
      </c>
      <c r="U247">
        <v>95.847953000000004</v>
      </c>
      <c r="V247">
        <v>150</v>
      </c>
      <c r="W247">
        <v>51.862178999999998</v>
      </c>
      <c r="X247">
        <v>103.72435900000001</v>
      </c>
      <c r="Y247">
        <v>150</v>
      </c>
      <c r="Z247">
        <v>59.680850999999997</v>
      </c>
      <c r="AA247">
        <v>45.415205</v>
      </c>
      <c r="AB247">
        <v>90.830409000000003</v>
      </c>
      <c r="AC247">
        <v>150</v>
      </c>
      <c r="AD247">
        <v>54.511834</v>
      </c>
      <c r="AE247">
        <v>72.682445999999999</v>
      </c>
      <c r="AF247">
        <v>100</v>
      </c>
      <c r="AG247">
        <v>46.597841000000003</v>
      </c>
      <c r="AH247">
        <v>64.109656000000001</v>
      </c>
      <c r="AI247">
        <v>62.130454</v>
      </c>
      <c r="AJ247">
        <v>100</v>
      </c>
      <c r="AK247">
        <v>16.63</v>
      </c>
      <c r="AL247">
        <v>14.26</v>
      </c>
      <c r="AM247">
        <v>17.510000000000002</v>
      </c>
      <c r="AN247" t="s">
        <v>125</v>
      </c>
      <c r="AO247" t="s">
        <v>125</v>
      </c>
      <c r="AP247" t="s">
        <v>125</v>
      </c>
      <c r="AQ247" t="s">
        <v>125</v>
      </c>
      <c r="AR247" t="s">
        <v>125</v>
      </c>
      <c r="AS247" t="s">
        <v>125</v>
      </c>
      <c r="AT247" t="s">
        <v>125</v>
      </c>
      <c r="AU247" t="s">
        <v>125</v>
      </c>
      <c r="AV247" t="s">
        <v>125</v>
      </c>
      <c r="AW247" t="s">
        <v>125</v>
      </c>
      <c r="AX247" t="s">
        <v>125</v>
      </c>
      <c r="AY247" t="s">
        <v>125</v>
      </c>
      <c r="AZ247" t="s">
        <v>125</v>
      </c>
      <c r="BA247" t="s">
        <v>125</v>
      </c>
      <c r="BB247" t="s">
        <v>125</v>
      </c>
      <c r="BC247" t="s">
        <v>125</v>
      </c>
      <c r="BD247" t="s">
        <v>125</v>
      </c>
      <c r="BE247" t="s">
        <v>125</v>
      </c>
      <c r="BF247" t="s">
        <v>125</v>
      </c>
      <c r="BG247" t="s">
        <v>125</v>
      </c>
      <c r="BH247">
        <v>0</v>
      </c>
      <c r="BI247">
        <v>0.99065400000000003</v>
      </c>
      <c r="BJ247">
        <v>0.98333300000000001</v>
      </c>
      <c r="BK247">
        <v>1</v>
      </c>
      <c r="BL247">
        <v>0.99065400000000003</v>
      </c>
      <c r="BM247">
        <v>0.98333300000000001</v>
      </c>
      <c r="BN247">
        <v>1</v>
      </c>
      <c r="BO247">
        <v>0.99065400000000003</v>
      </c>
      <c r="BP247">
        <v>0.98333300000000001</v>
      </c>
      <c r="BQ247">
        <v>1</v>
      </c>
      <c r="BR247">
        <v>0.21493200000000001</v>
      </c>
      <c r="BS247">
        <v>17.013574999999999</v>
      </c>
      <c r="BT247">
        <v>50</v>
      </c>
      <c r="BU247">
        <v>0.25416699999999998</v>
      </c>
      <c r="BV247">
        <v>9.1666670000000003</v>
      </c>
      <c r="BW247">
        <v>50</v>
      </c>
      <c r="BX247">
        <v>0.36893199999999998</v>
      </c>
      <c r="BY247">
        <v>24.595469000000001</v>
      </c>
      <c r="BZ247">
        <v>50</v>
      </c>
      <c r="CA247">
        <v>0.281553</v>
      </c>
      <c r="CB247">
        <v>18.770226999999998</v>
      </c>
      <c r="CC247">
        <v>50</v>
      </c>
      <c r="CD247">
        <v>0.80833299999999997</v>
      </c>
      <c r="CE247">
        <v>42.996454</v>
      </c>
      <c r="CF247">
        <v>50</v>
      </c>
      <c r="CG247">
        <v>0.96428599999999998</v>
      </c>
      <c r="CH247">
        <v>100</v>
      </c>
      <c r="CI247">
        <v>100</v>
      </c>
      <c r="CJ247">
        <v>0</v>
      </c>
      <c r="CK247">
        <v>0.95652199999999998</v>
      </c>
      <c r="CL247">
        <v>100</v>
      </c>
      <c r="CM247">
        <v>100</v>
      </c>
      <c r="CN247">
        <v>0.78378400000000004</v>
      </c>
      <c r="CO247">
        <v>100</v>
      </c>
      <c r="CP247">
        <v>100</v>
      </c>
      <c r="CQ247">
        <v>0.36448599999999998</v>
      </c>
      <c r="CR247">
        <v>0.85599999999999998</v>
      </c>
      <c r="CS247">
        <v>12.149533</v>
      </c>
      <c r="CT247">
        <v>50</v>
      </c>
      <c r="CU247">
        <v>0.25339400000000001</v>
      </c>
      <c r="CV247">
        <v>21.116139</v>
      </c>
      <c r="CW247">
        <v>50</v>
      </c>
      <c r="CX247">
        <v>0.95652199999999998</v>
      </c>
      <c r="CY247" t="s">
        <v>125</v>
      </c>
      <c r="CZ247" t="s">
        <v>125</v>
      </c>
      <c r="DA247">
        <v>15.314097</v>
      </c>
      <c r="DB247">
        <v>17.400950000000002</v>
      </c>
      <c r="DC247">
        <v>16.332519999999999</v>
      </c>
      <c r="DD247">
        <v>7.9891730000000001</v>
      </c>
      <c r="DE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Q247" t="s">
        <v>126</v>
      </c>
    </row>
    <row r="248" spans="1:121" x14ac:dyDescent="0.15">
      <c r="A248">
        <v>2018</v>
      </c>
      <c r="B248" t="s">
        <v>122</v>
      </c>
      <c r="C248" t="str">
        <f t="shared" si="2"/>
        <v>0150011</v>
      </c>
      <c r="D248" t="s">
        <v>382</v>
      </c>
      <c r="E248" t="str">
        <f>"0150311"</f>
        <v>0150311</v>
      </c>
      <c r="F248" t="s">
        <v>328</v>
      </c>
      <c r="G248" t="s">
        <v>329</v>
      </c>
      <c r="H248">
        <v>8</v>
      </c>
      <c r="I248" t="s">
        <v>336</v>
      </c>
      <c r="J248" t="s">
        <v>331</v>
      </c>
      <c r="K248">
        <v>663.98936000000003</v>
      </c>
      <c r="L248">
        <v>1000</v>
      </c>
      <c r="M248">
        <v>66.398936000000006</v>
      </c>
      <c r="N248">
        <v>3</v>
      </c>
      <c r="O248">
        <v>0</v>
      </c>
      <c r="P248">
        <v>62.552613000000001</v>
      </c>
      <c r="Q248">
        <v>41.701742000000003</v>
      </c>
      <c r="R248">
        <v>50</v>
      </c>
      <c r="S248">
        <v>60.331785000000004</v>
      </c>
      <c r="T248">
        <v>70.732665999999995</v>
      </c>
      <c r="U248">
        <v>40.22119</v>
      </c>
      <c r="V248">
        <v>50</v>
      </c>
      <c r="W248">
        <v>52.671649000000002</v>
      </c>
      <c r="X248">
        <v>35.114432999999998</v>
      </c>
      <c r="Y248">
        <v>50</v>
      </c>
      <c r="Z248">
        <v>60.092379999999999</v>
      </c>
      <c r="AA248">
        <v>50.656972000000003</v>
      </c>
      <c r="AB248">
        <v>33.771313999999997</v>
      </c>
      <c r="AC248">
        <v>50</v>
      </c>
      <c r="AD248">
        <v>56.381208000000001</v>
      </c>
      <c r="AE248">
        <v>37.587471999999998</v>
      </c>
      <c r="AF248">
        <v>50</v>
      </c>
      <c r="AG248">
        <v>55.467032000000003</v>
      </c>
      <c r="AH248">
        <v>59.35228</v>
      </c>
      <c r="AI248">
        <v>36.978020999999998</v>
      </c>
      <c r="AJ248">
        <v>50</v>
      </c>
      <c r="AK248">
        <v>10.4</v>
      </c>
      <c r="AL248">
        <v>9.43</v>
      </c>
      <c r="AM248">
        <v>3.88</v>
      </c>
      <c r="AN248">
        <v>0.52446000000000004</v>
      </c>
      <c r="AO248">
        <v>52.446038000000001</v>
      </c>
      <c r="AP248">
        <v>100</v>
      </c>
      <c r="AQ248">
        <v>0.56654599999999999</v>
      </c>
      <c r="AR248">
        <v>56.654614000000002</v>
      </c>
      <c r="AS248">
        <v>100</v>
      </c>
      <c r="AT248">
        <v>0.49506299999999998</v>
      </c>
      <c r="AU248">
        <v>0.61318799999999996</v>
      </c>
      <c r="AV248">
        <v>49.506279999999997</v>
      </c>
      <c r="AW248">
        <v>100</v>
      </c>
      <c r="AX248">
        <v>0.56525999999999998</v>
      </c>
      <c r="AY248">
        <v>0.57042899999999996</v>
      </c>
      <c r="AZ248">
        <v>56.525956000000001</v>
      </c>
      <c r="BA248">
        <v>100</v>
      </c>
      <c r="BB248">
        <v>0.66038799999999998</v>
      </c>
      <c r="BC248">
        <v>33.019382</v>
      </c>
      <c r="BD248">
        <v>50</v>
      </c>
      <c r="BE248">
        <v>0.58533900000000005</v>
      </c>
      <c r="BF248">
        <v>29.266947999999999</v>
      </c>
      <c r="BG248">
        <v>50</v>
      </c>
      <c r="BH248">
        <v>0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7.4661000000000005E-2</v>
      </c>
      <c r="BS248">
        <v>45.067872999999999</v>
      </c>
      <c r="BT248">
        <v>50</v>
      </c>
      <c r="BU248">
        <v>8.3582000000000004E-2</v>
      </c>
      <c r="BV248">
        <v>43.283582000000003</v>
      </c>
      <c r="BW248">
        <v>50</v>
      </c>
      <c r="BX248" t="s">
        <v>125</v>
      </c>
      <c r="BY248" t="s">
        <v>125</v>
      </c>
      <c r="BZ248" t="s">
        <v>125</v>
      </c>
      <c r="CA248" t="s">
        <v>125</v>
      </c>
      <c r="CB248" t="s">
        <v>125</v>
      </c>
      <c r="CC248" t="s">
        <v>125</v>
      </c>
      <c r="CD248">
        <v>0.89285700000000001</v>
      </c>
      <c r="CE248">
        <v>47.492401000000001</v>
      </c>
      <c r="CF248">
        <v>50</v>
      </c>
      <c r="CG248" t="s">
        <v>125</v>
      </c>
      <c r="CH248" t="s">
        <v>125</v>
      </c>
      <c r="CI248" t="s">
        <v>125</v>
      </c>
      <c r="CJ248" t="s">
        <v>125</v>
      </c>
      <c r="CK248" t="s">
        <v>125</v>
      </c>
      <c r="CL248" t="s">
        <v>125</v>
      </c>
      <c r="CM248" t="s">
        <v>125</v>
      </c>
      <c r="CN248" t="s">
        <v>125</v>
      </c>
      <c r="CO248" t="s">
        <v>125</v>
      </c>
      <c r="CP248" t="s">
        <v>125</v>
      </c>
      <c r="CQ248">
        <v>0.38028200000000001</v>
      </c>
      <c r="CR248">
        <v>0.93421100000000001</v>
      </c>
      <c r="CS248">
        <v>25.352112999999999</v>
      </c>
      <c r="CT248">
        <v>50</v>
      </c>
      <c r="CU248" t="s">
        <v>125</v>
      </c>
      <c r="CV248" t="s">
        <v>125</v>
      </c>
      <c r="CW248" t="s">
        <v>125</v>
      </c>
      <c r="CX248" t="s">
        <v>125</v>
      </c>
      <c r="CY248" t="s">
        <v>125</v>
      </c>
      <c r="CZ248" t="s">
        <v>125</v>
      </c>
      <c r="DA248">
        <v>15.314097</v>
      </c>
      <c r="DB248">
        <v>17.400950000000002</v>
      </c>
      <c r="DC248">
        <v>16.332519999999999</v>
      </c>
      <c r="DD248" t="s">
        <v>125</v>
      </c>
      <c r="DE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Q248" t="s">
        <v>126</v>
      </c>
    </row>
    <row r="249" spans="1:121" x14ac:dyDescent="0.15">
      <c r="A249">
        <v>2018</v>
      </c>
      <c r="B249" t="s">
        <v>122</v>
      </c>
      <c r="C249" t="str">
        <f t="shared" si="2"/>
        <v>0150011</v>
      </c>
      <c r="D249" t="s">
        <v>383</v>
      </c>
      <c r="E249" t="str">
        <f>"0154011"</f>
        <v>0154011</v>
      </c>
      <c r="F249" t="s">
        <v>328</v>
      </c>
      <c r="G249" t="s">
        <v>329</v>
      </c>
      <c r="H249">
        <v>8</v>
      </c>
      <c r="I249" t="s">
        <v>336</v>
      </c>
      <c r="J249" t="s">
        <v>331</v>
      </c>
      <c r="K249">
        <v>655.04299000000003</v>
      </c>
      <c r="L249">
        <v>1000</v>
      </c>
      <c r="M249">
        <v>65.504299000000003</v>
      </c>
      <c r="N249">
        <v>3</v>
      </c>
      <c r="O249">
        <v>0</v>
      </c>
      <c r="P249">
        <v>56.549571</v>
      </c>
      <c r="Q249">
        <v>37.699714</v>
      </c>
      <c r="R249">
        <v>50</v>
      </c>
      <c r="S249">
        <v>55.522989000000003</v>
      </c>
      <c r="T249">
        <v>60.906281999999997</v>
      </c>
      <c r="U249">
        <v>37.015326000000002</v>
      </c>
      <c r="V249">
        <v>50</v>
      </c>
      <c r="W249">
        <v>49.100059000000002</v>
      </c>
      <c r="X249">
        <v>32.733373</v>
      </c>
      <c r="Y249">
        <v>50</v>
      </c>
      <c r="Z249">
        <v>53.357311000000003</v>
      </c>
      <c r="AA249">
        <v>48.093055999999997</v>
      </c>
      <c r="AB249">
        <v>32.062036999999997</v>
      </c>
      <c r="AC249">
        <v>50</v>
      </c>
      <c r="AD249">
        <v>50.962699000000001</v>
      </c>
      <c r="AE249">
        <v>33.975133</v>
      </c>
      <c r="AF249">
        <v>50</v>
      </c>
      <c r="AG249">
        <v>50.086778000000002</v>
      </c>
      <c r="AH249">
        <v>54.987763999999999</v>
      </c>
      <c r="AI249">
        <v>33.391185</v>
      </c>
      <c r="AJ249">
        <v>50</v>
      </c>
      <c r="AK249">
        <v>5.38</v>
      </c>
      <c r="AL249">
        <v>5.26</v>
      </c>
      <c r="AM249">
        <v>4.9000000000000004</v>
      </c>
      <c r="AN249">
        <v>0.62120200000000003</v>
      </c>
      <c r="AO249">
        <v>62.120215000000002</v>
      </c>
      <c r="AP249">
        <v>100</v>
      </c>
      <c r="AQ249">
        <v>0.62097599999999997</v>
      </c>
      <c r="AR249">
        <v>62.097647000000002</v>
      </c>
      <c r="AS249">
        <v>100</v>
      </c>
      <c r="AT249">
        <v>0.62224400000000002</v>
      </c>
      <c r="AU249">
        <v>0.61741699999999999</v>
      </c>
      <c r="AV249">
        <v>62.224431000000003</v>
      </c>
      <c r="AW249">
        <v>100</v>
      </c>
      <c r="AX249">
        <v>0.62089099999999997</v>
      </c>
      <c r="AY249">
        <v>0.621286</v>
      </c>
      <c r="AZ249">
        <v>62.089091000000003</v>
      </c>
      <c r="BA249">
        <v>100</v>
      </c>
      <c r="BB249">
        <v>0.58627200000000002</v>
      </c>
      <c r="BC249">
        <v>29.313580999999999</v>
      </c>
      <c r="BD249">
        <v>50</v>
      </c>
      <c r="BE249">
        <v>0.41380499999999998</v>
      </c>
      <c r="BF249">
        <v>20.690225000000002</v>
      </c>
      <c r="BG249">
        <v>50</v>
      </c>
      <c r="BH249">
        <v>0</v>
      </c>
      <c r="BI249">
        <v>0.997305</v>
      </c>
      <c r="BJ249">
        <v>0.99834400000000001</v>
      </c>
      <c r="BK249">
        <v>0.99275400000000003</v>
      </c>
      <c r="BL249">
        <v>0.99729400000000001</v>
      </c>
      <c r="BM249">
        <v>0.998336</v>
      </c>
      <c r="BN249">
        <v>0.99275400000000003</v>
      </c>
      <c r="BO249">
        <v>1</v>
      </c>
      <c r="BP249">
        <v>1</v>
      </c>
      <c r="BQ249">
        <v>1</v>
      </c>
      <c r="BR249">
        <v>0.16205900000000001</v>
      </c>
      <c r="BS249">
        <v>27.588179</v>
      </c>
      <c r="BT249">
        <v>50</v>
      </c>
      <c r="BU249">
        <v>0.168047</v>
      </c>
      <c r="BV249">
        <v>26.390533000000001</v>
      </c>
      <c r="BW249">
        <v>50</v>
      </c>
      <c r="BX249" t="s">
        <v>125</v>
      </c>
      <c r="BY249" t="s">
        <v>125</v>
      </c>
      <c r="BZ249" t="s">
        <v>125</v>
      </c>
      <c r="CA249" t="s">
        <v>125</v>
      </c>
      <c r="CB249" t="s">
        <v>125</v>
      </c>
      <c r="CC249" t="s">
        <v>125</v>
      </c>
      <c r="CD249">
        <v>0.86014000000000002</v>
      </c>
      <c r="CE249">
        <v>45.752119999999998</v>
      </c>
      <c r="CF249">
        <v>50</v>
      </c>
      <c r="CG249" t="s">
        <v>125</v>
      </c>
      <c r="CH249" t="s">
        <v>125</v>
      </c>
      <c r="CI249" t="s">
        <v>125</v>
      </c>
      <c r="CJ249" t="s">
        <v>125</v>
      </c>
      <c r="CK249" t="s">
        <v>125</v>
      </c>
      <c r="CL249" t="s">
        <v>125</v>
      </c>
      <c r="CM249" t="s">
        <v>125</v>
      </c>
      <c r="CN249" t="s">
        <v>125</v>
      </c>
      <c r="CO249" t="s">
        <v>125</v>
      </c>
      <c r="CP249" t="s">
        <v>125</v>
      </c>
      <c r="CQ249">
        <v>0.74850300000000003</v>
      </c>
      <c r="CR249">
        <v>0.91506799999999999</v>
      </c>
      <c r="CS249">
        <v>49.900199999999998</v>
      </c>
      <c r="CT249">
        <v>50</v>
      </c>
      <c r="CU249" t="s">
        <v>125</v>
      </c>
      <c r="CV249" t="s">
        <v>125</v>
      </c>
      <c r="CW249" t="s">
        <v>125</v>
      </c>
      <c r="CX249" t="s">
        <v>125</v>
      </c>
      <c r="CY249" t="s">
        <v>125</v>
      </c>
      <c r="CZ249" t="s">
        <v>125</v>
      </c>
      <c r="DA249">
        <v>15.314097</v>
      </c>
      <c r="DB249">
        <v>17.400950000000002</v>
      </c>
      <c r="DC249">
        <v>16.332519999999999</v>
      </c>
      <c r="DD249" t="s">
        <v>125</v>
      </c>
      <c r="DE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Q249" t="s">
        <v>126</v>
      </c>
    </row>
    <row r="250" spans="1:121" x14ac:dyDescent="0.15">
      <c r="A250">
        <v>2018</v>
      </c>
      <c r="B250" t="s">
        <v>122</v>
      </c>
      <c r="C250" t="str">
        <f t="shared" si="2"/>
        <v>0150011</v>
      </c>
      <c r="D250" t="s">
        <v>384</v>
      </c>
      <c r="E250" t="str">
        <f>"0151611"</f>
        <v>0151611</v>
      </c>
      <c r="F250" t="s">
        <v>328</v>
      </c>
      <c r="G250">
        <v>9</v>
      </c>
      <c r="H250">
        <v>12</v>
      </c>
      <c r="J250" t="s">
        <v>331</v>
      </c>
      <c r="K250">
        <v>804.36132299999997</v>
      </c>
      <c r="L250">
        <v>1450</v>
      </c>
      <c r="M250">
        <v>55.473194999999997</v>
      </c>
      <c r="N250">
        <v>5</v>
      </c>
      <c r="O250">
        <v>0</v>
      </c>
      <c r="P250">
        <v>37.411458000000003</v>
      </c>
      <c r="Q250">
        <v>74.822917000000004</v>
      </c>
      <c r="R250">
        <v>150</v>
      </c>
      <c r="S250">
        <v>36.807692000000003</v>
      </c>
      <c r="T250" t="s">
        <v>125</v>
      </c>
      <c r="U250">
        <v>73.615385000000003</v>
      </c>
      <c r="V250">
        <v>150</v>
      </c>
      <c r="W250">
        <v>31.309895999999998</v>
      </c>
      <c r="X250">
        <v>62.619791999999997</v>
      </c>
      <c r="Y250">
        <v>150</v>
      </c>
      <c r="Z250" t="s">
        <v>125</v>
      </c>
      <c r="AA250">
        <v>31.201923000000001</v>
      </c>
      <c r="AB250">
        <v>62.403846000000001</v>
      </c>
      <c r="AC250">
        <v>150</v>
      </c>
      <c r="AD250">
        <v>33.078107000000003</v>
      </c>
      <c r="AE250">
        <v>44.104142000000003</v>
      </c>
      <c r="AF250">
        <v>100</v>
      </c>
      <c r="AG250">
        <v>32.026125</v>
      </c>
      <c r="AH250" t="s">
        <v>125</v>
      </c>
      <c r="AI250">
        <v>42.701500000000003</v>
      </c>
      <c r="AJ250">
        <v>100</v>
      </c>
      <c r="AK250" t="s">
        <v>125</v>
      </c>
      <c r="AL250" t="s">
        <v>125</v>
      </c>
      <c r="AM250" t="s">
        <v>125</v>
      </c>
      <c r="AN250" t="s">
        <v>125</v>
      </c>
      <c r="AO250" t="s">
        <v>125</v>
      </c>
      <c r="AP250" t="s">
        <v>125</v>
      </c>
      <c r="AQ250" t="s">
        <v>125</v>
      </c>
      <c r="AR250" t="s">
        <v>125</v>
      </c>
      <c r="AS250" t="s">
        <v>125</v>
      </c>
      <c r="AT250" t="s">
        <v>125</v>
      </c>
      <c r="AU250" t="s">
        <v>125</v>
      </c>
      <c r="AV250" t="s">
        <v>125</v>
      </c>
      <c r="AW250" t="s">
        <v>125</v>
      </c>
      <c r="AX250" t="s">
        <v>125</v>
      </c>
      <c r="AY250" t="s">
        <v>125</v>
      </c>
      <c r="AZ250" t="s">
        <v>125</v>
      </c>
      <c r="BA250" t="s">
        <v>125</v>
      </c>
      <c r="BB250">
        <v>0.59471600000000002</v>
      </c>
      <c r="BC250">
        <v>29.735811000000002</v>
      </c>
      <c r="BD250">
        <v>50</v>
      </c>
      <c r="BE250">
        <v>0.75278</v>
      </c>
      <c r="BF250">
        <v>37.638997000000003</v>
      </c>
      <c r="BG250">
        <v>50</v>
      </c>
      <c r="BH250">
        <v>0</v>
      </c>
      <c r="BI250">
        <v>1</v>
      </c>
      <c r="BJ250">
        <v>1</v>
      </c>
      <c r="BK250" t="s">
        <v>125</v>
      </c>
      <c r="BL250">
        <v>1</v>
      </c>
      <c r="BM250">
        <v>1</v>
      </c>
      <c r="BN250" t="s">
        <v>125</v>
      </c>
      <c r="BO250">
        <v>1</v>
      </c>
      <c r="BP250">
        <v>1</v>
      </c>
      <c r="BQ250" t="s">
        <v>125</v>
      </c>
      <c r="BR250">
        <v>0.20430100000000001</v>
      </c>
      <c r="BS250">
        <v>19.139785</v>
      </c>
      <c r="BT250">
        <v>50</v>
      </c>
      <c r="BU250">
        <v>0.22368399999999999</v>
      </c>
      <c r="BV250">
        <v>15.263158000000001</v>
      </c>
      <c r="BW250">
        <v>50</v>
      </c>
      <c r="BX250">
        <v>0.58181799999999995</v>
      </c>
      <c r="BY250">
        <v>38.787878999999997</v>
      </c>
      <c r="BZ250">
        <v>50</v>
      </c>
      <c r="CA250">
        <v>4.5455000000000002E-2</v>
      </c>
      <c r="CB250">
        <v>3.030303</v>
      </c>
      <c r="CC250">
        <v>50</v>
      </c>
      <c r="CD250">
        <v>0.94381999999999999</v>
      </c>
      <c r="CE250">
        <v>50</v>
      </c>
      <c r="CF250">
        <v>50</v>
      </c>
      <c r="CG250">
        <v>0.96385500000000002</v>
      </c>
      <c r="CH250">
        <v>100</v>
      </c>
      <c r="CI250">
        <v>100</v>
      </c>
      <c r="CJ250" t="s">
        <v>125</v>
      </c>
      <c r="CK250" t="s">
        <v>125</v>
      </c>
      <c r="CL250" t="s">
        <v>125</v>
      </c>
      <c r="CM250" t="s">
        <v>125</v>
      </c>
      <c r="CN250">
        <v>0.51851899999999995</v>
      </c>
      <c r="CO250">
        <v>69.135801999999998</v>
      </c>
      <c r="CP250">
        <v>100</v>
      </c>
      <c r="CQ250">
        <v>0.78571400000000002</v>
      </c>
      <c r="CR250">
        <v>1.2250000000000001</v>
      </c>
      <c r="CS250">
        <v>50</v>
      </c>
      <c r="CT250">
        <v>50</v>
      </c>
      <c r="CU250">
        <v>0.37634400000000001</v>
      </c>
      <c r="CV250">
        <v>31.362006999999998</v>
      </c>
      <c r="CW250">
        <v>50</v>
      </c>
      <c r="CX250" t="s">
        <v>125</v>
      </c>
      <c r="CY250" t="s">
        <v>125</v>
      </c>
      <c r="CZ250" t="s">
        <v>125</v>
      </c>
      <c r="DA250">
        <v>15.314097</v>
      </c>
      <c r="DB250">
        <v>17.400950000000002</v>
      </c>
      <c r="DC250">
        <v>16.332519999999999</v>
      </c>
      <c r="DD250" t="s">
        <v>125</v>
      </c>
      <c r="DE250">
        <v>0</v>
      </c>
      <c r="DF250" t="s">
        <v>385</v>
      </c>
      <c r="DG250" t="s">
        <v>386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Q250" t="s">
        <v>126</v>
      </c>
    </row>
    <row r="251" spans="1:121" x14ac:dyDescent="0.15">
      <c r="A251">
        <v>2018</v>
      </c>
      <c r="B251" t="s">
        <v>122</v>
      </c>
      <c r="C251" t="str">
        <f t="shared" si="2"/>
        <v>0150011</v>
      </c>
      <c r="D251" t="s">
        <v>387</v>
      </c>
      <c r="E251" t="str">
        <f>"0150411"</f>
        <v>0150411</v>
      </c>
      <c r="F251" t="s">
        <v>328</v>
      </c>
      <c r="G251" t="s">
        <v>329</v>
      </c>
      <c r="H251">
        <v>6</v>
      </c>
      <c r="I251" t="s">
        <v>336</v>
      </c>
      <c r="J251" t="s">
        <v>331</v>
      </c>
      <c r="K251">
        <v>628.75155299999994</v>
      </c>
      <c r="L251">
        <v>950</v>
      </c>
      <c r="M251">
        <v>66.184374000000005</v>
      </c>
      <c r="N251">
        <v>3</v>
      </c>
      <c r="O251">
        <v>0</v>
      </c>
      <c r="P251">
        <v>58.966766</v>
      </c>
      <c r="Q251">
        <v>39.311177000000001</v>
      </c>
      <c r="R251">
        <v>50</v>
      </c>
      <c r="S251">
        <v>57.836508000000002</v>
      </c>
      <c r="T251" t="s">
        <v>125</v>
      </c>
      <c r="U251">
        <v>38.557671999999997</v>
      </c>
      <c r="V251">
        <v>50</v>
      </c>
      <c r="W251">
        <v>50.746138000000002</v>
      </c>
      <c r="X251">
        <v>33.830759</v>
      </c>
      <c r="Y251">
        <v>50</v>
      </c>
      <c r="Z251" t="s">
        <v>125</v>
      </c>
      <c r="AA251">
        <v>49.406070999999997</v>
      </c>
      <c r="AB251">
        <v>32.937381000000002</v>
      </c>
      <c r="AC251">
        <v>50</v>
      </c>
      <c r="AD251">
        <v>51.908290000000001</v>
      </c>
      <c r="AE251">
        <v>34.605525999999998</v>
      </c>
      <c r="AF251">
        <v>50</v>
      </c>
      <c r="AG251">
        <v>52.873992000000001</v>
      </c>
      <c r="AH251" t="s">
        <v>125</v>
      </c>
      <c r="AI251">
        <v>35.249327999999998</v>
      </c>
      <c r="AJ251">
        <v>50</v>
      </c>
      <c r="AK251" t="s">
        <v>125</v>
      </c>
      <c r="AL251" t="s">
        <v>125</v>
      </c>
      <c r="AM251" t="s">
        <v>125</v>
      </c>
      <c r="AN251">
        <v>0.61203600000000002</v>
      </c>
      <c r="AO251">
        <v>61.203648999999999</v>
      </c>
      <c r="AP251">
        <v>100</v>
      </c>
      <c r="AQ251">
        <v>0.64147500000000002</v>
      </c>
      <c r="AR251">
        <v>64.147523000000007</v>
      </c>
      <c r="AS251">
        <v>100</v>
      </c>
      <c r="AT251">
        <v>0.59042099999999997</v>
      </c>
      <c r="AU251" t="s">
        <v>125</v>
      </c>
      <c r="AV251">
        <v>59.042121999999999</v>
      </c>
      <c r="AW251">
        <v>100</v>
      </c>
      <c r="AX251">
        <v>0.628104</v>
      </c>
      <c r="AY251" t="s">
        <v>125</v>
      </c>
      <c r="AZ251">
        <v>62.81044</v>
      </c>
      <c r="BA251">
        <v>100</v>
      </c>
      <c r="BB251">
        <v>0.58115600000000001</v>
      </c>
      <c r="BC251">
        <v>29.057801999999999</v>
      </c>
      <c r="BD251">
        <v>50</v>
      </c>
      <c r="BE251">
        <v>0.44972200000000001</v>
      </c>
      <c r="BF251">
        <v>22.486090999999998</v>
      </c>
      <c r="BG251">
        <v>50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 t="s">
        <v>125</v>
      </c>
      <c r="BR251">
        <v>0.136076</v>
      </c>
      <c r="BS251">
        <v>32.78481</v>
      </c>
      <c r="BT251">
        <v>50</v>
      </c>
      <c r="BU251">
        <v>0.13636400000000001</v>
      </c>
      <c r="BV251">
        <v>32.727272999999997</v>
      </c>
      <c r="BW251">
        <v>50</v>
      </c>
      <c r="BX251" t="s">
        <v>125</v>
      </c>
      <c r="BY251" t="s">
        <v>125</v>
      </c>
      <c r="BZ251" t="s">
        <v>125</v>
      </c>
      <c r="CA251" t="s">
        <v>125</v>
      </c>
      <c r="CB251" t="s">
        <v>125</v>
      </c>
      <c r="CC251" t="s">
        <v>125</v>
      </c>
      <c r="CD251" t="s">
        <v>125</v>
      </c>
      <c r="CE251" t="s">
        <v>125</v>
      </c>
      <c r="CF251" t="s">
        <v>125</v>
      </c>
      <c r="CG251" t="s">
        <v>125</v>
      </c>
      <c r="CH251" t="s">
        <v>125</v>
      </c>
      <c r="CI251" t="s">
        <v>125</v>
      </c>
      <c r="CJ251" t="s">
        <v>125</v>
      </c>
      <c r="CK251" t="s">
        <v>125</v>
      </c>
      <c r="CL251" t="s">
        <v>125</v>
      </c>
      <c r="CM251" t="s">
        <v>125</v>
      </c>
      <c r="CN251" t="s">
        <v>125</v>
      </c>
      <c r="CO251" t="s">
        <v>125</v>
      </c>
      <c r="CP251" t="s">
        <v>125</v>
      </c>
      <c r="CQ251">
        <v>0.91666700000000001</v>
      </c>
      <c r="CR251">
        <v>1.0120480000000001</v>
      </c>
      <c r="CS251">
        <v>50</v>
      </c>
      <c r="CT251">
        <v>50</v>
      </c>
      <c r="CU251" t="s">
        <v>125</v>
      </c>
      <c r="CV251" t="s">
        <v>125</v>
      </c>
      <c r="CW251" t="s">
        <v>125</v>
      </c>
      <c r="CX251" t="s">
        <v>125</v>
      </c>
      <c r="CY251" t="s">
        <v>125</v>
      </c>
      <c r="CZ251" t="s">
        <v>125</v>
      </c>
      <c r="DA251">
        <v>15.314097</v>
      </c>
      <c r="DB251">
        <v>17.400950000000002</v>
      </c>
      <c r="DC251">
        <v>16.332519999999999</v>
      </c>
      <c r="DD251" t="s">
        <v>125</v>
      </c>
      <c r="DE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Q251" t="s">
        <v>126</v>
      </c>
    </row>
    <row r="252" spans="1:121" x14ac:dyDescent="0.15">
      <c r="A252">
        <v>2018</v>
      </c>
      <c r="B252" t="s">
        <v>122</v>
      </c>
      <c r="C252" t="str">
        <f t="shared" si="2"/>
        <v>0150011</v>
      </c>
      <c r="D252" t="s">
        <v>388</v>
      </c>
      <c r="E252" t="str">
        <f>"0156211"</f>
        <v>0156211</v>
      </c>
      <c r="F252" t="s">
        <v>328</v>
      </c>
      <c r="G252">
        <v>9</v>
      </c>
      <c r="H252">
        <v>12</v>
      </c>
      <c r="J252" t="s">
        <v>331</v>
      </c>
      <c r="K252">
        <v>992.29208200000005</v>
      </c>
      <c r="L252">
        <v>1550</v>
      </c>
      <c r="M252">
        <v>64.018844000000001</v>
      </c>
      <c r="N252">
        <v>3</v>
      </c>
      <c r="O252">
        <v>0</v>
      </c>
      <c r="P252">
        <v>46.209259000000003</v>
      </c>
      <c r="Q252">
        <v>92.418519000000003</v>
      </c>
      <c r="R252">
        <v>150</v>
      </c>
      <c r="S252">
        <v>43.674773000000002</v>
      </c>
      <c r="T252">
        <v>52.297251000000003</v>
      </c>
      <c r="U252">
        <v>87.349547000000001</v>
      </c>
      <c r="V252">
        <v>150</v>
      </c>
      <c r="W252">
        <v>41.75</v>
      </c>
      <c r="X252">
        <v>83.5</v>
      </c>
      <c r="Y252">
        <v>150</v>
      </c>
      <c r="Z252">
        <v>46.683849000000002</v>
      </c>
      <c r="AA252">
        <v>39.695993999999999</v>
      </c>
      <c r="AB252">
        <v>79.391988999999995</v>
      </c>
      <c r="AC252">
        <v>150</v>
      </c>
      <c r="AD252">
        <v>43.713732999999998</v>
      </c>
      <c r="AE252">
        <v>58.284978000000002</v>
      </c>
      <c r="AF252">
        <v>100</v>
      </c>
      <c r="AG252">
        <v>40.795827000000003</v>
      </c>
      <c r="AH252">
        <v>50.778137999999998</v>
      </c>
      <c r="AI252">
        <v>54.394435999999999</v>
      </c>
      <c r="AJ252">
        <v>100</v>
      </c>
      <c r="AK252">
        <v>8.6199999999999992</v>
      </c>
      <c r="AL252">
        <v>6.98</v>
      </c>
      <c r="AM252">
        <v>9.98</v>
      </c>
      <c r="AN252" t="s">
        <v>125</v>
      </c>
      <c r="AO252" t="s">
        <v>125</v>
      </c>
      <c r="AP252" t="s">
        <v>125</v>
      </c>
      <c r="AQ252" t="s">
        <v>125</v>
      </c>
      <c r="AR252" t="s">
        <v>125</v>
      </c>
      <c r="AS252" t="s">
        <v>125</v>
      </c>
      <c r="AT252" t="s">
        <v>125</v>
      </c>
      <c r="AU252" t="s">
        <v>125</v>
      </c>
      <c r="AV252" t="s">
        <v>125</v>
      </c>
      <c r="AW252" t="s">
        <v>125</v>
      </c>
      <c r="AX252" t="s">
        <v>125</v>
      </c>
      <c r="AY252" t="s">
        <v>125</v>
      </c>
      <c r="AZ252" t="s">
        <v>125</v>
      </c>
      <c r="BA252" t="s">
        <v>125</v>
      </c>
      <c r="BB252">
        <v>0.53239099999999995</v>
      </c>
      <c r="BC252">
        <v>26.619547000000001</v>
      </c>
      <c r="BD252">
        <v>50</v>
      </c>
      <c r="BE252">
        <v>0.64473499999999995</v>
      </c>
      <c r="BF252">
        <v>32.236727999999999</v>
      </c>
      <c r="BG252">
        <v>50</v>
      </c>
      <c r="BH252">
        <v>1</v>
      </c>
      <c r="BI252">
        <v>0.92506500000000003</v>
      </c>
      <c r="BJ252">
        <v>0.90747299999999997</v>
      </c>
      <c r="BK252">
        <v>0.97169799999999995</v>
      </c>
      <c r="BL252">
        <v>0.92506500000000003</v>
      </c>
      <c r="BM252">
        <v>0.90747299999999997</v>
      </c>
      <c r="BN252">
        <v>0.97169799999999995</v>
      </c>
      <c r="BO252">
        <v>0.91989699999999996</v>
      </c>
      <c r="BP252">
        <v>0.90714300000000003</v>
      </c>
      <c r="BQ252">
        <v>0.95327099999999998</v>
      </c>
      <c r="BR252">
        <v>0.14494699999999999</v>
      </c>
      <c r="BS252">
        <v>31.010638</v>
      </c>
      <c r="BT252">
        <v>50</v>
      </c>
      <c r="BU252">
        <v>0.172538</v>
      </c>
      <c r="BV252">
        <v>25.492322000000001</v>
      </c>
      <c r="BW252">
        <v>50</v>
      </c>
      <c r="BX252">
        <v>0.44085999999999997</v>
      </c>
      <c r="BY252">
        <v>29.390681000000001</v>
      </c>
      <c r="BZ252">
        <v>50</v>
      </c>
      <c r="CA252">
        <v>0.20698900000000001</v>
      </c>
      <c r="CB252">
        <v>13.799283000000001</v>
      </c>
      <c r="CC252">
        <v>50</v>
      </c>
      <c r="CD252">
        <v>0.67519200000000001</v>
      </c>
      <c r="CE252">
        <v>35.914458000000003</v>
      </c>
      <c r="CF252">
        <v>50</v>
      </c>
      <c r="CG252">
        <v>0.78042999999999996</v>
      </c>
      <c r="CH252">
        <v>83.024424999999994</v>
      </c>
      <c r="CI252">
        <v>100</v>
      </c>
      <c r="CJ252">
        <v>0</v>
      </c>
      <c r="CK252">
        <v>0.80043900000000001</v>
      </c>
      <c r="CL252">
        <v>85.153041999999999</v>
      </c>
      <c r="CM252">
        <v>100</v>
      </c>
      <c r="CN252">
        <v>0.66180799999999995</v>
      </c>
      <c r="CO252">
        <v>88.241011</v>
      </c>
      <c r="CP252">
        <v>100</v>
      </c>
      <c r="CQ252">
        <v>0.93027199999999999</v>
      </c>
      <c r="CR252">
        <v>1.5555559999999999</v>
      </c>
      <c r="CS252">
        <v>50</v>
      </c>
      <c r="CT252">
        <v>50</v>
      </c>
      <c r="CU252">
        <v>0.43284600000000001</v>
      </c>
      <c r="CV252">
        <v>36.070478999999999</v>
      </c>
      <c r="CW252">
        <v>50</v>
      </c>
      <c r="CX252">
        <v>0.80043900000000001</v>
      </c>
      <c r="CY252" t="s">
        <v>125</v>
      </c>
      <c r="CZ252" t="s">
        <v>125</v>
      </c>
      <c r="DA252">
        <v>15.314097</v>
      </c>
      <c r="DB252">
        <v>17.400950000000002</v>
      </c>
      <c r="DC252">
        <v>16.332519999999999</v>
      </c>
      <c r="DD252">
        <v>7.9891730000000001</v>
      </c>
      <c r="DE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Q252" t="s">
        <v>126</v>
      </c>
    </row>
    <row r="253" spans="1:121" x14ac:dyDescent="0.15">
      <c r="A253">
        <v>2018</v>
      </c>
      <c r="B253" t="s">
        <v>122</v>
      </c>
      <c r="C253" t="str">
        <f t="shared" si="2"/>
        <v>0150011</v>
      </c>
      <c r="D253" t="s">
        <v>389</v>
      </c>
      <c r="E253" t="str">
        <f>"0151411"</f>
        <v>0151411</v>
      </c>
      <c r="F253" t="s">
        <v>328</v>
      </c>
      <c r="G253" t="s">
        <v>329</v>
      </c>
      <c r="H253">
        <v>8</v>
      </c>
      <c r="I253" t="s">
        <v>336</v>
      </c>
      <c r="J253" t="s">
        <v>331</v>
      </c>
      <c r="K253">
        <v>530.66235200000006</v>
      </c>
      <c r="L253">
        <v>1000</v>
      </c>
      <c r="M253">
        <v>53.066234999999999</v>
      </c>
      <c r="N253">
        <v>3</v>
      </c>
      <c r="O253">
        <v>0</v>
      </c>
      <c r="P253">
        <v>45.796461999999998</v>
      </c>
      <c r="Q253">
        <v>30.530975000000002</v>
      </c>
      <c r="R253">
        <v>50</v>
      </c>
      <c r="S253">
        <v>44.732616</v>
      </c>
      <c r="T253">
        <v>56.655723999999999</v>
      </c>
      <c r="U253">
        <v>29.821743999999999</v>
      </c>
      <c r="V253">
        <v>50</v>
      </c>
      <c r="W253">
        <v>37.23556</v>
      </c>
      <c r="X253">
        <v>24.823706999999999</v>
      </c>
      <c r="Y253">
        <v>50</v>
      </c>
      <c r="Z253">
        <v>43.069999000000003</v>
      </c>
      <c r="AA253">
        <v>36.682481000000003</v>
      </c>
      <c r="AB253">
        <v>24.454988</v>
      </c>
      <c r="AC253">
        <v>50</v>
      </c>
      <c r="AD253">
        <v>43.254828000000003</v>
      </c>
      <c r="AE253">
        <v>28.836552000000001</v>
      </c>
      <c r="AF253">
        <v>50</v>
      </c>
      <c r="AG253">
        <v>42.789194000000002</v>
      </c>
      <c r="AH253" t="s">
        <v>125</v>
      </c>
      <c r="AI253">
        <v>28.526129000000001</v>
      </c>
      <c r="AJ253">
        <v>50</v>
      </c>
      <c r="AK253">
        <v>11.92</v>
      </c>
      <c r="AL253">
        <v>6.38</v>
      </c>
      <c r="AM253" t="s">
        <v>125</v>
      </c>
      <c r="AN253">
        <v>0.47954599999999997</v>
      </c>
      <c r="AO253">
        <v>47.954583999999997</v>
      </c>
      <c r="AP253">
        <v>100</v>
      </c>
      <c r="AQ253">
        <v>0.48472900000000002</v>
      </c>
      <c r="AR253">
        <v>48.472935</v>
      </c>
      <c r="AS253">
        <v>100</v>
      </c>
      <c r="AT253">
        <v>0.47814499999999999</v>
      </c>
      <c r="AU253">
        <v>0.49176700000000001</v>
      </c>
      <c r="AV253">
        <v>47.814472000000002</v>
      </c>
      <c r="AW253">
        <v>100</v>
      </c>
      <c r="AX253">
        <v>0.49310900000000002</v>
      </c>
      <c r="AY253">
        <v>0.41089700000000001</v>
      </c>
      <c r="AZ253">
        <v>49.310856999999999</v>
      </c>
      <c r="BA253">
        <v>100</v>
      </c>
      <c r="BB253">
        <v>0.56602399999999997</v>
      </c>
      <c r="BC253">
        <v>28.301176999999999</v>
      </c>
      <c r="BD253">
        <v>50</v>
      </c>
      <c r="BE253">
        <v>0.42712299999999997</v>
      </c>
      <c r="BF253">
        <v>21.356169999999999</v>
      </c>
      <c r="BG253">
        <v>50</v>
      </c>
      <c r="BH253">
        <v>0</v>
      </c>
      <c r="BI253">
        <v>0.987097</v>
      </c>
      <c r="BJ253">
        <v>0.98744799999999999</v>
      </c>
      <c r="BK253">
        <v>0.98275900000000005</v>
      </c>
      <c r="BL253">
        <v>0.984456</v>
      </c>
      <c r="BM253">
        <v>0.98601399999999995</v>
      </c>
      <c r="BN253">
        <v>0.96491199999999999</v>
      </c>
      <c r="BO253">
        <v>0.98380599999999996</v>
      </c>
      <c r="BP253">
        <v>0.982684</v>
      </c>
      <c r="BQ253" t="s">
        <v>125</v>
      </c>
      <c r="BR253">
        <v>0.19464300000000001</v>
      </c>
      <c r="BS253">
        <v>21.071428999999998</v>
      </c>
      <c r="BT253">
        <v>50</v>
      </c>
      <c r="BU253">
        <v>0.20313999999999999</v>
      </c>
      <c r="BV253">
        <v>19.371932999999999</v>
      </c>
      <c r="BW253">
        <v>50</v>
      </c>
      <c r="BX253" t="s">
        <v>125</v>
      </c>
      <c r="BY253" t="s">
        <v>125</v>
      </c>
      <c r="BZ253" t="s">
        <v>125</v>
      </c>
      <c r="CA253" t="s">
        <v>125</v>
      </c>
      <c r="CB253" t="s">
        <v>125</v>
      </c>
      <c r="CC253" t="s">
        <v>125</v>
      </c>
      <c r="CD253">
        <v>0.730159</v>
      </c>
      <c r="CE253">
        <v>38.838230000000003</v>
      </c>
      <c r="CF253">
        <v>50</v>
      </c>
      <c r="CG253" t="s">
        <v>125</v>
      </c>
      <c r="CH253" t="s">
        <v>125</v>
      </c>
      <c r="CI253" t="s">
        <v>125</v>
      </c>
      <c r="CJ253" t="s">
        <v>125</v>
      </c>
      <c r="CK253" t="s">
        <v>125</v>
      </c>
      <c r="CL253" t="s">
        <v>125</v>
      </c>
      <c r="CM253" t="s">
        <v>125</v>
      </c>
      <c r="CN253" t="s">
        <v>125</v>
      </c>
      <c r="CO253" t="s">
        <v>125</v>
      </c>
      <c r="CP253" t="s">
        <v>125</v>
      </c>
      <c r="CQ253">
        <v>0.61764699999999995</v>
      </c>
      <c r="CR253">
        <v>0.93500000000000005</v>
      </c>
      <c r="CS253">
        <v>41.176470999999999</v>
      </c>
      <c r="CT253">
        <v>50</v>
      </c>
      <c r="CU253" t="s">
        <v>125</v>
      </c>
      <c r="CV253" t="s">
        <v>125</v>
      </c>
      <c r="CW253" t="s">
        <v>125</v>
      </c>
      <c r="CX253" t="s">
        <v>125</v>
      </c>
      <c r="CY253" t="s">
        <v>125</v>
      </c>
      <c r="CZ253" t="s">
        <v>125</v>
      </c>
      <c r="DA253">
        <v>15.314097</v>
      </c>
      <c r="DB253">
        <v>17.400950000000002</v>
      </c>
      <c r="DC253">
        <v>16.332519999999999</v>
      </c>
      <c r="DD253" t="s">
        <v>125</v>
      </c>
      <c r="DE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Q253" t="s">
        <v>126</v>
      </c>
    </row>
    <row r="254" spans="1:121" x14ac:dyDescent="0.15">
      <c r="A254">
        <v>2018</v>
      </c>
      <c r="B254" t="s">
        <v>122</v>
      </c>
      <c r="C254" t="str">
        <f t="shared" si="2"/>
        <v>0150011</v>
      </c>
      <c r="D254" t="s">
        <v>390</v>
      </c>
      <c r="E254" t="str">
        <f>"0152111"</f>
        <v>0152111</v>
      </c>
      <c r="F254" t="s">
        <v>328</v>
      </c>
      <c r="G254" t="s">
        <v>329</v>
      </c>
      <c r="H254">
        <v>8</v>
      </c>
      <c r="I254" t="s">
        <v>336</v>
      </c>
      <c r="J254" t="s">
        <v>331</v>
      </c>
      <c r="K254">
        <v>636.61969199999999</v>
      </c>
      <c r="L254">
        <v>1000</v>
      </c>
      <c r="M254">
        <v>63.661968999999999</v>
      </c>
      <c r="N254">
        <v>3</v>
      </c>
      <c r="O254">
        <v>0</v>
      </c>
      <c r="P254">
        <v>60.193451000000003</v>
      </c>
      <c r="Q254">
        <v>40.128967000000003</v>
      </c>
      <c r="R254">
        <v>50</v>
      </c>
      <c r="S254">
        <v>58.535738000000002</v>
      </c>
      <c r="T254">
        <v>66.299361000000005</v>
      </c>
      <c r="U254">
        <v>39.023825000000002</v>
      </c>
      <c r="V254">
        <v>50</v>
      </c>
      <c r="W254">
        <v>48.970407000000002</v>
      </c>
      <c r="X254">
        <v>32.646937999999999</v>
      </c>
      <c r="Y254">
        <v>50</v>
      </c>
      <c r="Z254">
        <v>54.345256999999997</v>
      </c>
      <c r="AA254">
        <v>47.511172000000002</v>
      </c>
      <c r="AB254">
        <v>31.674113999999999</v>
      </c>
      <c r="AC254">
        <v>50</v>
      </c>
      <c r="AD254">
        <v>58.865831</v>
      </c>
      <c r="AE254">
        <v>39.243887000000001</v>
      </c>
      <c r="AF254">
        <v>50</v>
      </c>
      <c r="AG254">
        <v>57.390501999999998</v>
      </c>
      <c r="AH254">
        <v>62.861513000000002</v>
      </c>
      <c r="AI254">
        <v>38.260334999999998</v>
      </c>
      <c r="AJ254">
        <v>50</v>
      </c>
      <c r="AK254">
        <v>7.76</v>
      </c>
      <c r="AL254">
        <v>6.83</v>
      </c>
      <c r="AM254">
        <v>5.47</v>
      </c>
      <c r="AN254">
        <v>0.49912000000000001</v>
      </c>
      <c r="AO254">
        <v>49.911996000000002</v>
      </c>
      <c r="AP254">
        <v>100</v>
      </c>
      <c r="AQ254">
        <v>0.35202699999999998</v>
      </c>
      <c r="AR254">
        <v>35.202719999999999</v>
      </c>
      <c r="AS254">
        <v>100</v>
      </c>
      <c r="AT254">
        <v>0.50739699999999999</v>
      </c>
      <c r="AU254">
        <v>0.46820899999999999</v>
      </c>
      <c r="AV254">
        <v>50.739660000000001</v>
      </c>
      <c r="AW254">
        <v>100</v>
      </c>
      <c r="AX254">
        <v>0.35245500000000002</v>
      </c>
      <c r="AY254">
        <v>0.35042800000000002</v>
      </c>
      <c r="AZ254">
        <v>35.245545</v>
      </c>
      <c r="BA254">
        <v>100</v>
      </c>
      <c r="BB254">
        <v>0.80502899999999999</v>
      </c>
      <c r="BC254">
        <v>40.251432999999999</v>
      </c>
      <c r="BD254">
        <v>50</v>
      </c>
      <c r="BE254">
        <v>0.65653899999999998</v>
      </c>
      <c r="BF254">
        <v>32.826926</v>
      </c>
      <c r="BG254">
        <v>50</v>
      </c>
      <c r="BH254">
        <v>0</v>
      </c>
      <c r="BI254">
        <v>0.99655199999999999</v>
      </c>
      <c r="BJ254">
        <v>0.995614</v>
      </c>
      <c r="BK254">
        <v>1</v>
      </c>
      <c r="BL254">
        <v>0.99655199999999999</v>
      </c>
      <c r="BM254">
        <v>0.995614</v>
      </c>
      <c r="BN254">
        <v>1</v>
      </c>
      <c r="BO254">
        <v>1</v>
      </c>
      <c r="BP254">
        <v>1</v>
      </c>
      <c r="BQ254">
        <v>1</v>
      </c>
      <c r="BR254">
        <v>6.0046000000000002E-2</v>
      </c>
      <c r="BS254">
        <v>47.990761999999997</v>
      </c>
      <c r="BT254">
        <v>50</v>
      </c>
      <c r="BU254">
        <v>6.2315000000000002E-2</v>
      </c>
      <c r="BV254">
        <v>47.537092000000001</v>
      </c>
      <c r="BW254">
        <v>50</v>
      </c>
      <c r="BX254" t="s">
        <v>125</v>
      </c>
      <c r="BY254" t="s">
        <v>125</v>
      </c>
      <c r="BZ254" t="s">
        <v>125</v>
      </c>
      <c r="CA254" t="s">
        <v>125</v>
      </c>
      <c r="CB254" t="s">
        <v>125</v>
      </c>
      <c r="CC254" t="s">
        <v>125</v>
      </c>
      <c r="CD254">
        <v>0.87804899999999997</v>
      </c>
      <c r="CE254">
        <v>46.704721999999997</v>
      </c>
      <c r="CF254">
        <v>50</v>
      </c>
      <c r="CG254" t="s">
        <v>125</v>
      </c>
      <c r="CH254" t="s">
        <v>125</v>
      </c>
      <c r="CI254" t="s">
        <v>125</v>
      </c>
      <c r="CJ254" t="s">
        <v>125</v>
      </c>
      <c r="CK254" t="s">
        <v>125</v>
      </c>
      <c r="CL254" t="s">
        <v>125</v>
      </c>
      <c r="CM254" t="s">
        <v>125</v>
      </c>
      <c r="CN254" t="s">
        <v>125</v>
      </c>
      <c r="CO254" t="s">
        <v>125</v>
      </c>
      <c r="CP254" t="s">
        <v>125</v>
      </c>
      <c r="CQ254">
        <v>0.43846200000000002</v>
      </c>
      <c r="CR254">
        <v>0.92198599999999997</v>
      </c>
      <c r="CS254">
        <v>29.230768999999999</v>
      </c>
      <c r="CT254">
        <v>50</v>
      </c>
      <c r="CU254" t="s">
        <v>125</v>
      </c>
      <c r="CV254" t="s">
        <v>125</v>
      </c>
      <c r="CW254" t="s">
        <v>125</v>
      </c>
      <c r="CX254" t="s">
        <v>125</v>
      </c>
      <c r="CY254" t="s">
        <v>125</v>
      </c>
      <c r="CZ254" t="s">
        <v>125</v>
      </c>
      <c r="DA254">
        <v>15.314097</v>
      </c>
      <c r="DB254">
        <v>17.400950000000002</v>
      </c>
      <c r="DC254">
        <v>16.332519999999999</v>
      </c>
      <c r="DD254" t="s">
        <v>125</v>
      </c>
      <c r="DE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Q254" t="s">
        <v>126</v>
      </c>
    </row>
    <row r="255" spans="1:121" x14ac:dyDescent="0.15">
      <c r="A255">
        <v>2018</v>
      </c>
      <c r="B255" t="s">
        <v>122</v>
      </c>
      <c r="C255" t="str">
        <f t="shared" si="2"/>
        <v>0150011</v>
      </c>
      <c r="D255" t="s">
        <v>391</v>
      </c>
      <c r="E255" t="str">
        <f>"0150511"</f>
        <v>0150511</v>
      </c>
      <c r="F255" t="s">
        <v>328</v>
      </c>
      <c r="G255" t="s">
        <v>329</v>
      </c>
      <c r="H255">
        <v>8</v>
      </c>
      <c r="I255" t="s">
        <v>336</v>
      </c>
      <c r="J255" t="s">
        <v>331</v>
      </c>
      <c r="K255">
        <v>468.88497000000001</v>
      </c>
      <c r="L255">
        <v>1000</v>
      </c>
      <c r="M255">
        <v>46.888497000000001</v>
      </c>
      <c r="N255">
        <v>3</v>
      </c>
      <c r="O255">
        <v>0</v>
      </c>
      <c r="P255">
        <v>45.598295</v>
      </c>
      <c r="Q255">
        <v>30.398862999999999</v>
      </c>
      <c r="R255">
        <v>50</v>
      </c>
      <c r="S255">
        <v>45.341061000000003</v>
      </c>
      <c r="T255">
        <v>48.720179000000002</v>
      </c>
      <c r="U255">
        <v>30.227374000000001</v>
      </c>
      <c r="V255">
        <v>50</v>
      </c>
      <c r="W255">
        <v>36.921863000000002</v>
      </c>
      <c r="X255">
        <v>24.614574999999999</v>
      </c>
      <c r="Y255">
        <v>50</v>
      </c>
      <c r="Z255">
        <v>38.158583</v>
      </c>
      <c r="AA255">
        <v>36.819960999999999</v>
      </c>
      <c r="AB255">
        <v>24.546641000000001</v>
      </c>
      <c r="AC255">
        <v>50</v>
      </c>
      <c r="AD255">
        <v>41.629309999999997</v>
      </c>
      <c r="AE255">
        <v>27.752873999999998</v>
      </c>
      <c r="AF255">
        <v>50</v>
      </c>
      <c r="AG255">
        <v>41.412273999999996</v>
      </c>
      <c r="AH255" t="s">
        <v>125</v>
      </c>
      <c r="AI255">
        <v>27.608183</v>
      </c>
      <c r="AJ255">
        <v>50</v>
      </c>
      <c r="AK255">
        <v>3.37</v>
      </c>
      <c r="AL255">
        <v>1.33</v>
      </c>
      <c r="AM255" t="s">
        <v>125</v>
      </c>
      <c r="AN255">
        <v>0.424124</v>
      </c>
      <c r="AO255">
        <v>42.412385999999998</v>
      </c>
      <c r="AP255">
        <v>100</v>
      </c>
      <c r="AQ255">
        <v>0.51102099999999995</v>
      </c>
      <c r="AR255">
        <v>51.102069</v>
      </c>
      <c r="AS255">
        <v>100</v>
      </c>
      <c r="AT255">
        <v>0.415767</v>
      </c>
      <c r="AU255">
        <v>0.49788300000000002</v>
      </c>
      <c r="AV255">
        <v>41.576689000000002</v>
      </c>
      <c r="AW255">
        <v>100</v>
      </c>
      <c r="AX255">
        <v>0.52282300000000004</v>
      </c>
      <c r="AY255">
        <v>0.40684999999999999</v>
      </c>
      <c r="AZ255">
        <v>52.282324000000003</v>
      </c>
      <c r="BA255">
        <v>100</v>
      </c>
      <c r="BB255">
        <v>0.50095299999999998</v>
      </c>
      <c r="BC255">
        <v>25.047656</v>
      </c>
      <c r="BD255">
        <v>50</v>
      </c>
      <c r="BE255">
        <v>0.39762500000000001</v>
      </c>
      <c r="BF255">
        <v>19.881239000000001</v>
      </c>
      <c r="BG255">
        <v>50</v>
      </c>
      <c r="BH255">
        <v>0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 t="s">
        <v>125</v>
      </c>
      <c r="BR255">
        <v>0.24956400000000001</v>
      </c>
      <c r="BS255">
        <v>10.087260000000001</v>
      </c>
      <c r="BT255">
        <v>50</v>
      </c>
      <c r="BU255">
        <v>0.25512099999999999</v>
      </c>
      <c r="BV255">
        <v>8.9757909999999992</v>
      </c>
      <c r="BW255">
        <v>50</v>
      </c>
      <c r="BX255" t="s">
        <v>125</v>
      </c>
      <c r="BY255" t="s">
        <v>125</v>
      </c>
      <c r="BZ255" t="s">
        <v>125</v>
      </c>
      <c r="CA255" t="s">
        <v>125</v>
      </c>
      <c r="CB255" t="s">
        <v>125</v>
      </c>
      <c r="CC255" t="s">
        <v>125</v>
      </c>
      <c r="CD255">
        <v>0.56410300000000002</v>
      </c>
      <c r="CE255">
        <v>30.005455999999999</v>
      </c>
      <c r="CF255">
        <v>50</v>
      </c>
      <c r="CG255" t="s">
        <v>125</v>
      </c>
      <c r="CH255" t="s">
        <v>125</v>
      </c>
      <c r="CI255" t="s">
        <v>125</v>
      </c>
      <c r="CJ255" t="s">
        <v>125</v>
      </c>
      <c r="CK255" t="s">
        <v>125</v>
      </c>
      <c r="CL255" t="s">
        <v>125</v>
      </c>
      <c r="CM255" t="s">
        <v>125</v>
      </c>
      <c r="CN255" t="s">
        <v>125</v>
      </c>
      <c r="CO255" t="s">
        <v>125</v>
      </c>
      <c r="CP255" t="s">
        <v>125</v>
      </c>
      <c r="CQ255">
        <v>0.67096800000000001</v>
      </c>
      <c r="CR255">
        <v>0.89595400000000003</v>
      </c>
      <c r="CS255">
        <v>22.365590999999998</v>
      </c>
      <c r="CT255">
        <v>50</v>
      </c>
      <c r="CU255" t="s">
        <v>125</v>
      </c>
      <c r="CV255" t="s">
        <v>125</v>
      </c>
      <c r="CW255" t="s">
        <v>125</v>
      </c>
      <c r="CX255" t="s">
        <v>125</v>
      </c>
      <c r="CY255" t="s">
        <v>125</v>
      </c>
      <c r="CZ255" t="s">
        <v>125</v>
      </c>
      <c r="DA255">
        <v>15.314097</v>
      </c>
      <c r="DB255">
        <v>17.400950000000002</v>
      </c>
      <c r="DC255">
        <v>16.332519999999999</v>
      </c>
      <c r="DD255" t="s">
        <v>125</v>
      </c>
      <c r="DE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Q255" t="s">
        <v>126</v>
      </c>
    </row>
    <row r="256" spans="1:121" x14ac:dyDescent="0.15">
      <c r="A256">
        <v>2018</v>
      </c>
      <c r="B256" t="s">
        <v>122</v>
      </c>
      <c r="C256" t="str">
        <f t="shared" si="2"/>
        <v>0150011</v>
      </c>
      <c r="D256" t="s">
        <v>392</v>
      </c>
      <c r="E256" t="str">
        <f>"0150711"</f>
        <v>0150711</v>
      </c>
      <c r="F256" t="s">
        <v>328</v>
      </c>
      <c r="G256" t="s">
        <v>339</v>
      </c>
      <c r="H256">
        <v>6</v>
      </c>
      <c r="I256" t="s">
        <v>336</v>
      </c>
      <c r="J256" t="s">
        <v>331</v>
      </c>
      <c r="K256">
        <v>376.96737400000001</v>
      </c>
      <c r="L256">
        <v>800</v>
      </c>
      <c r="M256">
        <v>47.120922</v>
      </c>
      <c r="N256">
        <v>3</v>
      </c>
      <c r="O256">
        <v>0</v>
      </c>
      <c r="P256">
        <v>49.044060999999999</v>
      </c>
      <c r="Q256">
        <v>32.696041000000001</v>
      </c>
      <c r="R256">
        <v>50</v>
      </c>
      <c r="S256">
        <v>46.929056000000003</v>
      </c>
      <c r="T256">
        <v>56.158169999999998</v>
      </c>
      <c r="U256">
        <v>31.286037</v>
      </c>
      <c r="V256">
        <v>50</v>
      </c>
      <c r="W256">
        <v>41.579937000000001</v>
      </c>
      <c r="X256">
        <v>27.719957999999998</v>
      </c>
      <c r="Y256">
        <v>50</v>
      </c>
      <c r="Z256">
        <v>51.656877000000001</v>
      </c>
      <c r="AA256">
        <v>38.543052000000003</v>
      </c>
      <c r="AB256">
        <v>25.695367999999998</v>
      </c>
      <c r="AC256">
        <v>50</v>
      </c>
      <c r="AD256">
        <v>49.003225999999998</v>
      </c>
      <c r="AE256">
        <v>32.668816999999997</v>
      </c>
      <c r="AF256">
        <v>50</v>
      </c>
      <c r="AG256" t="s">
        <v>125</v>
      </c>
      <c r="AH256" t="s">
        <v>125</v>
      </c>
      <c r="AI256" t="s">
        <v>125</v>
      </c>
      <c r="AJ256" t="s">
        <v>125</v>
      </c>
      <c r="AK256">
        <v>9.2200000000000006</v>
      </c>
      <c r="AL256">
        <v>13.11</v>
      </c>
      <c r="AM256" t="s">
        <v>125</v>
      </c>
      <c r="AN256">
        <v>0.370118</v>
      </c>
      <c r="AO256">
        <v>37.011771000000003</v>
      </c>
      <c r="AP256">
        <v>100</v>
      </c>
      <c r="AQ256">
        <v>0.48557400000000001</v>
      </c>
      <c r="AR256">
        <v>48.557400999999999</v>
      </c>
      <c r="AS256">
        <v>100</v>
      </c>
      <c r="AT256">
        <v>0.36304799999999998</v>
      </c>
      <c r="AU256" t="s">
        <v>125</v>
      </c>
      <c r="AV256">
        <v>36.304751000000003</v>
      </c>
      <c r="AW256">
        <v>100</v>
      </c>
      <c r="AX256">
        <v>0.50138199999999999</v>
      </c>
      <c r="AY256" t="s">
        <v>125</v>
      </c>
      <c r="AZ256">
        <v>50.138191999999997</v>
      </c>
      <c r="BA256">
        <v>100</v>
      </c>
      <c r="BB256" t="s">
        <v>125</v>
      </c>
      <c r="BC256" t="s">
        <v>125</v>
      </c>
      <c r="BD256" t="s">
        <v>125</v>
      </c>
      <c r="BE256" t="s">
        <v>125</v>
      </c>
      <c r="BF256" t="s">
        <v>125</v>
      </c>
      <c r="BG256" t="s">
        <v>125</v>
      </c>
      <c r="BH256">
        <v>0</v>
      </c>
      <c r="BI256">
        <v>1</v>
      </c>
      <c r="BJ256">
        <v>1</v>
      </c>
      <c r="BK256">
        <v>1</v>
      </c>
      <c r="BL256">
        <v>0.99107100000000004</v>
      </c>
      <c r="BM256">
        <v>1</v>
      </c>
      <c r="BN256">
        <v>0.96296300000000001</v>
      </c>
      <c r="BO256">
        <v>1</v>
      </c>
      <c r="BP256" t="s">
        <v>125</v>
      </c>
      <c r="BQ256" t="s">
        <v>125</v>
      </c>
      <c r="BR256">
        <v>0.22033900000000001</v>
      </c>
      <c r="BS256">
        <v>15.932202999999999</v>
      </c>
      <c r="BT256">
        <v>50</v>
      </c>
      <c r="BU256">
        <v>0.230216</v>
      </c>
      <c r="BV256">
        <v>13.956835</v>
      </c>
      <c r="BW256">
        <v>50</v>
      </c>
      <c r="BX256" t="s">
        <v>125</v>
      </c>
      <c r="BY256" t="s">
        <v>125</v>
      </c>
      <c r="BZ256" t="s">
        <v>125</v>
      </c>
      <c r="CA256" t="s">
        <v>125</v>
      </c>
      <c r="CB256" t="s">
        <v>125</v>
      </c>
      <c r="CC256" t="s">
        <v>125</v>
      </c>
      <c r="CD256" t="s">
        <v>125</v>
      </c>
      <c r="CE256" t="s">
        <v>125</v>
      </c>
      <c r="CF256" t="s">
        <v>125</v>
      </c>
      <c r="CG256" t="s">
        <v>125</v>
      </c>
      <c r="CH256" t="s">
        <v>125</v>
      </c>
      <c r="CI256" t="s">
        <v>125</v>
      </c>
      <c r="CJ256" t="s">
        <v>125</v>
      </c>
      <c r="CK256" t="s">
        <v>125</v>
      </c>
      <c r="CL256" t="s">
        <v>125</v>
      </c>
      <c r="CM256" t="s">
        <v>125</v>
      </c>
      <c r="CN256" t="s">
        <v>125</v>
      </c>
      <c r="CO256" t="s">
        <v>125</v>
      </c>
      <c r="CP256" t="s">
        <v>125</v>
      </c>
      <c r="CQ256">
        <v>0.86956500000000003</v>
      </c>
      <c r="CR256">
        <v>0.85185200000000005</v>
      </c>
      <c r="CS256">
        <v>25</v>
      </c>
      <c r="CT256">
        <v>50</v>
      </c>
      <c r="CU256" t="s">
        <v>125</v>
      </c>
      <c r="CV256" t="s">
        <v>125</v>
      </c>
      <c r="CW256" t="s">
        <v>125</v>
      </c>
      <c r="CX256" t="s">
        <v>125</v>
      </c>
      <c r="CY256" t="s">
        <v>125</v>
      </c>
      <c r="CZ256" t="s">
        <v>125</v>
      </c>
      <c r="DA256">
        <v>15.314097</v>
      </c>
      <c r="DB256">
        <v>17.400950000000002</v>
      </c>
      <c r="DC256">
        <v>16.332519999999999</v>
      </c>
      <c r="DD256" t="s">
        <v>125</v>
      </c>
      <c r="DE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Q256" t="s">
        <v>126</v>
      </c>
    </row>
    <row r="257" spans="1:121" x14ac:dyDescent="0.15">
      <c r="A257">
        <v>2018</v>
      </c>
      <c r="B257" t="s">
        <v>122</v>
      </c>
      <c r="C257" t="str">
        <f t="shared" si="2"/>
        <v>0150011</v>
      </c>
      <c r="D257" t="s">
        <v>393</v>
      </c>
      <c r="E257" t="str">
        <f>"0153111"</f>
        <v>0153111</v>
      </c>
      <c r="F257" t="s">
        <v>328</v>
      </c>
      <c r="G257" t="s">
        <v>329</v>
      </c>
      <c r="H257">
        <v>8</v>
      </c>
      <c r="I257" t="s">
        <v>336</v>
      </c>
      <c r="J257" t="s">
        <v>331</v>
      </c>
      <c r="K257">
        <v>533.81730300000004</v>
      </c>
      <c r="L257">
        <v>1000</v>
      </c>
      <c r="M257">
        <v>53.381729999999997</v>
      </c>
      <c r="N257">
        <v>3</v>
      </c>
      <c r="O257">
        <v>0</v>
      </c>
      <c r="P257">
        <v>52.173029999999997</v>
      </c>
      <c r="Q257">
        <v>34.782020000000003</v>
      </c>
      <c r="R257">
        <v>50</v>
      </c>
      <c r="S257">
        <v>52.093575000000001</v>
      </c>
      <c r="T257" t="s">
        <v>125</v>
      </c>
      <c r="U257">
        <v>34.729050000000001</v>
      </c>
      <c r="V257">
        <v>50</v>
      </c>
      <c r="W257">
        <v>44.139704000000002</v>
      </c>
      <c r="X257">
        <v>29.426469999999998</v>
      </c>
      <c r="Y257">
        <v>50</v>
      </c>
      <c r="Z257" t="s">
        <v>125</v>
      </c>
      <c r="AA257">
        <v>44.246206999999998</v>
      </c>
      <c r="AB257">
        <v>29.497471000000001</v>
      </c>
      <c r="AC257">
        <v>50</v>
      </c>
      <c r="AD257">
        <v>46.942714000000002</v>
      </c>
      <c r="AE257">
        <v>31.295142999999999</v>
      </c>
      <c r="AF257">
        <v>50</v>
      </c>
      <c r="AG257">
        <v>47.617770999999998</v>
      </c>
      <c r="AH257" t="s">
        <v>125</v>
      </c>
      <c r="AI257">
        <v>31.745180999999999</v>
      </c>
      <c r="AJ257">
        <v>50</v>
      </c>
      <c r="AK257" t="s">
        <v>125</v>
      </c>
      <c r="AL257" t="s">
        <v>125</v>
      </c>
      <c r="AM257" t="s">
        <v>125</v>
      </c>
      <c r="AN257">
        <v>0.55256700000000003</v>
      </c>
      <c r="AO257">
        <v>55.256667999999998</v>
      </c>
      <c r="AP257">
        <v>100</v>
      </c>
      <c r="AQ257">
        <v>0.499697</v>
      </c>
      <c r="AR257">
        <v>49.969735</v>
      </c>
      <c r="AS257">
        <v>100</v>
      </c>
      <c r="AT257">
        <v>0.55148399999999997</v>
      </c>
      <c r="AU257" t="s">
        <v>125</v>
      </c>
      <c r="AV257">
        <v>55.148394000000003</v>
      </c>
      <c r="AW257">
        <v>100</v>
      </c>
      <c r="AX257">
        <v>0.50232600000000005</v>
      </c>
      <c r="AY257" t="s">
        <v>125</v>
      </c>
      <c r="AZ257">
        <v>50.232599999999998</v>
      </c>
      <c r="BA257">
        <v>100</v>
      </c>
      <c r="BB257">
        <v>0.57586400000000004</v>
      </c>
      <c r="BC257">
        <v>28.793178000000001</v>
      </c>
      <c r="BD257">
        <v>50</v>
      </c>
      <c r="BE257">
        <v>0.549929</v>
      </c>
      <c r="BF257">
        <v>27.496454</v>
      </c>
      <c r="BG257">
        <v>50</v>
      </c>
      <c r="BH257">
        <v>0</v>
      </c>
      <c r="BI257">
        <v>0.99315100000000001</v>
      </c>
      <c r="BJ257">
        <v>0.99267399999999995</v>
      </c>
      <c r="BK257" t="s">
        <v>125</v>
      </c>
      <c r="BL257">
        <v>0.99315100000000001</v>
      </c>
      <c r="BM257">
        <v>0.99267399999999995</v>
      </c>
      <c r="BN257" t="s">
        <v>125</v>
      </c>
      <c r="BO257">
        <v>0.98924699999999999</v>
      </c>
      <c r="BP257">
        <v>0.98876399999999998</v>
      </c>
      <c r="BQ257" t="s">
        <v>125</v>
      </c>
      <c r="BR257">
        <v>0.22802900000000001</v>
      </c>
      <c r="BS257">
        <v>14.394299</v>
      </c>
      <c r="BT257">
        <v>50</v>
      </c>
      <c r="BU257">
        <v>0.23333300000000001</v>
      </c>
      <c r="BV257">
        <v>13.333333</v>
      </c>
      <c r="BW257">
        <v>50</v>
      </c>
      <c r="BX257" t="s">
        <v>125</v>
      </c>
      <c r="BY257" t="s">
        <v>125</v>
      </c>
      <c r="BZ257" t="s">
        <v>125</v>
      </c>
      <c r="CA257" t="s">
        <v>125</v>
      </c>
      <c r="CB257" t="s">
        <v>125</v>
      </c>
      <c r="CC257" t="s">
        <v>125</v>
      </c>
      <c r="CD257">
        <v>0.68181800000000004</v>
      </c>
      <c r="CE257">
        <v>36.266925000000001</v>
      </c>
      <c r="CF257">
        <v>50</v>
      </c>
      <c r="CG257" t="s">
        <v>125</v>
      </c>
      <c r="CH257" t="s">
        <v>125</v>
      </c>
      <c r="CI257" t="s">
        <v>125</v>
      </c>
      <c r="CJ257" t="s">
        <v>125</v>
      </c>
      <c r="CK257" t="s">
        <v>125</v>
      </c>
      <c r="CL257" t="s">
        <v>125</v>
      </c>
      <c r="CM257" t="s">
        <v>125</v>
      </c>
      <c r="CN257" t="s">
        <v>125</v>
      </c>
      <c r="CO257" t="s">
        <v>125</v>
      </c>
      <c r="CP257" t="s">
        <v>125</v>
      </c>
      <c r="CQ257">
        <v>0.34351100000000001</v>
      </c>
      <c r="CR257">
        <v>0.861842</v>
      </c>
      <c r="CS257">
        <v>11.450381999999999</v>
      </c>
      <c r="CT257">
        <v>50</v>
      </c>
      <c r="CU257" t="s">
        <v>125</v>
      </c>
      <c r="CV257" t="s">
        <v>125</v>
      </c>
      <c r="CW257" t="s">
        <v>125</v>
      </c>
      <c r="CX257" t="s">
        <v>125</v>
      </c>
      <c r="CY257" t="s">
        <v>125</v>
      </c>
      <c r="CZ257" t="s">
        <v>125</v>
      </c>
      <c r="DA257">
        <v>15.314097</v>
      </c>
      <c r="DB257">
        <v>17.400950000000002</v>
      </c>
      <c r="DC257">
        <v>16.332519999999999</v>
      </c>
      <c r="DD257" t="s">
        <v>125</v>
      </c>
      <c r="DE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Q257" t="s">
        <v>126</v>
      </c>
    </row>
    <row r="258" spans="1:121" x14ac:dyDescent="0.15">
      <c r="A258">
        <v>2018</v>
      </c>
      <c r="B258" t="s">
        <v>122</v>
      </c>
      <c r="C258" t="str">
        <f t="shared" si="2"/>
        <v>0150011</v>
      </c>
      <c r="D258" t="s">
        <v>394</v>
      </c>
      <c r="E258" t="str">
        <f>"0153211"</f>
        <v>0153211</v>
      </c>
      <c r="F258" t="s">
        <v>328</v>
      </c>
      <c r="G258" t="s">
        <v>329</v>
      </c>
      <c r="H258">
        <v>8</v>
      </c>
      <c r="I258" t="s">
        <v>336</v>
      </c>
      <c r="J258" t="s">
        <v>331</v>
      </c>
      <c r="K258">
        <v>584.49403099999995</v>
      </c>
      <c r="L258">
        <v>1000</v>
      </c>
      <c r="M258">
        <v>58.449402999999997</v>
      </c>
      <c r="N258">
        <v>3</v>
      </c>
      <c r="O258">
        <v>0</v>
      </c>
      <c r="P258">
        <v>54.400610999999998</v>
      </c>
      <c r="Q258">
        <v>36.267074000000001</v>
      </c>
      <c r="R258">
        <v>50</v>
      </c>
      <c r="S258">
        <v>52.991059999999997</v>
      </c>
      <c r="T258">
        <v>64.290199999999999</v>
      </c>
      <c r="U258">
        <v>35.327373999999999</v>
      </c>
      <c r="V258">
        <v>50</v>
      </c>
      <c r="W258">
        <v>48.124561999999997</v>
      </c>
      <c r="X258">
        <v>32.083041000000001</v>
      </c>
      <c r="Y258">
        <v>50</v>
      </c>
      <c r="Z258">
        <v>57.310054999999998</v>
      </c>
      <c r="AA258">
        <v>46.809317999999998</v>
      </c>
      <c r="AB258">
        <v>31.206212000000001</v>
      </c>
      <c r="AC258">
        <v>50</v>
      </c>
      <c r="AD258">
        <v>52.178350999999999</v>
      </c>
      <c r="AE258">
        <v>34.785567</v>
      </c>
      <c r="AF258">
        <v>50</v>
      </c>
      <c r="AG258">
        <v>50.468755000000002</v>
      </c>
      <c r="AH258">
        <v>63.104899000000003</v>
      </c>
      <c r="AI258">
        <v>33.645837</v>
      </c>
      <c r="AJ258">
        <v>50</v>
      </c>
      <c r="AK258">
        <v>11.29</v>
      </c>
      <c r="AL258">
        <v>10.5</v>
      </c>
      <c r="AM258">
        <v>12.63</v>
      </c>
      <c r="AN258">
        <v>0.45264900000000002</v>
      </c>
      <c r="AO258">
        <v>45.264935000000001</v>
      </c>
      <c r="AP258">
        <v>100</v>
      </c>
      <c r="AQ258">
        <v>0.52004600000000001</v>
      </c>
      <c r="AR258">
        <v>52.004590999999998</v>
      </c>
      <c r="AS258">
        <v>100</v>
      </c>
      <c r="AT258">
        <v>0.42984800000000001</v>
      </c>
      <c r="AU258">
        <v>0.58345899999999995</v>
      </c>
      <c r="AV258">
        <v>42.984771000000002</v>
      </c>
      <c r="AW258">
        <v>100</v>
      </c>
      <c r="AX258">
        <v>0.496838</v>
      </c>
      <c r="AY258">
        <v>0.65277700000000005</v>
      </c>
      <c r="AZ258">
        <v>49.683832000000002</v>
      </c>
      <c r="BA258">
        <v>100</v>
      </c>
      <c r="BB258">
        <v>0.59051399999999998</v>
      </c>
      <c r="BC258">
        <v>29.525686</v>
      </c>
      <c r="BD258">
        <v>50</v>
      </c>
      <c r="BE258">
        <v>0.51678100000000005</v>
      </c>
      <c r="BF258">
        <v>25.839058999999999</v>
      </c>
      <c r="BG258">
        <v>50</v>
      </c>
      <c r="BH258">
        <v>0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9.9489999999999995E-2</v>
      </c>
      <c r="BS258">
        <v>40.102041</v>
      </c>
      <c r="BT258">
        <v>50</v>
      </c>
      <c r="BU258">
        <v>0.10465099999999999</v>
      </c>
      <c r="BV258">
        <v>39.069766999999999</v>
      </c>
      <c r="BW258">
        <v>50</v>
      </c>
      <c r="BX258" t="s">
        <v>125</v>
      </c>
      <c r="BY258" t="s">
        <v>125</v>
      </c>
      <c r="BZ258" t="s">
        <v>125</v>
      </c>
      <c r="CA258" t="s">
        <v>125</v>
      </c>
      <c r="CB258" t="s">
        <v>125</v>
      </c>
      <c r="CC258" t="s">
        <v>125</v>
      </c>
      <c r="CD258">
        <v>0.79746799999999995</v>
      </c>
      <c r="CE258">
        <v>42.418528999999999</v>
      </c>
      <c r="CF258">
        <v>50</v>
      </c>
      <c r="CG258" t="s">
        <v>125</v>
      </c>
      <c r="CH258" t="s">
        <v>125</v>
      </c>
      <c r="CI258" t="s">
        <v>125</v>
      </c>
      <c r="CJ258" t="s">
        <v>125</v>
      </c>
      <c r="CK258" t="s">
        <v>125</v>
      </c>
      <c r="CL258" t="s">
        <v>125</v>
      </c>
      <c r="CM258" t="s">
        <v>125</v>
      </c>
      <c r="CN258" t="s">
        <v>125</v>
      </c>
      <c r="CO258" t="s">
        <v>125</v>
      </c>
      <c r="CP258" t="s">
        <v>125</v>
      </c>
      <c r="CQ258">
        <v>0.42857099999999998</v>
      </c>
      <c r="CR258">
        <v>0.89090899999999995</v>
      </c>
      <c r="CS258">
        <v>14.285714</v>
      </c>
      <c r="CT258">
        <v>50</v>
      </c>
      <c r="CU258" t="s">
        <v>125</v>
      </c>
      <c r="CV258" t="s">
        <v>125</v>
      </c>
      <c r="CW258" t="s">
        <v>125</v>
      </c>
      <c r="CX258" t="s">
        <v>125</v>
      </c>
      <c r="CY258" t="s">
        <v>125</v>
      </c>
      <c r="CZ258" t="s">
        <v>125</v>
      </c>
      <c r="DA258">
        <v>15.314097</v>
      </c>
      <c r="DB258">
        <v>17.400950000000002</v>
      </c>
      <c r="DC258">
        <v>16.332519999999999</v>
      </c>
      <c r="DD258" t="s">
        <v>125</v>
      </c>
      <c r="DE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Q258" t="s">
        <v>126</v>
      </c>
    </row>
    <row r="259" spans="1:121" x14ac:dyDescent="0.15">
      <c r="A259">
        <v>2018</v>
      </c>
      <c r="B259" t="s">
        <v>122</v>
      </c>
      <c r="C259" t="str">
        <f t="shared" si="2"/>
        <v>0150011</v>
      </c>
      <c r="D259" t="s">
        <v>395</v>
      </c>
      <c r="E259" t="str">
        <f>"0151111"</f>
        <v>0151111</v>
      </c>
      <c r="F259" t="s">
        <v>328</v>
      </c>
      <c r="G259" t="s">
        <v>339</v>
      </c>
      <c r="H259">
        <v>6</v>
      </c>
      <c r="I259" t="s">
        <v>336</v>
      </c>
      <c r="J259" t="s">
        <v>331</v>
      </c>
      <c r="K259">
        <v>494.812074</v>
      </c>
      <c r="L259">
        <v>800</v>
      </c>
      <c r="M259">
        <v>61.851509</v>
      </c>
      <c r="N259">
        <v>3</v>
      </c>
      <c r="O259">
        <v>0</v>
      </c>
      <c r="P259">
        <v>58.683036999999999</v>
      </c>
      <c r="Q259">
        <v>39.122024000000003</v>
      </c>
      <c r="R259">
        <v>50</v>
      </c>
      <c r="S259">
        <v>57.182355999999999</v>
      </c>
      <c r="T259" t="s">
        <v>125</v>
      </c>
      <c r="U259">
        <v>38.121571000000003</v>
      </c>
      <c r="V259">
        <v>50</v>
      </c>
      <c r="W259">
        <v>48.392864000000003</v>
      </c>
      <c r="X259">
        <v>32.261909000000003</v>
      </c>
      <c r="Y259">
        <v>50</v>
      </c>
      <c r="Z259" t="s">
        <v>125</v>
      </c>
      <c r="AA259">
        <v>46.618034999999999</v>
      </c>
      <c r="AB259">
        <v>31.078690000000002</v>
      </c>
      <c r="AC259">
        <v>50</v>
      </c>
      <c r="AD259">
        <v>54.120617000000003</v>
      </c>
      <c r="AE259">
        <v>36.080410999999998</v>
      </c>
      <c r="AF259">
        <v>50</v>
      </c>
      <c r="AG259" t="s">
        <v>125</v>
      </c>
      <c r="AH259" t="s">
        <v>125</v>
      </c>
      <c r="AI259" t="s">
        <v>125</v>
      </c>
      <c r="AJ259" t="s">
        <v>125</v>
      </c>
      <c r="AK259" t="s">
        <v>125</v>
      </c>
      <c r="AL259" t="s">
        <v>125</v>
      </c>
      <c r="AM259" t="s">
        <v>125</v>
      </c>
      <c r="AN259">
        <v>0.51975300000000002</v>
      </c>
      <c r="AO259">
        <v>51.975333999999997</v>
      </c>
      <c r="AP259">
        <v>100</v>
      </c>
      <c r="AQ259">
        <v>0.42424200000000001</v>
      </c>
      <c r="AR259">
        <v>42.424218000000003</v>
      </c>
      <c r="AS259">
        <v>100</v>
      </c>
      <c r="AT259">
        <v>0.53251400000000004</v>
      </c>
      <c r="AU259" t="s">
        <v>125</v>
      </c>
      <c r="AV259">
        <v>53.251362999999998</v>
      </c>
      <c r="AW259">
        <v>100</v>
      </c>
      <c r="AX259">
        <v>0.43240099999999998</v>
      </c>
      <c r="AY259" t="s">
        <v>125</v>
      </c>
      <c r="AZ259">
        <v>43.240138999999999</v>
      </c>
      <c r="BA259">
        <v>100</v>
      </c>
      <c r="BB259" t="s">
        <v>125</v>
      </c>
      <c r="BC259" t="s">
        <v>125</v>
      </c>
      <c r="BD259" t="s">
        <v>125</v>
      </c>
      <c r="BE259" t="s">
        <v>125</v>
      </c>
      <c r="BF259" t="s">
        <v>125</v>
      </c>
      <c r="BG259" t="s">
        <v>125</v>
      </c>
      <c r="BH259">
        <v>0</v>
      </c>
      <c r="BI259">
        <v>1</v>
      </c>
      <c r="BJ259">
        <v>1</v>
      </c>
      <c r="BK259" t="s">
        <v>125</v>
      </c>
      <c r="BL259">
        <v>1</v>
      </c>
      <c r="BM259">
        <v>1</v>
      </c>
      <c r="BN259" t="s">
        <v>125</v>
      </c>
      <c r="BO259">
        <v>1</v>
      </c>
      <c r="BP259">
        <v>1</v>
      </c>
      <c r="BQ259" t="s">
        <v>125</v>
      </c>
      <c r="BR259">
        <v>6.2176000000000002E-2</v>
      </c>
      <c r="BS259">
        <v>47.564767000000003</v>
      </c>
      <c r="BT259">
        <v>50</v>
      </c>
      <c r="BU259">
        <v>6.5476000000000006E-2</v>
      </c>
      <c r="BV259">
        <v>46.904761999999998</v>
      </c>
      <c r="BW259">
        <v>50</v>
      </c>
      <c r="BX259" t="s">
        <v>125</v>
      </c>
      <c r="BY259" t="s">
        <v>125</v>
      </c>
      <c r="BZ259" t="s">
        <v>125</v>
      </c>
      <c r="CA259" t="s">
        <v>125</v>
      </c>
      <c r="CB259" t="s">
        <v>125</v>
      </c>
      <c r="CC259" t="s">
        <v>125</v>
      </c>
      <c r="CD259" t="s">
        <v>125</v>
      </c>
      <c r="CE259" t="s">
        <v>125</v>
      </c>
      <c r="CF259" t="s">
        <v>125</v>
      </c>
      <c r="CG259" t="s">
        <v>125</v>
      </c>
      <c r="CH259" t="s">
        <v>125</v>
      </c>
      <c r="CI259" t="s">
        <v>125</v>
      </c>
      <c r="CJ259" t="s">
        <v>125</v>
      </c>
      <c r="CK259" t="s">
        <v>125</v>
      </c>
      <c r="CL259" t="s">
        <v>125</v>
      </c>
      <c r="CM259" t="s">
        <v>125</v>
      </c>
      <c r="CN259" t="s">
        <v>125</v>
      </c>
      <c r="CO259" t="s">
        <v>125</v>
      </c>
      <c r="CP259" t="s">
        <v>125</v>
      </c>
      <c r="CQ259">
        <v>0.49180299999999999</v>
      </c>
      <c r="CR259">
        <v>1</v>
      </c>
      <c r="CS259">
        <v>32.786884999999998</v>
      </c>
      <c r="CT259">
        <v>50</v>
      </c>
      <c r="CU259" t="s">
        <v>125</v>
      </c>
      <c r="CV259" t="s">
        <v>125</v>
      </c>
      <c r="CW259" t="s">
        <v>125</v>
      </c>
      <c r="CX259" t="s">
        <v>125</v>
      </c>
      <c r="CY259" t="s">
        <v>125</v>
      </c>
      <c r="CZ259" t="s">
        <v>125</v>
      </c>
      <c r="DA259">
        <v>15.314097</v>
      </c>
      <c r="DB259">
        <v>17.400950000000002</v>
      </c>
      <c r="DC259">
        <v>16.332519999999999</v>
      </c>
      <c r="DD259" t="s">
        <v>125</v>
      </c>
      <c r="DE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Q259" t="s">
        <v>126</v>
      </c>
    </row>
    <row r="260" spans="1:121" x14ac:dyDescent="0.15">
      <c r="A260">
        <v>2018</v>
      </c>
      <c r="B260" t="s">
        <v>122</v>
      </c>
      <c r="C260" t="str">
        <f t="shared" si="2"/>
        <v>0150011</v>
      </c>
      <c r="D260" t="s">
        <v>396</v>
      </c>
      <c r="E260" t="str">
        <f>"0151211"</f>
        <v>0151211</v>
      </c>
      <c r="F260" t="s">
        <v>328</v>
      </c>
      <c r="G260" t="s">
        <v>329</v>
      </c>
      <c r="H260">
        <v>6</v>
      </c>
      <c r="I260" t="s">
        <v>336</v>
      </c>
      <c r="J260" t="s">
        <v>331</v>
      </c>
      <c r="K260">
        <v>549.80839400000002</v>
      </c>
      <c r="L260">
        <v>850</v>
      </c>
      <c r="M260">
        <v>64.683340000000001</v>
      </c>
      <c r="N260">
        <v>3</v>
      </c>
      <c r="O260">
        <v>0</v>
      </c>
      <c r="P260">
        <v>58.073183</v>
      </c>
      <c r="Q260">
        <v>38.715454999999999</v>
      </c>
      <c r="R260">
        <v>50</v>
      </c>
      <c r="S260">
        <v>56.695630999999999</v>
      </c>
      <c r="T260">
        <v>64.661472000000003</v>
      </c>
      <c r="U260">
        <v>37.797086999999998</v>
      </c>
      <c r="V260">
        <v>50</v>
      </c>
      <c r="W260">
        <v>51.761949999999999</v>
      </c>
      <c r="X260">
        <v>34.507967000000001</v>
      </c>
      <c r="Y260">
        <v>50</v>
      </c>
      <c r="Z260">
        <v>61.080100000000002</v>
      </c>
      <c r="AA260">
        <v>49.813609999999997</v>
      </c>
      <c r="AB260">
        <v>33.209072999999997</v>
      </c>
      <c r="AC260">
        <v>50</v>
      </c>
      <c r="AD260">
        <v>55.987358</v>
      </c>
      <c r="AE260">
        <v>37.324905999999999</v>
      </c>
      <c r="AF260">
        <v>50</v>
      </c>
      <c r="AG260">
        <v>55.966073000000002</v>
      </c>
      <c r="AH260" t="s">
        <v>125</v>
      </c>
      <c r="AI260">
        <v>37.310715999999999</v>
      </c>
      <c r="AJ260">
        <v>50</v>
      </c>
      <c r="AK260">
        <v>7.96</v>
      </c>
      <c r="AL260">
        <v>11.26</v>
      </c>
      <c r="AM260" t="s">
        <v>125</v>
      </c>
      <c r="AN260">
        <v>0.59023099999999995</v>
      </c>
      <c r="AO260">
        <v>59.023051000000002</v>
      </c>
      <c r="AP260">
        <v>100</v>
      </c>
      <c r="AQ260">
        <v>0.65982099999999999</v>
      </c>
      <c r="AR260">
        <v>65.982089000000002</v>
      </c>
      <c r="AS260">
        <v>100</v>
      </c>
      <c r="AT260">
        <v>0.60416199999999998</v>
      </c>
      <c r="AU260" t="s">
        <v>125</v>
      </c>
      <c r="AV260">
        <v>60.41621</v>
      </c>
      <c r="AW260">
        <v>100</v>
      </c>
      <c r="AX260">
        <v>0.65958399999999995</v>
      </c>
      <c r="AY260" t="s">
        <v>125</v>
      </c>
      <c r="AZ260">
        <v>65.958430000000007</v>
      </c>
      <c r="BA260">
        <v>100</v>
      </c>
      <c r="BB260" t="s">
        <v>125</v>
      </c>
      <c r="BC260" t="s">
        <v>125</v>
      </c>
      <c r="BD260" t="s">
        <v>125</v>
      </c>
      <c r="BE260" t="s">
        <v>125</v>
      </c>
      <c r="BF260" t="s">
        <v>125</v>
      </c>
      <c r="BG260" t="s">
        <v>125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 t="s">
        <v>125</v>
      </c>
      <c r="BR260">
        <v>0.14801400000000001</v>
      </c>
      <c r="BS260">
        <v>30.397112</v>
      </c>
      <c r="BT260">
        <v>50</v>
      </c>
      <c r="BU260">
        <v>0.164384</v>
      </c>
      <c r="BV260">
        <v>27.123287999999999</v>
      </c>
      <c r="BW260">
        <v>50</v>
      </c>
      <c r="BX260" t="s">
        <v>125</v>
      </c>
      <c r="BY260" t="s">
        <v>125</v>
      </c>
      <c r="BZ260" t="s">
        <v>125</v>
      </c>
      <c r="CA260" t="s">
        <v>125</v>
      </c>
      <c r="CB260" t="s">
        <v>125</v>
      </c>
      <c r="CC260" t="s">
        <v>125</v>
      </c>
      <c r="CD260" t="s">
        <v>125</v>
      </c>
      <c r="CE260" t="s">
        <v>125</v>
      </c>
      <c r="CF260" t="s">
        <v>125</v>
      </c>
      <c r="CG260" t="s">
        <v>125</v>
      </c>
      <c r="CH260" t="s">
        <v>125</v>
      </c>
      <c r="CI260" t="s">
        <v>125</v>
      </c>
      <c r="CJ260" t="s">
        <v>125</v>
      </c>
      <c r="CK260" t="s">
        <v>125</v>
      </c>
      <c r="CL260" t="s">
        <v>125</v>
      </c>
      <c r="CM260" t="s">
        <v>125</v>
      </c>
      <c r="CN260" t="s">
        <v>125</v>
      </c>
      <c r="CO260" t="s">
        <v>125</v>
      </c>
      <c r="CP260" t="s">
        <v>125</v>
      </c>
      <c r="CQ260">
        <v>0.66129000000000004</v>
      </c>
      <c r="CR260">
        <v>0.86111099999999996</v>
      </c>
      <c r="CS260">
        <v>22.043011</v>
      </c>
      <c r="CT260">
        <v>50</v>
      </c>
      <c r="CU260" t="s">
        <v>125</v>
      </c>
      <c r="CV260" t="s">
        <v>125</v>
      </c>
      <c r="CW260" t="s">
        <v>125</v>
      </c>
      <c r="CX260" t="s">
        <v>125</v>
      </c>
      <c r="CY260" t="s">
        <v>125</v>
      </c>
      <c r="CZ260" t="s">
        <v>125</v>
      </c>
      <c r="DA260">
        <v>15.314097</v>
      </c>
      <c r="DB260">
        <v>17.400950000000002</v>
      </c>
      <c r="DC260">
        <v>16.332519999999999</v>
      </c>
      <c r="DD260" t="s">
        <v>125</v>
      </c>
      <c r="DE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Q260" t="s">
        <v>126</v>
      </c>
    </row>
    <row r="261" spans="1:121" x14ac:dyDescent="0.15">
      <c r="A261">
        <v>2018</v>
      </c>
      <c r="B261" t="s">
        <v>122</v>
      </c>
      <c r="C261" t="str">
        <f t="shared" si="2"/>
        <v>0150011</v>
      </c>
      <c r="D261" t="s">
        <v>397</v>
      </c>
      <c r="E261" t="str">
        <f>"0154511"</f>
        <v>0154511</v>
      </c>
      <c r="F261" t="s">
        <v>328</v>
      </c>
      <c r="G261" t="s">
        <v>329</v>
      </c>
      <c r="H261">
        <v>8</v>
      </c>
      <c r="I261" t="s">
        <v>336</v>
      </c>
      <c r="J261" t="s">
        <v>331</v>
      </c>
      <c r="K261">
        <v>664.87892399999998</v>
      </c>
      <c r="L261">
        <v>900</v>
      </c>
      <c r="M261">
        <v>73.875435999999993</v>
      </c>
      <c r="N261">
        <v>2</v>
      </c>
      <c r="O261">
        <v>0</v>
      </c>
      <c r="P261">
        <v>65.533849000000004</v>
      </c>
      <c r="Q261">
        <v>43.689233000000002</v>
      </c>
      <c r="R261">
        <v>50</v>
      </c>
      <c r="S261">
        <v>62.844952999999997</v>
      </c>
      <c r="T261">
        <v>71.384414000000007</v>
      </c>
      <c r="U261">
        <v>41.896635000000003</v>
      </c>
      <c r="V261">
        <v>50</v>
      </c>
      <c r="W261">
        <v>57.288352000000003</v>
      </c>
      <c r="X261">
        <v>38.192234999999997</v>
      </c>
      <c r="Y261">
        <v>50</v>
      </c>
      <c r="Z261">
        <v>63.108919999999998</v>
      </c>
      <c r="AA261">
        <v>54.613242999999997</v>
      </c>
      <c r="AB261">
        <v>36.408828</v>
      </c>
      <c r="AC261">
        <v>50</v>
      </c>
      <c r="AD261">
        <v>58.189942000000002</v>
      </c>
      <c r="AE261">
        <v>38.793295000000001</v>
      </c>
      <c r="AF261">
        <v>50</v>
      </c>
      <c r="AG261">
        <v>54.907297999999997</v>
      </c>
      <c r="AH261">
        <v>63.569831000000001</v>
      </c>
      <c r="AI261">
        <v>36.604864999999997</v>
      </c>
      <c r="AJ261">
        <v>50</v>
      </c>
      <c r="AK261">
        <v>8.5299999999999994</v>
      </c>
      <c r="AL261">
        <v>8.49</v>
      </c>
      <c r="AM261">
        <v>8.66</v>
      </c>
      <c r="AN261">
        <v>0.68828</v>
      </c>
      <c r="AO261">
        <v>68.82799</v>
      </c>
      <c r="AP261">
        <v>100</v>
      </c>
      <c r="AQ261">
        <v>0.68138699999999996</v>
      </c>
      <c r="AR261">
        <v>68.138705000000002</v>
      </c>
      <c r="AS261">
        <v>100</v>
      </c>
      <c r="AT261">
        <v>0.67781599999999997</v>
      </c>
      <c r="AU261">
        <v>0.70804500000000004</v>
      </c>
      <c r="AV261">
        <v>67.781581000000003</v>
      </c>
      <c r="AW261">
        <v>100</v>
      </c>
      <c r="AX261">
        <v>0.63700900000000005</v>
      </c>
      <c r="AY261">
        <v>0.76521300000000003</v>
      </c>
      <c r="AZ261">
        <v>63.700857999999997</v>
      </c>
      <c r="BA261">
        <v>100</v>
      </c>
      <c r="BB261" t="s">
        <v>125</v>
      </c>
      <c r="BC261" t="s">
        <v>125</v>
      </c>
      <c r="BD261" t="s">
        <v>125</v>
      </c>
      <c r="BE261" t="s">
        <v>125</v>
      </c>
      <c r="BF261" t="s">
        <v>125</v>
      </c>
      <c r="BG261" t="s">
        <v>125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5.6689000000000003E-2</v>
      </c>
      <c r="BS261">
        <v>48.662132</v>
      </c>
      <c r="BT261">
        <v>50</v>
      </c>
      <c r="BU261">
        <v>7.4193999999999996E-2</v>
      </c>
      <c r="BV261">
        <v>45.161290000000001</v>
      </c>
      <c r="BW261">
        <v>50</v>
      </c>
      <c r="BX261" t="s">
        <v>125</v>
      </c>
      <c r="BY261" t="s">
        <v>125</v>
      </c>
      <c r="BZ261" t="s">
        <v>125</v>
      </c>
      <c r="CA261" t="s">
        <v>125</v>
      </c>
      <c r="CB261" t="s">
        <v>125</v>
      </c>
      <c r="CC261" t="s">
        <v>125</v>
      </c>
      <c r="CD261">
        <v>0.97435899999999998</v>
      </c>
      <c r="CE261">
        <v>50</v>
      </c>
      <c r="CF261">
        <v>50</v>
      </c>
      <c r="CG261" t="s">
        <v>125</v>
      </c>
      <c r="CH261" t="s">
        <v>125</v>
      </c>
      <c r="CI261" t="s">
        <v>125</v>
      </c>
      <c r="CJ261" t="s">
        <v>125</v>
      </c>
      <c r="CK261" t="s">
        <v>125</v>
      </c>
      <c r="CL261" t="s">
        <v>125</v>
      </c>
      <c r="CM261" t="s">
        <v>125</v>
      </c>
      <c r="CN261" t="s">
        <v>125</v>
      </c>
      <c r="CO261" t="s">
        <v>125</v>
      </c>
      <c r="CP261" t="s">
        <v>125</v>
      </c>
      <c r="CQ261">
        <v>0.25531900000000002</v>
      </c>
      <c r="CR261">
        <v>0.95918400000000004</v>
      </c>
      <c r="CS261">
        <v>17.021277000000001</v>
      </c>
      <c r="CT261">
        <v>50</v>
      </c>
      <c r="CU261" t="s">
        <v>125</v>
      </c>
      <c r="CV261" t="s">
        <v>125</v>
      </c>
      <c r="CW261" t="s">
        <v>125</v>
      </c>
      <c r="CX261" t="s">
        <v>125</v>
      </c>
      <c r="CY261" t="s">
        <v>125</v>
      </c>
      <c r="CZ261" t="s">
        <v>125</v>
      </c>
      <c r="DA261">
        <v>15.314097</v>
      </c>
      <c r="DB261">
        <v>17.400950000000002</v>
      </c>
      <c r="DC261">
        <v>16.332519999999999</v>
      </c>
      <c r="DD261" t="s">
        <v>125</v>
      </c>
      <c r="DE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Q261" t="s">
        <v>126</v>
      </c>
    </row>
    <row r="262" spans="1:121" x14ac:dyDescent="0.15">
      <c r="A262">
        <v>2018</v>
      </c>
      <c r="B262" t="s">
        <v>122</v>
      </c>
      <c r="C262" t="str">
        <f t="shared" si="2"/>
        <v>0150011</v>
      </c>
      <c r="D262" t="s">
        <v>398</v>
      </c>
      <c r="E262" t="str">
        <f>"0151511"</f>
        <v>0151511</v>
      </c>
      <c r="F262" t="s">
        <v>328</v>
      </c>
      <c r="G262">
        <v>9</v>
      </c>
      <c r="H262">
        <v>12</v>
      </c>
      <c r="J262" t="s">
        <v>331</v>
      </c>
      <c r="K262">
        <v>1016.616571</v>
      </c>
      <c r="L262">
        <v>1450</v>
      </c>
      <c r="M262">
        <v>70.111487999999994</v>
      </c>
      <c r="N262">
        <v>2</v>
      </c>
      <c r="O262">
        <v>0</v>
      </c>
      <c r="P262">
        <v>49.556122000000002</v>
      </c>
      <c r="Q262">
        <v>99.112245000000001</v>
      </c>
      <c r="R262">
        <v>150</v>
      </c>
      <c r="S262">
        <v>46.815475999999997</v>
      </c>
      <c r="T262">
        <v>53.210317000000003</v>
      </c>
      <c r="U262">
        <v>93.630951999999994</v>
      </c>
      <c r="V262">
        <v>150</v>
      </c>
      <c r="W262">
        <v>46.301020000000001</v>
      </c>
      <c r="X262">
        <v>92.602041</v>
      </c>
      <c r="Y262">
        <v>150</v>
      </c>
      <c r="Z262">
        <v>46.095238000000002</v>
      </c>
      <c r="AA262">
        <v>46.455356999999999</v>
      </c>
      <c r="AB262">
        <v>92.910713999999999</v>
      </c>
      <c r="AC262">
        <v>150</v>
      </c>
      <c r="AD262">
        <v>46.084853000000003</v>
      </c>
      <c r="AE262">
        <v>61.446471000000003</v>
      </c>
      <c r="AF262">
        <v>100</v>
      </c>
      <c r="AG262">
        <v>43.788462000000003</v>
      </c>
      <c r="AH262">
        <v>49.221387999999997</v>
      </c>
      <c r="AI262">
        <v>58.384614999999997</v>
      </c>
      <c r="AJ262">
        <v>100</v>
      </c>
      <c r="AK262">
        <v>6.39</v>
      </c>
      <c r="AL262">
        <v>-0.36</v>
      </c>
      <c r="AM262">
        <v>5.43</v>
      </c>
      <c r="AN262" t="s">
        <v>125</v>
      </c>
      <c r="AO262" t="s">
        <v>125</v>
      </c>
      <c r="AP262" t="s">
        <v>125</v>
      </c>
      <c r="AQ262" t="s">
        <v>125</v>
      </c>
      <c r="AR262" t="s">
        <v>125</v>
      </c>
      <c r="AS262" t="s">
        <v>125</v>
      </c>
      <c r="AT262" t="s">
        <v>125</v>
      </c>
      <c r="AU262" t="s">
        <v>125</v>
      </c>
      <c r="AV262" t="s">
        <v>125</v>
      </c>
      <c r="AW262" t="s">
        <v>125</v>
      </c>
      <c r="AX262" t="s">
        <v>125</v>
      </c>
      <c r="AY262" t="s">
        <v>125</v>
      </c>
      <c r="AZ262" t="s">
        <v>125</v>
      </c>
      <c r="BA262" t="s">
        <v>125</v>
      </c>
      <c r="BB262" t="s">
        <v>125</v>
      </c>
      <c r="BC262" t="s">
        <v>125</v>
      </c>
      <c r="BD262" t="s">
        <v>125</v>
      </c>
      <c r="BE262" t="s">
        <v>125</v>
      </c>
      <c r="BF262" t="s">
        <v>125</v>
      </c>
      <c r="BG262" t="s">
        <v>125</v>
      </c>
      <c r="BH262">
        <v>0</v>
      </c>
      <c r="BI262">
        <v>0.99009899999999995</v>
      </c>
      <c r="BJ262">
        <v>0.98305100000000001</v>
      </c>
      <c r="BK262">
        <v>1</v>
      </c>
      <c r="BL262">
        <v>0.99009899999999995</v>
      </c>
      <c r="BM262">
        <v>0.98305100000000001</v>
      </c>
      <c r="BN262">
        <v>1</v>
      </c>
      <c r="BO262">
        <v>0.98</v>
      </c>
      <c r="BP262">
        <v>0.98275900000000005</v>
      </c>
      <c r="BQ262">
        <v>0.97619</v>
      </c>
      <c r="BR262">
        <v>8.4633E-2</v>
      </c>
      <c r="BS262">
        <v>43.073497000000003</v>
      </c>
      <c r="BT262">
        <v>50</v>
      </c>
      <c r="BU262">
        <v>9.6234E-2</v>
      </c>
      <c r="BV262">
        <v>40.753138</v>
      </c>
      <c r="BW262">
        <v>50</v>
      </c>
      <c r="BX262">
        <v>0.96568600000000004</v>
      </c>
      <c r="BY262">
        <v>50</v>
      </c>
      <c r="BZ262">
        <v>50</v>
      </c>
      <c r="CA262">
        <v>0.30392200000000003</v>
      </c>
      <c r="CB262">
        <v>20.261437999999998</v>
      </c>
      <c r="CC262">
        <v>50</v>
      </c>
      <c r="CD262">
        <v>0.79166700000000001</v>
      </c>
      <c r="CE262">
        <v>42.109929000000001</v>
      </c>
      <c r="CF262">
        <v>50</v>
      </c>
      <c r="CG262">
        <v>0.93548399999999998</v>
      </c>
      <c r="CH262">
        <v>99.519560999999996</v>
      </c>
      <c r="CI262">
        <v>100</v>
      </c>
      <c r="CJ262">
        <v>0</v>
      </c>
      <c r="CK262">
        <v>0.95082</v>
      </c>
      <c r="CL262">
        <v>100</v>
      </c>
      <c r="CM262">
        <v>100</v>
      </c>
      <c r="CN262">
        <v>0.81896599999999997</v>
      </c>
      <c r="CO262">
        <v>100</v>
      </c>
      <c r="CP262">
        <v>100</v>
      </c>
      <c r="CQ262">
        <v>0.49504999999999999</v>
      </c>
      <c r="CR262">
        <v>0.89380499999999996</v>
      </c>
      <c r="CS262">
        <v>16.501650000000001</v>
      </c>
      <c r="CT262">
        <v>50</v>
      </c>
      <c r="CU262">
        <v>7.5724E-2</v>
      </c>
      <c r="CV262">
        <v>6.3103189999999998</v>
      </c>
      <c r="CW262">
        <v>50</v>
      </c>
      <c r="CX262">
        <v>0.95082</v>
      </c>
      <c r="CY262" t="s">
        <v>125</v>
      </c>
      <c r="CZ262" t="s">
        <v>125</v>
      </c>
      <c r="DA262">
        <v>15.314097</v>
      </c>
      <c r="DB262">
        <v>17.400950000000002</v>
      </c>
      <c r="DC262">
        <v>16.332519999999999</v>
      </c>
      <c r="DD262">
        <v>7.9891730000000001</v>
      </c>
      <c r="DE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Q262" t="s">
        <v>126</v>
      </c>
    </row>
    <row r="263" spans="1:121" x14ac:dyDescent="0.15">
      <c r="A263">
        <v>2018</v>
      </c>
      <c r="B263" t="s">
        <v>122</v>
      </c>
      <c r="C263" t="str">
        <f t="shared" si="2"/>
        <v>0150011</v>
      </c>
      <c r="D263" t="s">
        <v>399</v>
      </c>
      <c r="E263" t="str">
        <f>"0153711"</f>
        <v>0153711</v>
      </c>
      <c r="F263" t="s">
        <v>328</v>
      </c>
      <c r="G263" t="s">
        <v>329</v>
      </c>
      <c r="H263">
        <v>8</v>
      </c>
      <c r="I263" t="s">
        <v>336</v>
      </c>
      <c r="J263" t="s">
        <v>331</v>
      </c>
      <c r="K263">
        <v>628.55086500000004</v>
      </c>
      <c r="L263">
        <v>900</v>
      </c>
      <c r="M263">
        <v>69.838984999999994</v>
      </c>
      <c r="N263">
        <v>3</v>
      </c>
      <c r="O263">
        <v>0</v>
      </c>
      <c r="P263">
        <v>68.964315999999997</v>
      </c>
      <c r="Q263">
        <v>45.976210999999999</v>
      </c>
      <c r="R263">
        <v>50</v>
      </c>
      <c r="S263">
        <v>64.399067000000002</v>
      </c>
      <c r="T263">
        <v>74.086303000000001</v>
      </c>
      <c r="U263">
        <v>42.932710999999998</v>
      </c>
      <c r="V263">
        <v>50</v>
      </c>
      <c r="W263">
        <v>57.423948000000003</v>
      </c>
      <c r="X263">
        <v>38.282632</v>
      </c>
      <c r="Y263">
        <v>50</v>
      </c>
      <c r="Z263">
        <v>61.211207000000002</v>
      </c>
      <c r="AA263">
        <v>54.048347</v>
      </c>
      <c r="AB263">
        <v>36.032231000000003</v>
      </c>
      <c r="AC263">
        <v>50</v>
      </c>
      <c r="AD263">
        <v>65.240253999999993</v>
      </c>
      <c r="AE263">
        <v>43.493502999999997</v>
      </c>
      <c r="AF263">
        <v>50</v>
      </c>
      <c r="AG263">
        <v>62.211485000000003</v>
      </c>
      <c r="AH263">
        <v>68.967969999999994</v>
      </c>
      <c r="AI263">
        <v>41.474322999999998</v>
      </c>
      <c r="AJ263">
        <v>50</v>
      </c>
      <c r="AK263">
        <v>9.68</v>
      </c>
      <c r="AL263">
        <v>7.16</v>
      </c>
      <c r="AM263">
        <v>6.75</v>
      </c>
      <c r="AN263">
        <v>0.56397699999999995</v>
      </c>
      <c r="AO263">
        <v>56.397703</v>
      </c>
      <c r="AP263">
        <v>100</v>
      </c>
      <c r="AQ263">
        <v>0.50826400000000005</v>
      </c>
      <c r="AR263">
        <v>50.826445</v>
      </c>
      <c r="AS263">
        <v>100</v>
      </c>
      <c r="AT263">
        <v>0.50647799999999998</v>
      </c>
      <c r="AU263">
        <v>0.62767700000000004</v>
      </c>
      <c r="AV263">
        <v>50.647806000000003</v>
      </c>
      <c r="AW263">
        <v>100</v>
      </c>
      <c r="AX263">
        <v>0.44122699999999998</v>
      </c>
      <c r="AY263">
        <v>0.58253100000000002</v>
      </c>
      <c r="AZ263">
        <v>44.122701999999997</v>
      </c>
      <c r="BA263">
        <v>100</v>
      </c>
      <c r="BB263" t="s">
        <v>125</v>
      </c>
      <c r="BC263" t="s">
        <v>125</v>
      </c>
      <c r="BD263" t="s">
        <v>125</v>
      </c>
      <c r="BE263" t="s">
        <v>125</v>
      </c>
      <c r="BF263" t="s">
        <v>125</v>
      </c>
      <c r="BG263" t="s">
        <v>125</v>
      </c>
      <c r="BH263">
        <v>0</v>
      </c>
      <c r="BI263">
        <v>0.99242399999999997</v>
      </c>
      <c r="BJ263">
        <v>0.99280599999999997</v>
      </c>
      <c r="BK263">
        <v>0.99199999999999999</v>
      </c>
      <c r="BL263">
        <v>0.99242399999999997</v>
      </c>
      <c r="BM263">
        <v>0.99280599999999997</v>
      </c>
      <c r="BN263">
        <v>0.99199999999999999</v>
      </c>
      <c r="BO263">
        <v>0.98863599999999996</v>
      </c>
      <c r="BP263">
        <v>1</v>
      </c>
      <c r="BQ263">
        <v>0.97499999999999998</v>
      </c>
      <c r="BR263">
        <v>5.5275999999999999E-2</v>
      </c>
      <c r="BS263">
        <v>48.944724000000001</v>
      </c>
      <c r="BT263">
        <v>50</v>
      </c>
      <c r="BU263">
        <v>9.8039000000000001E-2</v>
      </c>
      <c r="BV263">
        <v>40.392156999999997</v>
      </c>
      <c r="BW263">
        <v>50</v>
      </c>
      <c r="BX263" t="s">
        <v>125</v>
      </c>
      <c r="BY263" t="s">
        <v>125</v>
      </c>
      <c r="BZ263" t="s">
        <v>125</v>
      </c>
      <c r="CA263" t="s">
        <v>125</v>
      </c>
      <c r="CB263" t="s">
        <v>125</v>
      </c>
      <c r="CC263" t="s">
        <v>125</v>
      </c>
      <c r="CD263">
        <v>0.90243899999999999</v>
      </c>
      <c r="CE263">
        <v>48.002076000000002</v>
      </c>
      <c r="CF263">
        <v>50</v>
      </c>
      <c r="CG263" t="s">
        <v>125</v>
      </c>
      <c r="CH263" t="s">
        <v>125</v>
      </c>
      <c r="CI263" t="s">
        <v>125</v>
      </c>
      <c r="CJ263" t="s">
        <v>125</v>
      </c>
      <c r="CK263" t="s">
        <v>125</v>
      </c>
      <c r="CL263" t="s">
        <v>125</v>
      </c>
      <c r="CM263" t="s">
        <v>125</v>
      </c>
      <c r="CN263" t="s">
        <v>125</v>
      </c>
      <c r="CO263" t="s">
        <v>125</v>
      </c>
      <c r="CP263" t="s">
        <v>125</v>
      </c>
      <c r="CQ263">
        <v>0.61538499999999996</v>
      </c>
      <c r="CR263">
        <v>0.98484799999999995</v>
      </c>
      <c r="CS263">
        <v>41.025641</v>
      </c>
      <c r="CT263">
        <v>50</v>
      </c>
      <c r="CU263" t="s">
        <v>125</v>
      </c>
      <c r="CV263" t="s">
        <v>125</v>
      </c>
      <c r="CW263" t="s">
        <v>125</v>
      </c>
      <c r="CX263" t="s">
        <v>125</v>
      </c>
      <c r="CY263" t="s">
        <v>125</v>
      </c>
      <c r="CZ263" t="s">
        <v>125</v>
      </c>
      <c r="DA263">
        <v>15.314097</v>
      </c>
      <c r="DB263">
        <v>17.400950000000002</v>
      </c>
      <c r="DC263">
        <v>16.332519999999999</v>
      </c>
      <c r="DD263" t="s">
        <v>125</v>
      </c>
      <c r="DE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Q263" t="s">
        <v>126</v>
      </c>
    </row>
    <row r="264" spans="1:121" x14ac:dyDescent="0.15">
      <c r="A264">
        <v>2018</v>
      </c>
      <c r="B264" t="s">
        <v>122</v>
      </c>
      <c r="C264" t="str">
        <f t="shared" si="2"/>
        <v>0150011</v>
      </c>
      <c r="D264" t="s">
        <v>400</v>
      </c>
      <c r="E264" t="str">
        <f>"0154211"</f>
        <v>0154211</v>
      </c>
      <c r="F264" t="s">
        <v>328</v>
      </c>
      <c r="G264" t="s">
        <v>339</v>
      </c>
      <c r="H264">
        <v>8</v>
      </c>
      <c r="I264" t="s">
        <v>336</v>
      </c>
      <c r="J264" t="s">
        <v>331</v>
      </c>
      <c r="K264">
        <v>537.88764600000002</v>
      </c>
      <c r="L264">
        <v>1000</v>
      </c>
      <c r="M264">
        <v>53.788764999999998</v>
      </c>
      <c r="N264">
        <v>3</v>
      </c>
      <c r="O264">
        <v>0</v>
      </c>
      <c r="P264">
        <v>50.424489000000001</v>
      </c>
      <c r="Q264">
        <v>33.616326000000001</v>
      </c>
      <c r="R264">
        <v>50</v>
      </c>
      <c r="S264">
        <v>49.72587</v>
      </c>
      <c r="T264">
        <v>58.861657000000001</v>
      </c>
      <c r="U264">
        <v>33.150579999999998</v>
      </c>
      <c r="V264">
        <v>50</v>
      </c>
      <c r="W264">
        <v>40.493606999999997</v>
      </c>
      <c r="X264">
        <v>26.995737999999999</v>
      </c>
      <c r="Y264">
        <v>50</v>
      </c>
      <c r="Z264">
        <v>46.804132000000003</v>
      </c>
      <c r="AA264">
        <v>39.969410000000003</v>
      </c>
      <c r="AB264">
        <v>26.646273000000001</v>
      </c>
      <c r="AC264">
        <v>50</v>
      </c>
      <c r="AD264">
        <v>47.350028000000002</v>
      </c>
      <c r="AE264">
        <v>31.566685</v>
      </c>
      <c r="AF264">
        <v>50</v>
      </c>
      <c r="AG264">
        <v>46.440938000000003</v>
      </c>
      <c r="AH264" t="s">
        <v>125</v>
      </c>
      <c r="AI264">
        <v>30.960626000000001</v>
      </c>
      <c r="AJ264">
        <v>50</v>
      </c>
      <c r="AK264">
        <v>9.1300000000000008</v>
      </c>
      <c r="AL264">
        <v>6.83</v>
      </c>
      <c r="AM264" t="s">
        <v>125</v>
      </c>
      <c r="AN264">
        <v>0.50554699999999997</v>
      </c>
      <c r="AO264">
        <v>50.554698999999999</v>
      </c>
      <c r="AP264">
        <v>100</v>
      </c>
      <c r="AQ264">
        <v>0.49273099999999997</v>
      </c>
      <c r="AR264">
        <v>49.273147000000002</v>
      </c>
      <c r="AS264">
        <v>100</v>
      </c>
      <c r="AT264">
        <v>0.50384899999999999</v>
      </c>
      <c r="AU264">
        <v>0.52453399999999994</v>
      </c>
      <c r="AV264">
        <v>50.384895</v>
      </c>
      <c r="AW264">
        <v>100</v>
      </c>
      <c r="AX264">
        <v>0.49501800000000001</v>
      </c>
      <c r="AY264">
        <v>0.46726400000000001</v>
      </c>
      <c r="AZ264">
        <v>49.501835999999997</v>
      </c>
      <c r="BA264">
        <v>100</v>
      </c>
      <c r="BB264">
        <v>0.60453900000000005</v>
      </c>
      <c r="BC264">
        <v>30.226934</v>
      </c>
      <c r="BD264">
        <v>50</v>
      </c>
      <c r="BE264">
        <v>0.44828200000000001</v>
      </c>
      <c r="BF264">
        <v>22.414102</v>
      </c>
      <c r="BG264">
        <v>50</v>
      </c>
      <c r="BH264">
        <v>0</v>
      </c>
      <c r="BI264">
        <v>0.97499999999999998</v>
      </c>
      <c r="BJ264">
        <v>0.972603</v>
      </c>
      <c r="BK264">
        <v>1</v>
      </c>
      <c r="BL264">
        <v>0.97738700000000001</v>
      </c>
      <c r="BM264">
        <v>0.97520700000000005</v>
      </c>
      <c r="BN264">
        <v>1</v>
      </c>
      <c r="BO264">
        <v>0.97872300000000001</v>
      </c>
      <c r="BP264">
        <v>0.97656299999999996</v>
      </c>
      <c r="BQ264" t="s">
        <v>125</v>
      </c>
      <c r="BR264">
        <v>0.22547300000000001</v>
      </c>
      <c r="BS264">
        <v>14.905336</v>
      </c>
      <c r="BT264">
        <v>50</v>
      </c>
      <c r="BU264">
        <v>0.22648799999999999</v>
      </c>
      <c r="BV264">
        <v>14.702495000000001</v>
      </c>
      <c r="BW264">
        <v>50</v>
      </c>
      <c r="BX264" t="s">
        <v>125</v>
      </c>
      <c r="BY264" t="s">
        <v>125</v>
      </c>
      <c r="BZ264" t="s">
        <v>125</v>
      </c>
      <c r="CA264" t="s">
        <v>125</v>
      </c>
      <c r="CB264" t="s">
        <v>125</v>
      </c>
      <c r="CC264" t="s">
        <v>125</v>
      </c>
      <c r="CD264">
        <v>0.65217400000000003</v>
      </c>
      <c r="CE264">
        <v>34.690102000000003</v>
      </c>
      <c r="CF264">
        <v>50</v>
      </c>
      <c r="CG264" t="s">
        <v>125</v>
      </c>
      <c r="CH264" t="s">
        <v>125</v>
      </c>
      <c r="CI264" t="s">
        <v>125</v>
      </c>
      <c r="CJ264" t="s">
        <v>125</v>
      </c>
      <c r="CK264" t="s">
        <v>125</v>
      </c>
      <c r="CL264" t="s">
        <v>125</v>
      </c>
      <c r="CM264" t="s">
        <v>125</v>
      </c>
      <c r="CN264" t="s">
        <v>125</v>
      </c>
      <c r="CO264" t="s">
        <v>125</v>
      </c>
      <c r="CP264" t="s">
        <v>125</v>
      </c>
      <c r="CQ264">
        <v>0.57446799999999998</v>
      </c>
      <c r="CR264">
        <v>0.98947399999999996</v>
      </c>
      <c r="CS264">
        <v>38.297871999999998</v>
      </c>
      <c r="CT264">
        <v>50</v>
      </c>
      <c r="CU264" t="s">
        <v>125</v>
      </c>
      <c r="CV264" t="s">
        <v>125</v>
      </c>
      <c r="CW264" t="s">
        <v>125</v>
      </c>
      <c r="CX264" t="s">
        <v>125</v>
      </c>
      <c r="CY264" t="s">
        <v>125</v>
      </c>
      <c r="CZ264" t="s">
        <v>125</v>
      </c>
      <c r="DA264">
        <v>15.314097</v>
      </c>
      <c r="DB264">
        <v>17.400950000000002</v>
      </c>
      <c r="DC264">
        <v>16.332519999999999</v>
      </c>
      <c r="DD264" t="s">
        <v>125</v>
      </c>
      <c r="DE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Q264" t="s">
        <v>126</v>
      </c>
    </row>
    <row r="265" spans="1:121" x14ac:dyDescent="0.15">
      <c r="A265">
        <v>2018</v>
      </c>
      <c r="B265" t="s">
        <v>122</v>
      </c>
      <c r="C265" t="str">
        <f t="shared" si="2"/>
        <v>0150011</v>
      </c>
      <c r="D265" t="s">
        <v>401</v>
      </c>
      <c r="E265" t="str">
        <f>"0152211"</f>
        <v>0152211</v>
      </c>
      <c r="F265" t="s">
        <v>328</v>
      </c>
      <c r="G265" t="s">
        <v>329</v>
      </c>
      <c r="H265">
        <v>8</v>
      </c>
      <c r="I265" t="s">
        <v>336</v>
      </c>
      <c r="J265" t="s">
        <v>331</v>
      </c>
      <c r="K265">
        <v>482.33085899999998</v>
      </c>
      <c r="L265">
        <v>900</v>
      </c>
      <c r="M265">
        <v>53.592317999999999</v>
      </c>
      <c r="N265">
        <v>3</v>
      </c>
      <c r="O265">
        <v>0</v>
      </c>
      <c r="P265">
        <v>53.879826999999999</v>
      </c>
      <c r="Q265">
        <v>35.919884000000003</v>
      </c>
      <c r="R265">
        <v>50</v>
      </c>
      <c r="S265">
        <v>53.429071999999998</v>
      </c>
      <c r="T265">
        <v>56.242114999999998</v>
      </c>
      <c r="U265">
        <v>35.619380999999997</v>
      </c>
      <c r="V265">
        <v>50</v>
      </c>
      <c r="W265">
        <v>50.541688999999998</v>
      </c>
      <c r="X265">
        <v>33.694459000000002</v>
      </c>
      <c r="Y265">
        <v>50</v>
      </c>
      <c r="Z265">
        <v>55.670307000000001</v>
      </c>
      <c r="AA265">
        <v>49.563082999999999</v>
      </c>
      <c r="AB265">
        <v>33.042054999999998</v>
      </c>
      <c r="AC265">
        <v>50</v>
      </c>
      <c r="AD265">
        <v>46.182200999999999</v>
      </c>
      <c r="AE265">
        <v>30.788133999999999</v>
      </c>
      <c r="AF265">
        <v>50</v>
      </c>
      <c r="AG265">
        <v>46.430318</v>
      </c>
      <c r="AH265">
        <v>44.891990999999997</v>
      </c>
      <c r="AI265">
        <v>30.953544999999998</v>
      </c>
      <c r="AJ265">
        <v>50</v>
      </c>
      <c r="AK265">
        <v>2.81</v>
      </c>
      <c r="AL265">
        <v>6.1</v>
      </c>
      <c r="AM265">
        <v>-1.53</v>
      </c>
      <c r="AN265">
        <v>0.43567400000000001</v>
      </c>
      <c r="AO265">
        <v>43.567352999999997</v>
      </c>
      <c r="AP265">
        <v>100</v>
      </c>
      <c r="AQ265">
        <v>0.55953200000000003</v>
      </c>
      <c r="AR265">
        <v>55.953158000000002</v>
      </c>
      <c r="AS265">
        <v>100</v>
      </c>
      <c r="AT265">
        <v>0.44503599999999999</v>
      </c>
      <c r="AU265">
        <v>0.39483800000000002</v>
      </c>
      <c r="AV265">
        <v>44.503574999999998</v>
      </c>
      <c r="AW265">
        <v>100</v>
      </c>
      <c r="AX265">
        <v>0.55677299999999996</v>
      </c>
      <c r="AY265">
        <v>0.57150699999999999</v>
      </c>
      <c r="AZ265">
        <v>55.677263000000004</v>
      </c>
      <c r="BA265">
        <v>100</v>
      </c>
      <c r="BB265" t="s">
        <v>125</v>
      </c>
      <c r="BC265" t="s">
        <v>125</v>
      </c>
      <c r="BD265" t="s">
        <v>125</v>
      </c>
      <c r="BE265" t="s">
        <v>125</v>
      </c>
      <c r="BF265" t="s">
        <v>125</v>
      </c>
      <c r="BG265" t="s">
        <v>125</v>
      </c>
      <c r="BH265">
        <v>0</v>
      </c>
      <c r="BI265">
        <v>0.99508600000000003</v>
      </c>
      <c r="BJ265">
        <v>0.99421999999999999</v>
      </c>
      <c r="BK265">
        <v>1</v>
      </c>
      <c r="BL265">
        <v>0.995062</v>
      </c>
      <c r="BM265">
        <v>0.99420299999999995</v>
      </c>
      <c r="BN265">
        <v>1</v>
      </c>
      <c r="BO265">
        <v>0.98648599999999997</v>
      </c>
      <c r="BP265">
        <v>0.984375</v>
      </c>
      <c r="BQ265">
        <v>1</v>
      </c>
      <c r="BR265">
        <v>0.27302599999999999</v>
      </c>
      <c r="BS265">
        <v>5.3947370000000001</v>
      </c>
      <c r="BT265">
        <v>50</v>
      </c>
      <c r="BU265">
        <v>0.28381000000000001</v>
      </c>
      <c r="BV265">
        <v>3.2380949999999999</v>
      </c>
      <c r="BW265">
        <v>50</v>
      </c>
      <c r="BX265" t="s">
        <v>125</v>
      </c>
      <c r="BY265" t="s">
        <v>125</v>
      </c>
      <c r="BZ265" t="s">
        <v>125</v>
      </c>
      <c r="CA265" t="s">
        <v>125</v>
      </c>
      <c r="CB265" t="s">
        <v>125</v>
      </c>
      <c r="CC265" t="s">
        <v>125</v>
      </c>
      <c r="CD265">
        <v>0.78313299999999997</v>
      </c>
      <c r="CE265">
        <v>41.655985999999999</v>
      </c>
      <c r="CF265">
        <v>50</v>
      </c>
      <c r="CG265" t="s">
        <v>125</v>
      </c>
      <c r="CH265" t="s">
        <v>125</v>
      </c>
      <c r="CI265" t="s">
        <v>125</v>
      </c>
      <c r="CJ265" t="s">
        <v>125</v>
      </c>
      <c r="CK265" t="s">
        <v>125</v>
      </c>
      <c r="CL265" t="s">
        <v>125</v>
      </c>
      <c r="CM265" t="s">
        <v>125</v>
      </c>
      <c r="CN265" t="s">
        <v>125</v>
      </c>
      <c r="CO265" t="s">
        <v>125</v>
      </c>
      <c r="CP265" t="s">
        <v>125</v>
      </c>
      <c r="CQ265">
        <v>0.484848</v>
      </c>
      <c r="CR265">
        <v>0.94736799999999999</v>
      </c>
      <c r="CS265">
        <v>32.323231999999997</v>
      </c>
      <c r="CT265">
        <v>50</v>
      </c>
      <c r="CU265" t="s">
        <v>125</v>
      </c>
      <c r="CV265" t="s">
        <v>125</v>
      </c>
      <c r="CW265" t="s">
        <v>125</v>
      </c>
      <c r="CX265" t="s">
        <v>125</v>
      </c>
      <c r="CY265" t="s">
        <v>125</v>
      </c>
      <c r="CZ265" t="s">
        <v>125</v>
      </c>
      <c r="DA265">
        <v>15.314097</v>
      </c>
      <c r="DB265">
        <v>17.400950000000002</v>
      </c>
      <c r="DC265">
        <v>16.332519999999999</v>
      </c>
      <c r="DD265" t="s">
        <v>125</v>
      </c>
      <c r="DE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Q265" t="s">
        <v>126</v>
      </c>
    </row>
    <row r="266" spans="1:121" x14ac:dyDescent="0.15">
      <c r="A266">
        <v>2018</v>
      </c>
      <c r="B266" t="s">
        <v>122</v>
      </c>
      <c r="C266" t="str">
        <f t="shared" si="2"/>
        <v>0150011</v>
      </c>
      <c r="D266" t="s">
        <v>402</v>
      </c>
      <c r="E266" t="str">
        <f>"0153611"</f>
        <v>0153611</v>
      </c>
      <c r="F266" t="s">
        <v>328</v>
      </c>
      <c r="G266" t="s">
        <v>329</v>
      </c>
      <c r="H266">
        <v>8</v>
      </c>
      <c r="I266" t="s">
        <v>336</v>
      </c>
      <c r="J266" t="s">
        <v>331</v>
      </c>
      <c r="K266">
        <v>719.88462900000002</v>
      </c>
      <c r="L266">
        <v>1000</v>
      </c>
      <c r="M266">
        <v>71.988462999999996</v>
      </c>
      <c r="N266">
        <v>2</v>
      </c>
      <c r="O266">
        <v>0</v>
      </c>
      <c r="P266">
        <v>67.854742000000002</v>
      </c>
      <c r="Q266">
        <v>45.236494999999998</v>
      </c>
      <c r="R266">
        <v>50</v>
      </c>
      <c r="S266">
        <v>65.393462</v>
      </c>
      <c r="T266">
        <v>72.956958999999998</v>
      </c>
      <c r="U266">
        <v>43.595641000000001</v>
      </c>
      <c r="V266">
        <v>50</v>
      </c>
      <c r="W266">
        <v>62.075935000000001</v>
      </c>
      <c r="X266">
        <v>41.383955999999998</v>
      </c>
      <c r="Y266">
        <v>50</v>
      </c>
      <c r="Z266">
        <v>64.816491999999997</v>
      </c>
      <c r="AA266">
        <v>60.749234000000001</v>
      </c>
      <c r="AB266">
        <v>40.499488999999997</v>
      </c>
      <c r="AC266">
        <v>50</v>
      </c>
      <c r="AD266">
        <v>62.261257000000001</v>
      </c>
      <c r="AE266">
        <v>41.507505000000002</v>
      </c>
      <c r="AF266">
        <v>50</v>
      </c>
      <c r="AG266">
        <v>59.693116000000003</v>
      </c>
      <c r="AH266">
        <v>67.898640999999998</v>
      </c>
      <c r="AI266">
        <v>39.795411000000001</v>
      </c>
      <c r="AJ266">
        <v>50</v>
      </c>
      <c r="AK266">
        <v>7.56</v>
      </c>
      <c r="AL266">
        <v>4.0599999999999996</v>
      </c>
      <c r="AM266">
        <v>8.1999999999999993</v>
      </c>
      <c r="AN266">
        <v>0.60715300000000005</v>
      </c>
      <c r="AO266">
        <v>60.715330999999999</v>
      </c>
      <c r="AP266">
        <v>100</v>
      </c>
      <c r="AQ266">
        <v>0.672404</v>
      </c>
      <c r="AR266">
        <v>67.240374000000003</v>
      </c>
      <c r="AS266">
        <v>100</v>
      </c>
      <c r="AT266">
        <v>0.58370599999999995</v>
      </c>
      <c r="AU266">
        <v>0.65324700000000002</v>
      </c>
      <c r="AV266">
        <v>58.370555000000003</v>
      </c>
      <c r="AW266">
        <v>100</v>
      </c>
      <c r="AX266">
        <v>0.64491299999999996</v>
      </c>
      <c r="AY266">
        <v>0.72644500000000001</v>
      </c>
      <c r="AZ266">
        <v>64.491298999999998</v>
      </c>
      <c r="BA266">
        <v>100</v>
      </c>
      <c r="BB266">
        <v>0.82457999999999998</v>
      </c>
      <c r="BC266">
        <v>41.228993000000003</v>
      </c>
      <c r="BD266">
        <v>50</v>
      </c>
      <c r="BE266">
        <v>0.47988199999999998</v>
      </c>
      <c r="BF266">
        <v>23.994076</v>
      </c>
      <c r="BG266">
        <v>50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4.6154000000000001E-2</v>
      </c>
      <c r="BS266">
        <v>50</v>
      </c>
      <c r="BT266">
        <v>50</v>
      </c>
      <c r="BU266">
        <v>6.5021999999999996E-2</v>
      </c>
      <c r="BV266">
        <v>46.995516000000002</v>
      </c>
      <c r="BW266">
        <v>50</v>
      </c>
      <c r="BX266" t="s">
        <v>125</v>
      </c>
      <c r="BY266" t="s">
        <v>125</v>
      </c>
      <c r="BZ266" t="s">
        <v>125</v>
      </c>
      <c r="CA266" t="s">
        <v>125</v>
      </c>
      <c r="CB266" t="s">
        <v>125</v>
      </c>
      <c r="CC266" t="s">
        <v>125</v>
      </c>
      <c r="CD266">
        <v>0.81355900000000003</v>
      </c>
      <c r="CE266">
        <v>43.274431999999997</v>
      </c>
      <c r="CF266">
        <v>50</v>
      </c>
      <c r="CG266" t="s">
        <v>125</v>
      </c>
      <c r="CH266" t="s">
        <v>125</v>
      </c>
      <c r="CI266" t="s">
        <v>125</v>
      </c>
      <c r="CJ266" t="s">
        <v>125</v>
      </c>
      <c r="CK266" t="s">
        <v>125</v>
      </c>
      <c r="CL266" t="s">
        <v>125</v>
      </c>
      <c r="CM266" t="s">
        <v>125</v>
      </c>
      <c r="CN266" t="s">
        <v>125</v>
      </c>
      <c r="CO266" t="s">
        <v>125</v>
      </c>
      <c r="CP266" t="s">
        <v>125</v>
      </c>
      <c r="CQ266">
        <v>0.69333299999999998</v>
      </c>
      <c r="CR266">
        <v>0.65502199999999999</v>
      </c>
      <c r="CS266">
        <v>11.555555999999999</v>
      </c>
      <c r="CT266">
        <v>50</v>
      </c>
      <c r="CU266" t="s">
        <v>125</v>
      </c>
      <c r="CV266" t="s">
        <v>125</v>
      </c>
      <c r="CW266" t="s">
        <v>125</v>
      </c>
      <c r="CX266" t="s">
        <v>125</v>
      </c>
      <c r="CY266" t="s">
        <v>125</v>
      </c>
      <c r="CZ266" t="s">
        <v>125</v>
      </c>
      <c r="DA266">
        <v>15.314097</v>
      </c>
      <c r="DB266">
        <v>17.400950000000002</v>
      </c>
      <c r="DC266">
        <v>16.332519999999999</v>
      </c>
      <c r="DD266" t="s">
        <v>125</v>
      </c>
      <c r="DE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Q266" t="s">
        <v>126</v>
      </c>
    </row>
    <row r="267" spans="1:121" x14ac:dyDescent="0.15">
      <c r="A267">
        <v>2018</v>
      </c>
      <c r="B267" t="s">
        <v>122</v>
      </c>
      <c r="C267" t="str">
        <f t="shared" si="2"/>
        <v>0150011</v>
      </c>
      <c r="D267" t="s">
        <v>403</v>
      </c>
      <c r="E267" t="str">
        <f>"0151011"</f>
        <v>0151011</v>
      </c>
      <c r="F267" t="s">
        <v>328</v>
      </c>
      <c r="G267" t="s">
        <v>329</v>
      </c>
      <c r="H267">
        <v>8</v>
      </c>
      <c r="I267" t="s">
        <v>336</v>
      </c>
      <c r="J267" t="s">
        <v>331</v>
      </c>
      <c r="K267">
        <v>488.28310699999997</v>
      </c>
      <c r="L267">
        <v>1000</v>
      </c>
      <c r="M267">
        <v>48.828310999999999</v>
      </c>
      <c r="N267">
        <v>5</v>
      </c>
      <c r="O267">
        <v>0</v>
      </c>
      <c r="P267">
        <v>45.140895</v>
      </c>
      <c r="Q267">
        <v>30.09393</v>
      </c>
      <c r="R267">
        <v>50</v>
      </c>
      <c r="S267">
        <v>44.594082999999998</v>
      </c>
      <c r="T267">
        <v>51.577661999999997</v>
      </c>
      <c r="U267">
        <v>29.729388</v>
      </c>
      <c r="V267">
        <v>50</v>
      </c>
      <c r="W267">
        <v>36.241961000000003</v>
      </c>
      <c r="X267">
        <v>24.161307000000001</v>
      </c>
      <c r="Y267">
        <v>50</v>
      </c>
      <c r="Z267">
        <v>44.616475000000001</v>
      </c>
      <c r="AA267">
        <v>35.530534000000003</v>
      </c>
      <c r="AB267">
        <v>23.687023</v>
      </c>
      <c r="AC267">
        <v>50</v>
      </c>
      <c r="AD267">
        <v>42.190047999999997</v>
      </c>
      <c r="AE267">
        <v>28.126698000000001</v>
      </c>
      <c r="AF267">
        <v>50</v>
      </c>
      <c r="AG267">
        <v>41.052764000000003</v>
      </c>
      <c r="AH267" t="s">
        <v>125</v>
      </c>
      <c r="AI267">
        <v>27.368509</v>
      </c>
      <c r="AJ267">
        <v>50</v>
      </c>
      <c r="AK267">
        <v>6.98</v>
      </c>
      <c r="AL267">
        <v>9.08</v>
      </c>
      <c r="AM267" t="s">
        <v>125</v>
      </c>
      <c r="AN267">
        <v>0.51802899999999996</v>
      </c>
      <c r="AO267">
        <v>51.802936000000003</v>
      </c>
      <c r="AP267">
        <v>100</v>
      </c>
      <c r="AQ267">
        <v>0.48853600000000003</v>
      </c>
      <c r="AR267">
        <v>48.853599000000003</v>
      </c>
      <c r="AS267">
        <v>100</v>
      </c>
      <c r="AT267">
        <v>0.51576200000000005</v>
      </c>
      <c r="AU267">
        <v>0.54269800000000001</v>
      </c>
      <c r="AV267">
        <v>51.576248999999997</v>
      </c>
      <c r="AW267">
        <v>100</v>
      </c>
      <c r="AX267">
        <v>0.482126</v>
      </c>
      <c r="AY267">
        <v>0.55828800000000001</v>
      </c>
      <c r="AZ267">
        <v>48.212629999999997</v>
      </c>
      <c r="BA267">
        <v>100</v>
      </c>
      <c r="BB267">
        <v>0.46020800000000001</v>
      </c>
      <c r="BC267">
        <v>23.010394000000002</v>
      </c>
      <c r="BD267">
        <v>50</v>
      </c>
      <c r="BE267">
        <v>0.39430500000000002</v>
      </c>
      <c r="BF267">
        <v>19.715267999999998</v>
      </c>
      <c r="BG267">
        <v>50</v>
      </c>
      <c r="BH267">
        <v>0</v>
      </c>
      <c r="BI267">
        <v>0.99668900000000005</v>
      </c>
      <c r="BJ267">
        <v>0.99646599999999996</v>
      </c>
      <c r="BK267">
        <v>1</v>
      </c>
      <c r="BL267">
        <v>0.99504099999999995</v>
      </c>
      <c r="BM267">
        <v>0.99470899999999995</v>
      </c>
      <c r="BN267">
        <v>1</v>
      </c>
      <c r="BO267">
        <v>0.97883600000000004</v>
      </c>
      <c r="BP267">
        <v>0.97701099999999996</v>
      </c>
      <c r="BQ267" t="s">
        <v>125</v>
      </c>
      <c r="BR267">
        <v>0.226077</v>
      </c>
      <c r="BS267">
        <v>14.784689</v>
      </c>
      <c r="BT267">
        <v>50</v>
      </c>
      <c r="BU267">
        <v>0.233766</v>
      </c>
      <c r="BV267">
        <v>13.246753</v>
      </c>
      <c r="BW267">
        <v>50</v>
      </c>
      <c r="BX267" t="s">
        <v>125</v>
      </c>
      <c r="BY267" t="s">
        <v>125</v>
      </c>
      <c r="BZ267" t="s">
        <v>125</v>
      </c>
      <c r="CA267" t="s">
        <v>125</v>
      </c>
      <c r="CB267" t="s">
        <v>125</v>
      </c>
      <c r="CC267" t="s">
        <v>125</v>
      </c>
      <c r="CD267">
        <v>0.68131900000000001</v>
      </c>
      <c r="CE267">
        <v>36.240355000000001</v>
      </c>
      <c r="CF267">
        <v>50</v>
      </c>
      <c r="CG267" t="s">
        <v>125</v>
      </c>
      <c r="CH267" t="s">
        <v>125</v>
      </c>
      <c r="CI267" t="s">
        <v>125</v>
      </c>
      <c r="CJ267" t="s">
        <v>125</v>
      </c>
      <c r="CK267" t="s">
        <v>125</v>
      </c>
      <c r="CL267" t="s">
        <v>125</v>
      </c>
      <c r="CM267" t="s">
        <v>125</v>
      </c>
      <c r="CN267" t="s">
        <v>125</v>
      </c>
      <c r="CO267" t="s">
        <v>125</v>
      </c>
      <c r="CP267" t="s">
        <v>125</v>
      </c>
      <c r="CQ267">
        <v>0.26510099999999998</v>
      </c>
      <c r="CR267">
        <v>0.95512799999999998</v>
      </c>
      <c r="CS267">
        <v>17.673378</v>
      </c>
      <c r="CT267">
        <v>50</v>
      </c>
      <c r="CU267" t="s">
        <v>125</v>
      </c>
      <c r="CV267" t="s">
        <v>125</v>
      </c>
      <c r="CW267" t="s">
        <v>125</v>
      </c>
      <c r="CX267" t="s">
        <v>125</v>
      </c>
      <c r="CY267" t="s">
        <v>125</v>
      </c>
      <c r="CZ267" t="s">
        <v>125</v>
      </c>
      <c r="DA267">
        <v>15.314097</v>
      </c>
      <c r="DB267">
        <v>17.400950000000002</v>
      </c>
      <c r="DC267">
        <v>16.332519999999999</v>
      </c>
      <c r="DD267" t="s">
        <v>125</v>
      </c>
      <c r="DE267">
        <v>0</v>
      </c>
      <c r="DF267" t="s">
        <v>376</v>
      </c>
      <c r="DG267" t="s">
        <v>377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Q267" t="s">
        <v>126</v>
      </c>
    </row>
    <row r="268" spans="1:121" x14ac:dyDescent="0.15">
      <c r="A268">
        <v>2018</v>
      </c>
      <c r="B268" t="s">
        <v>122</v>
      </c>
      <c r="C268" t="str">
        <f t="shared" si="2"/>
        <v>0150011</v>
      </c>
      <c r="D268" t="s">
        <v>404</v>
      </c>
      <c r="E268" t="str">
        <f>"0152011"</f>
        <v>0152011</v>
      </c>
      <c r="F268" t="s">
        <v>328</v>
      </c>
      <c r="G268" t="s">
        <v>339</v>
      </c>
      <c r="H268">
        <v>6</v>
      </c>
      <c r="I268" t="s">
        <v>336</v>
      </c>
      <c r="J268" t="s">
        <v>331</v>
      </c>
      <c r="K268">
        <v>541.53439900000001</v>
      </c>
      <c r="L268">
        <v>950</v>
      </c>
      <c r="M268">
        <v>57.003621000000003</v>
      </c>
      <c r="N268">
        <v>3</v>
      </c>
      <c r="O268">
        <v>0</v>
      </c>
      <c r="P268">
        <v>61.484848</v>
      </c>
      <c r="Q268">
        <v>40.989897999999997</v>
      </c>
      <c r="R268">
        <v>50</v>
      </c>
      <c r="S268">
        <v>59.758628999999999</v>
      </c>
      <c r="T268">
        <v>72.299098999999998</v>
      </c>
      <c r="U268">
        <v>39.839086000000002</v>
      </c>
      <c r="V268">
        <v>50</v>
      </c>
      <c r="W268">
        <v>54.429217999999999</v>
      </c>
      <c r="X268">
        <v>36.286144999999998</v>
      </c>
      <c r="Y268">
        <v>50</v>
      </c>
      <c r="Z268">
        <v>62.880707999999998</v>
      </c>
      <c r="AA268">
        <v>53.080154</v>
      </c>
      <c r="AB268">
        <v>35.386769000000001</v>
      </c>
      <c r="AC268">
        <v>50</v>
      </c>
      <c r="AD268">
        <v>50.608144000000003</v>
      </c>
      <c r="AE268">
        <v>33.738762999999999</v>
      </c>
      <c r="AF268">
        <v>50</v>
      </c>
      <c r="AG268">
        <v>49.109676999999998</v>
      </c>
      <c r="AH268" t="s">
        <v>125</v>
      </c>
      <c r="AI268">
        <v>32.739784999999998</v>
      </c>
      <c r="AJ268">
        <v>50</v>
      </c>
      <c r="AK268">
        <v>12.54</v>
      </c>
      <c r="AL268">
        <v>9.8000000000000007</v>
      </c>
      <c r="AM268" t="s">
        <v>125</v>
      </c>
      <c r="AN268">
        <v>0.49277700000000002</v>
      </c>
      <c r="AO268">
        <v>49.277709000000002</v>
      </c>
      <c r="AP268">
        <v>100</v>
      </c>
      <c r="AQ268">
        <v>0.46910499999999999</v>
      </c>
      <c r="AR268">
        <v>46.910449999999997</v>
      </c>
      <c r="AS268">
        <v>100</v>
      </c>
      <c r="AT268">
        <v>0.49967</v>
      </c>
      <c r="AU268">
        <v>0.44482899999999997</v>
      </c>
      <c r="AV268">
        <v>49.966960999999998</v>
      </c>
      <c r="AW268">
        <v>100</v>
      </c>
      <c r="AX268">
        <v>0.46598299999999998</v>
      </c>
      <c r="AY268">
        <v>0.490817</v>
      </c>
      <c r="AZ268">
        <v>46.598326999999998</v>
      </c>
      <c r="BA268">
        <v>100</v>
      </c>
      <c r="BB268">
        <v>0.68317499999999998</v>
      </c>
      <c r="BC268">
        <v>34.158731000000003</v>
      </c>
      <c r="BD268">
        <v>50</v>
      </c>
      <c r="BE268">
        <v>0.47808499999999998</v>
      </c>
      <c r="BF268">
        <v>23.904250999999999</v>
      </c>
      <c r="BG268">
        <v>50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 t="s">
        <v>125</v>
      </c>
      <c r="BR268">
        <v>0.12307700000000001</v>
      </c>
      <c r="BS268">
        <v>35.384614999999997</v>
      </c>
      <c r="BT268">
        <v>50</v>
      </c>
      <c r="BU268">
        <v>0.13212399999999999</v>
      </c>
      <c r="BV268">
        <v>33.575130000000001</v>
      </c>
      <c r="BW268">
        <v>50</v>
      </c>
      <c r="BX268" t="s">
        <v>125</v>
      </c>
      <c r="BY268" t="s">
        <v>125</v>
      </c>
      <c r="BZ268" t="s">
        <v>125</v>
      </c>
      <c r="CA268" t="s">
        <v>125</v>
      </c>
      <c r="CB268" t="s">
        <v>125</v>
      </c>
      <c r="CC268" t="s">
        <v>125</v>
      </c>
      <c r="CD268" t="s">
        <v>125</v>
      </c>
      <c r="CE268" t="s">
        <v>125</v>
      </c>
      <c r="CF268" t="s">
        <v>125</v>
      </c>
      <c r="CG268" t="s">
        <v>125</v>
      </c>
      <c r="CH268" t="s">
        <v>125</v>
      </c>
      <c r="CI268" t="s">
        <v>125</v>
      </c>
      <c r="CJ268" t="s">
        <v>125</v>
      </c>
      <c r="CK268" t="s">
        <v>125</v>
      </c>
      <c r="CL268" t="s">
        <v>125</v>
      </c>
      <c r="CM268" t="s">
        <v>125</v>
      </c>
      <c r="CN268" t="s">
        <v>125</v>
      </c>
      <c r="CO268" t="s">
        <v>125</v>
      </c>
      <c r="CP268" t="s">
        <v>125</v>
      </c>
      <c r="CQ268">
        <v>8.3333000000000004E-2</v>
      </c>
      <c r="CR268">
        <v>0.83333299999999999</v>
      </c>
      <c r="CS268">
        <v>2.7777780000000001</v>
      </c>
      <c r="CT268">
        <v>50</v>
      </c>
      <c r="CU268" t="s">
        <v>125</v>
      </c>
      <c r="CV268" t="s">
        <v>125</v>
      </c>
      <c r="CW268" t="s">
        <v>125</v>
      </c>
      <c r="CX268" t="s">
        <v>125</v>
      </c>
      <c r="CY268" t="s">
        <v>125</v>
      </c>
      <c r="CZ268" t="s">
        <v>125</v>
      </c>
      <c r="DA268">
        <v>15.314097</v>
      </c>
      <c r="DB268">
        <v>17.400950000000002</v>
      </c>
      <c r="DC268">
        <v>16.332519999999999</v>
      </c>
      <c r="DD268" t="s">
        <v>125</v>
      </c>
      <c r="DE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Q268" t="s">
        <v>126</v>
      </c>
    </row>
    <row r="269" spans="1:121" x14ac:dyDescent="0.15">
      <c r="A269">
        <v>2018</v>
      </c>
      <c r="B269" t="s">
        <v>122</v>
      </c>
      <c r="C269" t="str">
        <f t="shared" si="2"/>
        <v>0150011</v>
      </c>
      <c r="D269" t="s">
        <v>405</v>
      </c>
      <c r="E269" t="str">
        <f>"0154611"</f>
        <v>0154611</v>
      </c>
      <c r="F269" t="s">
        <v>328</v>
      </c>
      <c r="G269" t="s">
        <v>339</v>
      </c>
      <c r="H269">
        <v>8</v>
      </c>
      <c r="I269" t="s">
        <v>336</v>
      </c>
      <c r="J269" t="s">
        <v>331</v>
      </c>
      <c r="K269">
        <v>714.12544200000002</v>
      </c>
      <c r="L269">
        <v>1000</v>
      </c>
      <c r="M269">
        <v>71.412543999999997</v>
      </c>
      <c r="N269">
        <v>2</v>
      </c>
      <c r="O269">
        <v>0</v>
      </c>
      <c r="P269">
        <v>74.114090000000004</v>
      </c>
      <c r="Q269">
        <v>49.409393999999999</v>
      </c>
      <c r="R269">
        <v>50</v>
      </c>
      <c r="S269">
        <v>71.971433000000005</v>
      </c>
      <c r="T269">
        <v>75</v>
      </c>
      <c r="U269">
        <v>47.980955000000002</v>
      </c>
      <c r="V269">
        <v>50</v>
      </c>
      <c r="W269">
        <v>67.328625000000002</v>
      </c>
      <c r="X269">
        <v>44.885750000000002</v>
      </c>
      <c r="Y269">
        <v>50</v>
      </c>
      <c r="Z269">
        <v>75</v>
      </c>
      <c r="AA269">
        <v>65.207952000000006</v>
      </c>
      <c r="AB269">
        <v>43.471967999999997</v>
      </c>
      <c r="AC269">
        <v>50</v>
      </c>
      <c r="AD269">
        <v>63.868043999999998</v>
      </c>
      <c r="AE269">
        <v>42.578696000000001</v>
      </c>
      <c r="AF269">
        <v>50</v>
      </c>
      <c r="AG269">
        <v>61.852328999999997</v>
      </c>
      <c r="AH269">
        <v>72.314847</v>
      </c>
      <c r="AI269">
        <v>41.234886000000003</v>
      </c>
      <c r="AJ269">
        <v>50</v>
      </c>
      <c r="AK269">
        <v>3.02</v>
      </c>
      <c r="AL269">
        <v>9.7899999999999991</v>
      </c>
      <c r="AM269">
        <v>10.46</v>
      </c>
      <c r="AN269">
        <v>0.59354499999999999</v>
      </c>
      <c r="AO269">
        <v>59.354548999999999</v>
      </c>
      <c r="AP269">
        <v>100</v>
      </c>
      <c r="AQ269">
        <v>0.49750499999999998</v>
      </c>
      <c r="AR269">
        <v>49.750515999999998</v>
      </c>
      <c r="AS269">
        <v>100</v>
      </c>
      <c r="AT269">
        <v>0.59419699999999998</v>
      </c>
      <c r="AU269">
        <v>0.59173600000000004</v>
      </c>
      <c r="AV269">
        <v>59.419694999999997</v>
      </c>
      <c r="AW269">
        <v>100</v>
      </c>
      <c r="AX269">
        <v>0.45786900000000003</v>
      </c>
      <c r="AY269">
        <v>0.60760599999999998</v>
      </c>
      <c r="AZ269">
        <v>45.786901999999998</v>
      </c>
      <c r="BA269">
        <v>100</v>
      </c>
      <c r="BB269">
        <v>0.83879400000000004</v>
      </c>
      <c r="BC269">
        <v>41.939689000000001</v>
      </c>
      <c r="BD269">
        <v>50</v>
      </c>
      <c r="BE269">
        <v>0.69419299999999995</v>
      </c>
      <c r="BF269">
        <v>34.709654</v>
      </c>
      <c r="BG269">
        <v>50</v>
      </c>
      <c r="BH269">
        <v>0</v>
      </c>
      <c r="BI269">
        <v>0.99689399999999995</v>
      </c>
      <c r="BJ269">
        <v>0.99616899999999997</v>
      </c>
      <c r="BK269">
        <v>1</v>
      </c>
      <c r="BL269">
        <v>0.99378900000000003</v>
      </c>
      <c r="BM269">
        <v>0.99233700000000002</v>
      </c>
      <c r="BN269">
        <v>1</v>
      </c>
      <c r="BO269">
        <v>0.98214299999999999</v>
      </c>
      <c r="BP269">
        <v>0.97802199999999995</v>
      </c>
      <c r="BQ269">
        <v>1</v>
      </c>
      <c r="BR269">
        <v>3.2051000000000003E-2</v>
      </c>
      <c r="BS269">
        <v>50</v>
      </c>
      <c r="BT269">
        <v>50</v>
      </c>
      <c r="BU269">
        <v>3.5616000000000002E-2</v>
      </c>
      <c r="BV269">
        <v>50</v>
      </c>
      <c r="BW269">
        <v>50</v>
      </c>
      <c r="BX269" t="s">
        <v>125</v>
      </c>
      <c r="BY269" t="s">
        <v>125</v>
      </c>
      <c r="BZ269" t="s">
        <v>125</v>
      </c>
      <c r="CA269" t="s">
        <v>125</v>
      </c>
      <c r="CB269" t="s">
        <v>125</v>
      </c>
      <c r="CC269" t="s">
        <v>125</v>
      </c>
      <c r="CD269">
        <v>0.85</v>
      </c>
      <c r="CE269">
        <v>45.212766000000002</v>
      </c>
      <c r="CF269">
        <v>50</v>
      </c>
      <c r="CG269" t="s">
        <v>125</v>
      </c>
      <c r="CH269" t="s">
        <v>125</v>
      </c>
      <c r="CI269" t="s">
        <v>125</v>
      </c>
      <c r="CJ269" t="s">
        <v>125</v>
      </c>
      <c r="CK269" t="s">
        <v>125</v>
      </c>
      <c r="CL269" t="s">
        <v>125</v>
      </c>
      <c r="CM269" t="s">
        <v>125</v>
      </c>
      <c r="CN269" t="s">
        <v>125</v>
      </c>
      <c r="CO269" t="s">
        <v>125</v>
      </c>
      <c r="CP269" t="s">
        <v>125</v>
      </c>
      <c r="CQ269">
        <v>0.25170100000000001</v>
      </c>
      <c r="CR269">
        <v>0.89090899999999995</v>
      </c>
      <c r="CS269">
        <v>8.3900229999999993</v>
      </c>
      <c r="CT269">
        <v>50</v>
      </c>
      <c r="CU269" t="s">
        <v>125</v>
      </c>
      <c r="CV269" t="s">
        <v>125</v>
      </c>
      <c r="CW269" t="s">
        <v>125</v>
      </c>
      <c r="CX269" t="s">
        <v>125</v>
      </c>
      <c r="CY269" t="s">
        <v>125</v>
      </c>
      <c r="CZ269" t="s">
        <v>125</v>
      </c>
      <c r="DA269">
        <v>15.314097</v>
      </c>
      <c r="DB269">
        <v>17.400950000000002</v>
      </c>
      <c r="DC269">
        <v>16.332519999999999</v>
      </c>
      <c r="DD269" t="s">
        <v>125</v>
      </c>
      <c r="DE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Q269" t="s">
        <v>126</v>
      </c>
    </row>
    <row r="270" spans="1:121" x14ac:dyDescent="0.15">
      <c r="A270">
        <v>2018</v>
      </c>
      <c r="B270" t="s">
        <v>122</v>
      </c>
      <c r="C270" t="str">
        <f t="shared" si="2"/>
        <v>0150011</v>
      </c>
      <c r="D270" t="s">
        <v>406</v>
      </c>
      <c r="E270" t="str">
        <f>"0151711"</f>
        <v>0151711</v>
      </c>
      <c r="F270" t="s">
        <v>328</v>
      </c>
      <c r="G270" t="s">
        <v>329</v>
      </c>
      <c r="H270">
        <v>8</v>
      </c>
      <c r="I270" t="s">
        <v>336</v>
      </c>
      <c r="J270" t="s">
        <v>331</v>
      </c>
      <c r="K270">
        <v>627.24614499999996</v>
      </c>
      <c r="L270">
        <v>900</v>
      </c>
      <c r="M270">
        <v>69.694016000000005</v>
      </c>
      <c r="N270">
        <v>3</v>
      </c>
      <c r="O270">
        <v>0</v>
      </c>
      <c r="P270">
        <v>63.399782000000002</v>
      </c>
      <c r="Q270">
        <v>42.266520999999997</v>
      </c>
      <c r="R270">
        <v>50</v>
      </c>
      <c r="S270">
        <v>61.234532999999999</v>
      </c>
      <c r="T270">
        <v>67.143094000000005</v>
      </c>
      <c r="U270">
        <v>40.823022000000002</v>
      </c>
      <c r="V270">
        <v>50</v>
      </c>
      <c r="W270">
        <v>53.359256000000002</v>
      </c>
      <c r="X270">
        <v>35.572837999999997</v>
      </c>
      <c r="Y270">
        <v>50</v>
      </c>
      <c r="Z270">
        <v>55.111569000000003</v>
      </c>
      <c r="AA270">
        <v>52.345663999999999</v>
      </c>
      <c r="AB270">
        <v>34.897109</v>
      </c>
      <c r="AC270">
        <v>50</v>
      </c>
      <c r="AD270">
        <v>59.316642999999999</v>
      </c>
      <c r="AE270">
        <v>39.544428000000003</v>
      </c>
      <c r="AF270">
        <v>50</v>
      </c>
      <c r="AG270">
        <v>60.497681</v>
      </c>
      <c r="AH270">
        <v>57.696148000000001</v>
      </c>
      <c r="AI270">
        <v>40.331786999999998</v>
      </c>
      <c r="AJ270">
        <v>50</v>
      </c>
      <c r="AK270">
        <v>5.9</v>
      </c>
      <c r="AL270">
        <v>2.76</v>
      </c>
      <c r="AM270">
        <v>-2.8</v>
      </c>
      <c r="AN270">
        <v>0.51472899999999999</v>
      </c>
      <c r="AO270">
        <v>51.47289</v>
      </c>
      <c r="AP270">
        <v>100</v>
      </c>
      <c r="AQ270">
        <v>0.44440099999999999</v>
      </c>
      <c r="AR270">
        <v>44.440123999999997</v>
      </c>
      <c r="AS270">
        <v>100</v>
      </c>
      <c r="AT270">
        <v>0.53115599999999996</v>
      </c>
      <c r="AU270">
        <v>0.49287799999999998</v>
      </c>
      <c r="AV270">
        <v>53.115572</v>
      </c>
      <c r="AW270">
        <v>100</v>
      </c>
      <c r="AX270">
        <v>0.46619899999999997</v>
      </c>
      <c r="AY270">
        <v>0.41540700000000003</v>
      </c>
      <c r="AZ270">
        <v>46.619858999999998</v>
      </c>
      <c r="BA270">
        <v>100</v>
      </c>
      <c r="BB270" t="s">
        <v>125</v>
      </c>
      <c r="BC270" t="s">
        <v>125</v>
      </c>
      <c r="BD270" t="s">
        <v>125</v>
      </c>
      <c r="BE270" t="s">
        <v>125</v>
      </c>
      <c r="BF270" t="s">
        <v>125</v>
      </c>
      <c r="BG270" t="s">
        <v>125</v>
      </c>
      <c r="BH270">
        <v>0</v>
      </c>
      <c r="BI270">
        <v>0.99082599999999998</v>
      </c>
      <c r="BJ270">
        <v>0.98557700000000004</v>
      </c>
      <c r="BK270">
        <v>1</v>
      </c>
      <c r="BL270">
        <v>0.99082599999999998</v>
      </c>
      <c r="BM270">
        <v>0.98557700000000004</v>
      </c>
      <c r="BN270">
        <v>1</v>
      </c>
      <c r="BO270">
        <v>1</v>
      </c>
      <c r="BP270">
        <v>1</v>
      </c>
      <c r="BQ270">
        <v>1</v>
      </c>
      <c r="BR270">
        <v>4.2596000000000002E-2</v>
      </c>
      <c r="BS270">
        <v>50</v>
      </c>
      <c r="BT270">
        <v>50</v>
      </c>
      <c r="BU270">
        <v>5.919E-2</v>
      </c>
      <c r="BV270">
        <v>48.161994</v>
      </c>
      <c r="BW270">
        <v>50</v>
      </c>
      <c r="BX270" t="s">
        <v>125</v>
      </c>
      <c r="BY270" t="s">
        <v>125</v>
      </c>
      <c r="BZ270" t="s">
        <v>125</v>
      </c>
      <c r="CA270" t="s">
        <v>125</v>
      </c>
      <c r="CB270" t="s">
        <v>125</v>
      </c>
      <c r="CC270" t="s">
        <v>125</v>
      </c>
      <c r="CD270">
        <v>1</v>
      </c>
      <c r="CE270">
        <v>50</v>
      </c>
      <c r="CF270">
        <v>50</v>
      </c>
      <c r="CG270" t="s">
        <v>125</v>
      </c>
      <c r="CH270" t="s">
        <v>125</v>
      </c>
      <c r="CI270" t="s">
        <v>125</v>
      </c>
      <c r="CJ270" t="s">
        <v>125</v>
      </c>
      <c r="CK270" t="s">
        <v>125</v>
      </c>
      <c r="CL270" t="s">
        <v>125</v>
      </c>
      <c r="CM270" t="s">
        <v>125</v>
      </c>
      <c r="CN270" t="s">
        <v>125</v>
      </c>
      <c r="CO270" t="s">
        <v>125</v>
      </c>
      <c r="CP270" t="s">
        <v>125</v>
      </c>
      <c r="CQ270">
        <v>0.75155300000000003</v>
      </c>
      <c r="CR270">
        <v>0.96407200000000004</v>
      </c>
      <c r="CS270">
        <v>50</v>
      </c>
      <c r="CT270">
        <v>50</v>
      </c>
      <c r="CU270" t="s">
        <v>125</v>
      </c>
      <c r="CV270" t="s">
        <v>125</v>
      </c>
      <c r="CW270" t="s">
        <v>125</v>
      </c>
      <c r="CX270" t="s">
        <v>125</v>
      </c>
      <c r="CY270" t="s">
        <v>125</v>
      </c>
      <c r="CZ270" t="s">
        <v>125</v>
      </c>
      <c r="DA270">
        <v>15.314097</v>
      </c>
      <c r="DB270">
        <v>17.400950000000002</v>
      </c>
      <c r="DC270">
        <v>16.332519999999999</v>
      </c>
      <c r="DD270" t="s">
        <v>125</v>
      </c>
      <c r="DE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Q270" t="s">
        <v>126</v>
      </c>
    </row>
    <row r="271" spans="1:121" x14ac:dyDescent="0.15">
      <c r="A271">
        <v>2018</v>
      </c>
      <c r="B271" t="s">
        <v>122</v>
      </c>
      <c r="C271" t="str">
        <f t="shared" si="2"/>
        <v>0150011</v>
      </c>
      <c r="D271" t="s">
        <v>407</v>
      </c>
      <c r="E271" t="str">
        <f>"0154111"</f>
        <v>0154111</v>
      </c>
      <c r="F271" t="s">
        <v>328</v>
      </c>
      <c r="G271" t="s">
        <v>329</v>
      </c>
      <c r="H271">
        <v>8</v>
      </c>
      <c r="I271" t="s">
        <v>336</v>
      </c>
      <c r="J271" t="s">
        <v>331</v>
      </c>
      <c r="K271">
        <v>524.51701000000003</v>
      </c>
      <c r="L271">
        <v>1000</v>
      </c>
      <c r="M271">
        <v>52.451701</v>
      </c>
      <c r="N271">
        <v>5</v>
      </c>
      <c r="O271">
        <v>0</v>
      </c>
      <c r="P271">
        <v>50.738759999999999</v>
      </c>
      <c r="Q271">
        <v>33.825839999999999</v>
      </c>
      <c r="R271">
        <v>50</v>
      </c>
      <c r="S271">
        <v>50.393244000000003</v>
      </c>
      <c r="T271" t="s">
        <v>125</v>
      </c>
      <c r="U271">
        <v>33.595495999999997</v>
      </c>
      <c r="V271">
        <v>50</v>
      </c>
      <c r="W271">
        <v>41.937201000000002</v>
      </c>
      <c r="X271">
        <v>27.958134000000001</v>
      </c>
      <c r="Y271">
        <v>50</v>
      </c>
      <c r="Z271" t="s">
        <v>125</v>
      </c>
      <c r="AA271">
        <v>41.696922999999998</v>
      </c>
      <c r="AB271">
        <v>27.797948999999999</v>
      </c>
      <c r="AC271">
        <v>50</v>
      </c>
      <c r="AD271">
        <v>45.024521</v>
      </c>
      <c r="AE271">
        <v>30.016348000000001</v>
      </c>
      <c r="AF271">
        <v>50</v>
      </c>
      <c r="AG271">
        <v>44.341379000000003</v>
      </c>
      <c r="AH271" t="s">
        <v>125</v>
      </c>
      <c r="AI271">
        <v>29.560919999999999</v>
      </c>
      <c r="AJ271">
        <v>50</v>
      </c>
      <c r="AK271" t="s">
        <v>125</v>
      </c>
      <c r="AL271" t="s">
        <v>125</v>
      </c>
      <c r="AM271" t="s">
        <v>125</v>
      </c>
      <c r="AN271">
        <v>0.59769499999999998</v>
      </c>
      <c r="AO271">
        <v>59.769525999999999</v>
      </c>
      <c r="AP271">
        <v>100</v>
      </c>
      <c r="AQ271">
        <v>0.54449499999999995</v>
      </c>
      <c r="AR271">
        <v>54.449463000000002</v>
      </c>
      <c r="AS271">
        <v>100</v>
      </c>
      <c r="AT271">
        <v>0.58133199999999996</v>
      </c>
      <c r="AU271" t="s">
        <v>125</v>
      </c>
      <c r="AV271">
        <v>58.133201</v>
      </c>
      <c r="AW271">
        <v>100</v>
      </c>
      <c r="AX271">
        <v>0.55566099999999996</v>
      </c>
      <c r="AY271" t="s">
        <v>125</v>
      </c>
      <c r="AZ271">
        <v>55.566125</v>
      </c>
      <c r="BA271">
        <v>100</v>
      </c>
      <c r="BB271">
        <v>0.41691400000000001</v>
      </c>
      <c r="BC271">
        <v>20.845694999999999</v>
      </c>
      <c r="BD271">
        <v>50</v>
      </c>
      <c r="BE271">
        <v>0.422292</v>
      </c>
      <c r="BF271">
        <v>21.114615000000001</v>
      </c>
      <c r="BG271">
        <v>50</v>
      </c>
      <c r="BH271">
        <v>0</v>
      </c>
      <c r="BI271">
        <v>1</v>
      </c>
      <c r="BJ271">
        <v>1</v>
      </c>
      <c r="BK271" t="s">
        <v>125</v>
      </c>
      <c r="BL271">
        <v>0.99507400000000001</v>
      </c>
      <c r="BM271">
        <v>0.99459500000000001</v>
      </c>
      <c r="BN271" t="s">
        <v>125</v>
      </c>
      <c r="BO271">
        <v>0.98734200000000005</v>
      </c>
      <c r="BP271">
        <v>0.98611099999999996</v>
      </c>
      <c r="BQ271" t="s">
        <v>125</v>
      </c>
      <c r="BR271">
        <v>0.30340600000000001</v>
      </c>
      <c r="BS271">
        <v>0</v>
      </c>
      <c r="BT271">
        <v>50</v>
      </c>
      <c r="BU271">
        <v>0.30272100000000002</v>
      </c>
      <c r="BV271">
        <v>0</v>
      </c>
      <c r="BW271">
        <v>50</v>
      </c>
      <c r="BX271" t="s">
        <v>125</v>
      </c>
      <c r="BY271" t="s">
        <v>125</v>
      </c>
      <c r="BZ271" t="s">
        <v>125</v>
      </c>
      <c r="CA271" t="s">
        <v>125</v>
      </c>
      <c r="CB271" t="s">
        <v>125</v>
      </c>
      <c r="CC271" t="s">
        <v>125</v>
      </c>
      <c r="CD271">
        <v>0.67857100000000004</v>
      </c>
      <c r="CE271">
        <v>36.094225000000002</v>
      </c>
      <c r="CF271">
        <v>50</v>
      </c>
      <c r="CG271" t="s">
        <v>125</v>
      </c>
      <c r="CH271" t="s">
        <v>125</v>
      </c>
      <c r="CI271" t="s">
        <v>125</v>
      </c>
      <c r="CJ271" t="s">
        <v>125</v>
      </c>
      <c r="CK271" t="s">
        <v>125</v>
      </c>
      <c r="CL271" t="s">
        <v>125</v>
      </c>
      <c r="CM271" t="s">
        <v>125</v>
      </c>
      <c r="CN271" t="s">
        <v>125</v>
      </c>
      <c r="CO271" t="s">
        <v>125</v>
      </c>
      <c r="CP271" t="s">
        <v>125</v>
      </c>
      <c r="CQ271">
        <v>0.53684200000000004</v>
      </c>
      <c r="CR271">
        <v>0.96938800000000003</v>
      </c>
      <c r="CS271">
        <v>35.789473999999998</v>
      </c>
      <c r="CT271">
        <v>50</v>
      </c>
      <c r="CU271" t="s">
        <v>125</v>
      </c>
      <c r="CV271" t="s">
        <v>125</v>
      </c>
      <c r="CW271" t="s">
        <v>125</v>
      </c>
      <c r="CX271" t="s">
        <v>125</v>
      </c>
      <c r="CY271" t="s">
        <v>125</v>
      </c>
      <c r="CZ271" t="s">
        <v>125</v>
      </c>
      <c r="DA271">
        <v>15.314097</v>
      </c>
      <c r="DB271">
        <v>17.400950000000002</v>
      </c>
      <c r="DC271">
        <v>16.332519999999999</v>
      </c>
      <c r="DD271" t="s">
        <v>125</v>
      </c>
      <c r="DE271">
        <v>0</v>
      </c>
      <c r="DF271" t="s">
        <v>376</v>
      </c>
      <c r="DG271" t="s">
        <v>377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Q271" t="s">
        <v>126</v>
      </c>
    </row>
    <row r="272" spans="1:121" x14ac:dyDescent="0.15">
      <c r="A272">
        <v>2018</v>
      </c>
      <c r="B272" t="s">
        <v>122</v>
      </c>
      <c r="C272" t="str">
        <f t="shared" si="2"/>
        <v>0150011</v>
      </c>
      <c r="D272" t="s">
        <v>408</v>
      </c>
      <c r="E272" t="str">
        <f>"0152511"</f>
        <v>0152511</v>
      </c>
      <c r="F272" t="s">
        <v>328</v>
      </c>
      <c r="G272" t="s">
        <v>329</v>
      </c>
      <c r="H272">
        <v>8</v>
      </c>
      <c r="I272" t="s">
        <v>336</v>
      </c>
      <c r="J272" t="s">
        <v>331</v>
      </c>
      <c r="K272">
        <v>591.416653</v>
      </c>
      <c r="L272">
        <v>1000</v>
      </c>
      <c r="M272">
        <v>59.141665000000003</v>
      </c>
      <c r="N272">
        <v>3</v>
      </c>
      <c r="O272">
        <v>0</v>
      </c>
      <c r="P272">
        <v>56.877025000000003</v>
      </c>
      <c r="Q272">
        <v>37.918016999999999</v>
      </c>
      <c r="R272">
        <v>50</v>
      </c>
      <c r="S272">
        <v>55.606834999999997</v>
      </c>
      <c r="T272">
        <v>62.243222000000003</v>
      </c>
      <c r="U272">
        <v>37.071223000000003</v>
      </c>
      <c r="V272">
        <v>50</v>
      </c>
      <c r="W272">
        <v>45.805481</v>
      </c>
      <c r="X272">
        <v>30.536987</v>
      </c>
      <c r="Y272">
        <v>50</v>
      </c>
      <c r="Z272">
        <v>50.554186000000001</v>
      </c>
      <c r="AA272">
        <v>44.678455</v>
      </c>
      <c r="AB272">
        <v>29.785637000000001</v>
      </c>
      <c r="AC272">
        <v>50</v>
      </c>
      <c r="AD272">
        <v>53.022058999999999</v>
      </c>
      <c r="AE272">
        <v>35.348039</v>
      </c>
      <c r="AF272">
        <v>50</v>
      </c>
      <c r="AG272">
        <v>52.305481</v>
      </c>
      <c r="AH272">
        <v>55.519846999999999</v>
      </c>
      <c r="AI272">
        <v>34.87032</v>
      </c>
      <c r="AJ272">
        <v>50</v>
      </c>
      <c r="AK272">
        <v>6.63</v>
      </c>
      <c r="AL272">
        <v>5.87</v>
      </c>
      <c r="AM272">
        <v>3.21</v>
      </c>
      <c r="AN272">
        <v>0.56040400000000001</v>
      </c>
      <c r="AO272">
        <v>56.040405</v>
      </c>
      <c r="AP272">
        <v>100</v>
      </c>
      <c r="AQ272">
        <v>0.54105400000000003</v>
      </c>
      <c r="AR272">
        <v>54.105370000000001</v>
      </c>
      <c r="AS272">
        <v>100</v>
      </c>
      <c r="AT272">
        <v>0.53500000000000003</v>
      </c>
      <c r="AU272">
        <v>0.64707499999999996</v>
      </c>
      <c r="AV272">
        <v>53.500044000000003</v>
      </c>
      <c r="AW272">
        <v>100</v>
      </c>
      <c r="AX272">
        <v>0.54372299999999996</v>
      </c>
      <c r="AY272">
        <v>0.53200899999999995</v>
      </c>
      <c r="AZ272">
        <v>54.372309999999999</v>
      </c>
      <c r="BA272">
        <v>100</v>
      </c>
      <c r="BB272">
        <v>0.68868499999999999</v>
      </c>
      <c r="BC272">
        <v>34.434238999999998</v>
      </c>
      <c r="BD272">
        <v>50</v>
      </c>
      <c r="BE272">
        <v>0.47193200000000002</v>
      </c>
      <c r="BF272">
        <v>23.596623999999998</v>
      </c>
      <c r="BG272">
        <v>50</v>
      </c>
      <c r="BH272">
        <v>0</v>
      </c>
      <c r="BI272">
        <v>0.99426400000000004</v>
      </c>
      <c r="BJ272">
        <v>0.99287400000000003</v>
      </c>
      <c r="BK272">
        <v>1</v>
      </c>
      <c r="BL272">
        <v>0.99238099999999996</v>
      </c>
      <c r="BM272">
        <v>0.99054399999999998</v>
      </c>
      <c r="BN272">
        <v>1</v>
      </c>
      <c r="BO272">
        <v>0.98314599999999996</v>
      </c>
      <c r="BP272">
        <v>0.97810200000000003</v>
      </c>
      <c r="BQ272">
        <v>1</v>
      </c>
      <c r="BR272">
        <v>0.184555</v>
      </c>
      <c r="BS272">
        <v>23.089005</v>
      </c>
      <c r="BT272">
        <v>50</v>
      </c>
      <c r="BU272">
        <v>0.20846899999999999</v>
      </c>
      <c r="BV272">
        <v>18.306189</v>
      </c>
      <c r="BW272">
        <v>50</v>
      </c>
      <c r="BX272" t="s">
        <v>125</v>
      </c>
      <c r="BY272" t="s">
        <v>125</v>
      </c>
      <c r="BZ272" t="s">
        <v>125</v>
      </c>
      <c r="CA272" t="s">
        <v>125</v>
      </c>
      <c r="CB272" t="s">
        <v>125</v>
      </c>
      <c r="CC272" t="s">
        <v>125</v>
      </c>
      <c r="CD272">
        <v>0.71951200000000004</v>
      </c>
      <c r="CE272">
        <v>38.271925000000003</v>
      </c>
      <c r="CF272">
        <v>50</v>
      </c>
      <c r="CG272" t="s">
        <v>125</v>
      </c>
      <c r="CH272" t="s">
        <v>125</v>
      </c>
      <c r="CI272" t="s">
        <v>125</v>
      </c>
      <c r="CJ272" t="s">
        <v>125</v>
      </c>
      <c r="CK272" t="s">
        <v>125</v>
      </c>
      <c r="CL272" t="s">
        <v>125</v>
      </c>
      <c r="CM272" t="s">
        <v>125</v>
      </c>
      <c r="CN272" t="s">
        <v>125</v>
      </c>
      <c r="CO272" t="s">
        <v>125</v>
      </c>
      <c r="CP272" t="s">
        <v>125</v>
      </c>
      <c r="CQ272">
        <v>0.45255499999999999</v>
      </c>
      <c r="CR272">
        <v>0.96478900000000001</v>
      </c>
      <c r="CS272">
        <v>30.170316</v>
      </c>
      <c r="CT272">
        <v>50</v>
      </c>
      <c r="CU272" t="s">
        <v>125</v>
      </c>
      <c r="CV272" t="s">
        <v>125</v>
      </c>
      <c r="CW272" t="s">
        <v>125</v>
      </c>
      <c r="CX272" t="s">
        <v>125</v>
      </c>
      <c r="CY272" t="s">
        <v>125</v>
      </c>
      <c r="CZ272" t="s">
        <v>125</v>
      </c>
      <c r="DA272">
        <v>15.314097</v>
      </c>
      <c r="DB272">
        <v>17.400950000000002</v>
      </c>
      <c r="DC272">
        <v>16.332519999999999</v>
      </c>
      <c r="DD272" t="s">
        <v>125</v>
      </c>
      <c r="DE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Q272" t="s">
        <v>126</v>
      </c>
    </row>
    <row r="273" spans="1:121" x14ac:dyDescent="0.15">
      <c r="A273">
        <v>2018</v>
      </c>
      <c r="B273" t="s">
        <v>122</v>
      </c>
      <c r="C273" t="str">
        <f t="shared" si="2"/>
        <v>0150011</v>
      </c>
      <c r="D273" t="s">
        <v>409</v>
      </c>
      <c r="E273" t="str">
        <f>"0152611"</f>
        <v>0152611</v>
      </c>
      <c r="F273" t="s">
        <v>328</v>
      </c>
      <c r="G273" t="s">
        <v>329</v>
      </c>
      <c r="H273">
        <v>8</v>
      </c>
      <c r="I273" t="s">
        <v>336</v>
      </c>
      <c r="J273" t="s">
        <v>331</v>
      </c>
      <c r="K273">
        <v>531.74210400000004</v>
      </c>
      <c r="L273">
        <v>1000</v>
      </c>
      <c r="M273">
        <v>53.174210000000002</v>
      </c>
      <c r="N273">
        <v>5</v>
      </c>
      <c r="O273">
        <v>0</v>
      </c>
      <c r="P273">
        <v>50.132528999999998</v>
      </c>
      <c r="Q273">
        <v>33.421686000000001</v>
      </c>
      <c r="R273">
        <v>50</v>
      </c>
      <c r="S273">
        <v>49.812469999999998</v>
      </c>
      <c r="T273">
        <v>53.226438999999999</v>
      </c>
      <c r="U273">
        <v>33.208312999999997</v>
      </c>
      <c r="V273">
        <v>50</v>
      </c>
      <c r="W273">
        <v>40.008777000000002</v>
      </c>
      <c r="X273">
        <v>26.672518</v>
      </c>
      <c r="Y273">
        <v>50</v>
      </c>
      <c r="Z273">
        <v>43.530572999999997</v>
      </c>
      <c r="AA273">
        <v>39.644452999999999</v>
      </c>
      <c r="AB273">
        <v>26.429635000000001</v>
      </c>
      <c r="AC273">
        <v>50</v>
      </c>
      <c r="AD273">
        <v>45.736018000000001</v>
      </c>
      <c r="AE273">
        <v>30.490679</v>
      </c>
      <c r="AF273">
        <v>50</v>
      </c>
      <c r="AG273">
        <v>45.585706999999999</v>
      </c>
      <c r="AH273" t="s">
        <v>125</v>
      </c>
      <c r="AI273">
        <v>30.390471000000002</v>
      </c>
      <c r="AJ273">
        <v>50</v>
      </c>
      <c r="AK273">
        <v>3.41</v>
      </c>
      <c r="AL273">
        <v>3.88</v>
      </c>
      <c r="AM273" t="s">
        <v>125</v>
      </c>
      <c r="AN273">
        <v>0.56099699999999997</v>
      </c>
      <c r="AO273">
        <v>56.099651999999999</v>
      </c>
      <c r="AP273">
        <v>100</v>
      </c>
      <c r="AQ273">
        <v>0.41845700000000002</v>
      </c>
      <c r="AR273">
        <v>41.845744000000003</v>
      </c>
      <c r="AS273">
        <v>100</v>
      </c>
      <c r="AT273">
        <v>0.58663100000000001</v>
      </c>
      <c r="AU273">
        <v>0.31579699999999999</v>
      </c>
      <c r="AV273">
        <v>58.663103</v>
      </c>
      <c r="AW273">
        <v>100</v>
      </c>
      <c r="AX273">
        <v>0.43885800000000003</v>
      </c>
      <c r="AY273">
        <v>0.223325</v>
      </c>
      <c r="AZ273">
        <v>43.885762999999997</v>
      </c>
      <c r="BA273">
        <v>100</v>
      </c>
      <c r="BB273">
        <v>0.55647599999999997</v>
      </c>
      <c r="BC273">
        <v>27.823810999999999</v>
      </c>
      <c r="BD273">
        <v>50</v>
      </c>
      <c r="BE273">
        <v>0.39471099999999998</v>
      </c>
      <c r="BF273">
        <v>19.73554</v>
      </c>
      <c r="BG273">
        <v>50</v>
      </c>
      <c r="BH273">
        <v>0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 t="s">
        <v>125</v>
      </c>
      <c r="BR273">
        <v>0.13914699999999999</v>
      </c>
      <c r="BS273">
        <v>32.170686000000003</v>
      </c>
      <c r="BT273">
        <v>50</v>
      </c>
      <c r="BU273">
        <v>0.14574899999999999</v>
      </c>
      <c r="BV273">
        <v>30.850201999999999</v>
      </c>
      <c r="BW273">
        <v>50</v>
      </c>
      <c r="BX273" t="s">
        <v>125</v>
      </c>
      <c r="BY273" t="s">
        <v>125</v>
      </c>
      <c r="BZ273" t="s">
        <v>125</v>
      </c>
      <c r="CA273" t="s">
        <v>125</v>
      </c>
      <c r="CB273" t="s">
        <v>125</v>
      </c>
      <c r="CC273" t="s">
        <v>125</v>
      </c>
      <c r="CD273">
        <v>0.71875</v>
      </c>
      <c r="CE273">
        <v>38.231383000000001</v>
      </c>
      <c r="CF273">
        <v>50</v>
      </c>
      <c r="CG273" t="s">
        <v>125</v>
      </c>
      <c r="CH273" t="s">
        <v>125</v>
      </c>
      <c r="CI273" t="s">
        <v>125</v>
      </c>
      <c r="CJ273" t="s">
        <v>125</v>
      </c>
      <c r="CK273" t="s">
        <v>125</v>
      </c>
      <c r="CL273" t="s">
        <v>125</v>
      </c>
      <c r="CM273" t="s">
        <v>125</v>
      </c>
      <c r="CN273" t="s">
        <v>125</v>
      </c>
      <c r="CO273" t="s">
        <v>125</v>
      </c>
      <c r="CP273" t="s">
        <v>125</v>
      </c>
      <c r="CQ273">
        <v>0.109375</v>
      </c>
      <c r="CR273">
        <v>0.69945400000000002</v>
      </c>
      <c r="CS273">
        <v>1.8229169999999999</v>
      </c>
      <c r="CT273">
        <v>50</v>
      </c>
      <c r="CU273" t="s">
        <v>125</v>
      </c>
      <c r="CV273" t="s">
        <v>125</v>
      </c>
      <c r="CW273" t="s">
        <v>125</v>
      </c>
      <c r="CX273" t="s">
        <v>125</v>
      </c>
      <c r="CY273" t="s">
        <v>125</v>
      </c>
      <c r="CZ273" t="s">
        <v>125</v>
      </c>
      <c r="DA273">
        <v>15.314097</v>
      </c>
      <c r="DB273">
        <v>17.400950000000002</v>
      </c>
      <c r="DC273">
        <v>16.332519999999999</v>
      </c>
      <c r="DD273" t="s">
        <v>125</v>
      </c>
      <c r="DE273">
        <v>0</v>
      </c>
      <c r="DF273" t="s">
        <v>376</v>
      </c>
      <c r="DG273" t="s">
        <v>377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Q273" t="s">
        <v>126</v>
      </c>
    </row>
    <row r="274" spans="1:121" x14ac:dyDescent="0.15">
      <c r="A274">
        <v>2018</v>
      </c>
      <c r="B274" t="s">
        <v>122</v>
      </c>
      <c r="C274" t="str">
        <f t="shared" si="2"/>
        <v>0150011</v>
      </c>
      <c r="D274" t="s">
        <v>410</v>
      </c>
      <c r="E274" t="str">
        <f>"0151311"</f>
        <v>0151311</v>
      </c>
      <c r="F274" t="s">
        <v>328</v>
      </c>
      <c r="G274" t="s">
        <v>339</v>
      </c>
      <c r="H274">
        <v>8</v>
      </c>
      <c r="I274" t="s">
        <v>336</v>
      </c>
      <c r="J274" t="s">
        <v>331</v>
      </c>
      <c r="K274">
        <v>573.55321400000003</v>
      </c>
      <c r="L274">
        <v>900</v>
      </c>
      <c r="M274">
        <v>63.728135000000002</v>
      </c>
      <c r="N274">
        <v>3</v>
      </c>
      <c r="O274">
        <v>0</v>
      </c>
      <c r="P274">
        <v>60.620860999999998</v>
      </c>
      <c r="Q274">
        <v>40.413907000000002</v>
      </c>
      <c r="R274">
        <v>50</v>
      </c>
      <c r="S274">
        <v>57.379085000000003</v>
      </c>
      <c r="T274">
        <v>68.094956999999994</v>
      </c>
      <c r="U274">
        <v>38.252723000000003</v>
      </c>
      <c r="V274">
        <v>50</v>
      </c>
      <c r="W274">
        <v>49.745485000000002</v>
      </c>
      <c r="X274">
        <v>33.163656000000003</v>
      </c>
      <c r="Y274">
        <v>50</v>
      </c>
      <c r="Z274">
        <v>57.350295000000003</v>
      </c>
      <c r="AA274">
        <v>46.427022000000001</v>
      </c>
      <c r="AB274">
        <v>30.951347999999999</v>
      </c>
      <c r="AC274">
        <v>50</v>
      </c>
      <c r="AD274">
        <v>49.194254000000001</v>
      </c>
      <c r="AE274">
        <v>32.796168999999999</v>
      </c>
      <c r="AF274">
        <v>50</v>
      </c>
      <c r="AG274">
        <v>47.552799999999998</v>
      </c>
      <c r="AH274">
        <v>53.962285999999999</v>
      </c>
      <c r="AI274">
        <v>31.701867</v>
      </c>
      <c r="AJ274">
        <v>50</v>
      </c>
      <c r="AK274">
        <v>10.71</v>
      </c>
      <c r="AL274">
        <v>10.92</v>
      </c>
      <c r="AM274">
        <v>6.4</v>
      </c>
      <c r="AN274">
        <v>0.59150899999999995</v>
      </c>
      <c r="AO274">
        <v>59.150897999999998</v>
      </c>
      <c r="AP274">
        <v>100</v>
      </c>
      <c r="AQ274">
        <v>0.49947999999999998</v>
      </c>
      <c r="AR274">
        <v>49.947997000000001</v>
      </c>
      <c r="AS274">
        <v>100</v>
      </c>
      <c r="AT274">
        <v>0.60729200000000005</v>
      </c>
      <c r="AU274">
        <v>0.55520800000000003</v>
      </c>
      <c r="AV274">
        <v>60.729190000000003</v>
      </c>
      <c r="AW274">
        <v>100</v>
      </c>
      <c r="AX274">
        <v>0.48647200000000002</v>
      </c>
      <c r="AY274">
        <v>0.52918200000000004</v>
      </c>
      <c r="AZ274">
        <v>48.647191999999997</v>
      </c>
      <c r="BA274">
        <v>100</v>
      </c>
      <c r="BB274" t="s">
        <v>125</v>
      </c>
      <c r="BC274" t="s">
        <v>125</v>
      </c>
      <c r="BD274" t="s">
        <v>125</v>
      </c>
      <c r="BE274" t="s">
        <v>125</v>
      </c>
      <c r="BF274" t="s">
        <v>125</v>
      </c>
      <c r="BG274" t="s">
        <v>125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0.13559299999999999</v>
      </c>
      <c r="BS274">
        <v>32.881355999999997</v>
      </c>
      <c r="BT274">
        <v>50</v>
      </c>
      <c r="BU274">
        <v>0.15354300000000001</v>
      </c>
      <c r="BV274">
        <v>29.291339000000001</v>
      </c>
      <c r="BW274">
        <v>50</v>
      </c>
      <c r="BX274" t="s">
        <v>125</v>
      </c>
      <c r="BY274" t="s">
        <v>125</v>
      </c>
      <c r="BZ274" t="s">
        <v>125</v>
      </c>
      <c r="CA274" t="s">
        <v>125</v>
      </c>
      <c r="CB274" t="s">
        <v>125</v>
      </c>
      <c r="CC274" t="s">
        <v>125</v>
      </c>
      <c r="CD274">
        <v>0.81818199999999996</v>
      </c>
      <c r="CE274">
        <v>43.520308999999997</v>
      </c>
      <c r="CF274">
        <v>50</v>
      </c>
      <c r="CG274" t="s">
        <v>125</v>
      </c>
      <c r="CH274" t="s">
        <v>125</v>
      </c>
      <c r="CI274" t="s">
        <v>125</v>
      </c>
      <c r="CJ274" t="s">
        <v>125</v>
      </c>
      <c r="CK274" t="s">
        <v>125</v>
      </c>
      <c r="CL274" t="s">
        <v>125</v>
      </c>
      <c r="CM274" t="s">
        <v>125</v>
      </c>
      <c r="CN274" t="s">
        <v>125</v>
      </c>
      <c r="CO274" t="s">
        <v>125</v>
      </c>
      <c r="CP274" t="s">
        <v>125</v>
      </c>
      <c r="CQ274">
        <v>0.631579</v>
      </c>
      <c r="CR274">
        <v>1.007576</v>
      </c>
      <c r="CS274">
        <v>42.105263000000001</v>
      </c>
      <c r="CT274">
        <v>50</v>
      </c>
      <c r="CU274" t="s">
        <v>125</v>
      </c>
      <c r="CV274" t="s">
        <v>125</v>
      </c>
      <c r="CW274" t="s">
        <v>125</v>
      </c>
      <c r="CX274" t="s">
        <v>125</v>
      </c>
      <c r="CY274" t="s">
        <v>125</v>
      </c>
      <c r="CZ274" t="s">
        <v>125</v>
      </c>
      <c r="DA274">
        <v>15.314097</v>
      </c>
      <c r="DB274">
        <v>17.400950000000002</v>
      </c>
      <c r="DC274">
        <v>16.332519999999999</v>
      </c>
      <c r="DD274" t="s">
        <v>125</v>
      </c>
      <c r="DE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Q274" t="s">
        <v>126</v>
      </c>
    </row>
    <row r="275" spans="1:121" x14ac:dyDescent="0.15">
      <c r="A275">
        <v>2018</v>
      </c>
      <c r="B275" t="s">
        <v>122</v>
      </c>
      <c r="C275" t="str">
        <f t="shared" si="2"/>
        <v>0150011</v>
      </c>
      <c r="D275" t="s">
        <v>411</v>
      </c>
      <c r="E275" t="str">
        <f>"0153011"</f>
        <v>0153011</v>
      </c>
      <c r="F275" t="s">
        <v>328</v>
      </c>
      <c r="G275" t="s">
        <v>329</v>
      </c>
      <c r="H275">
        <v>8</v>
      </c>
      <c r="I275" t="s">
        <v>336</v>
      </c>
      <c r="J275" t="s">
        <v>331</v>
      </c>
      <c r="K275">
        <v>554.84887600000002</v>
      </c>
      <c r="L275">
        <v>1000</v>
      </c>
      <c r="M275">
        <v>55.484887999999998</v>
      </c>
      <c r="N275">
        <v>3</v>
      </c>
      <c r="O275">
        <v>0</v>
      </c>
      <c r="P275">
        <v>54.304583999999998</v>
      </c>
      <c r="Q275">
        <v>36.203055999999997</v>
      </c>
      <c r="R275">
        <v>50</v>
      </c>
      <c r="S275">
        <v>53.361669999999997</v>
      </c>
      <c r="T275">
        <v>66.185298000000003</v>
      </c>
      <c r="U275">
        <v>35.574446999999999</v>
      </c>
      <c r="V275">
        <v>50</v>
      </c>
      <c r="W275">
        <v>47.127350999999997</v>
      </c>
      <c r="X275">
        <v>31.418234000000002</v>
      </c>
      <c r="Y275">
        <v>50</v>
      </c>
      <c r="Z275">
        <v>58.896548000000003</v>
      </c>
      <c r="AA275">
        <v>46.189565999999999</v>
      </c>
      <c r="AB275">
        <v>30.793043999999998</v>
      </c>
      <c r="AC275">
        <v>50</v>
      </c>
      <c r="AD275">
        <v>50.836863999999998</v>
      </c>
      <c r="AE275">
        <v>33.891243000000003</v>
      </c>
      <c r="AF275">
        <v>50</v>
      </c>
      <c r="AG275">
        <v>49.021687</v>
      </c>
      <c r="AH275" t="s">
        <v>125</v>
      </c>
      <c r="AI275">
        <v>32.681125000000002</v>
      </c>
      <c r="AJ275">
        <v>50</v>
      </c>
      <c r="AK275">
        <v>12.82</v>
      </c>
      <c r="AL275">
        <v>12.7</v>
      </c>
      <c r="AM275" t="s">
        <v>125</v>
      </c>
      <c r="AN275">
        <v>0.51465799999999995</v>
      </c>
      <c r="AO275">
        <v>51.465755999999999</v>
      </c>
      <c r="AP275">
        <v>100</v>
      </c>
      <c r="AQ275">
        <v>0.54271000000000003</v>
      </c>
      <c r="AR275">
        <v>54.271003</v>
      </c>
      <c r="AS275">
        <v>100</v>
      </c>
      <c r="AT275">
        <v>0.49951299999999998</v>
      </c>
      <c r="AU275" t="s">
        <v>125</v>
      </c>
      <c r="AV275">
        <v>49.951326000000002</v>
      </c>
      <c r="AW275">
        <v>100</v>
      </c>
      <c r="AX275">
        <v>0.53138600000000002</v>
      </c>
      <c r="AY275" t="s">
        <v>125</v>
      </c>
      <c r="AZ275">
        <v>53.138589000000003</v>
      </c>
      <c r="BA275">
        <v>100</v>
      </c>
      <c r="BB275">
        <v>0.56928900000000004</v>
      </c>
      <c r="BC275">
        <v>28.464448000000001</v>
      </c>
      <c r="BD275">
        <v>50</v>
      </c>
      <c r="BE275">
        <v>0.35891000000000001</v>
      </c>
      <c r="BF275">
        <v>17.945508</v>
      </c>
      <c r="BG275">
        <v>50</v>
      </c>
      <c r="BH275">
        <v>0</v>
      </c>
      <c r="BI275">
        <v>0.98697100000000004</v>
      </c>
      <c r="BJ275">
        <v>0.98591499999999999</v>
      </c>
      <c r="BK275">
        <v>1</v>
      </c>
      <c r="BL275">
        <v>0.98688500000000001</v>
      </c>
      <c r="BM275">
        <v>0.98581600000000003</v>
      </c>
      <c r="BN275">
        <v>1</v>
      </c>
      <c r="BO275">
        <v>0.95698899999999998</v>
      </c>
      <c r="BP275">
        <v>0.95402299999999995</v>
      </c>
      <c r="BQ275" t="s">
        <v>125</v>
      </c>
      <c r="BR275">
        <v>0.2</v>
      </c>
      <c r="BS275">
        <v>20</v>
      </c>
      <c r="BT275">
        <v>50</v>
      </c>
      <c r="BU275">
        <v>0.207459</v>
      </c>
      <c r="BV275">
        <v>18.508158999999999</v>
      </c>
      <c r="BW275">
        <v>50</v>
      </c>
      <c r="BX275" t="s">
        <v>125</v>
      </c>
      <c r="BY275" t="s">
        <v>125</v>
      </c>
      <c r="BZ275" t="s">
        <v>125</v>
      </c>
      <c r="CA275" t="s">
        <v>125</v>
      </c>
      <c r="CB275" t="s">
        <v>125</v>
      </c>
      <c r="CC275" t="s">
        <v>125</v>
      </c>
      <c r="CD275">
        <v>0.71428599999999998</v>
      </c>
      <c r="CE275">
        <v>37.993921</v>
      </c>
      <c r="CF275">
        <v>50</v>
      </c>
      <c r="CG275" t="s">
        <v>125</v>
      </c>
      <c r="CH275" t="s">
        <v>125</v>
      </c>
      <c r="CI275" t="s">
        <v>125</v>
      </c>
      <c r="CJ275" t="s">
        <v>125</v>
      </c>
      <c r="CK275" t="s">
        <v>125</v>
      </c>
      <c r="CL275" t="s">
        <v>125</v>
      </c>
      <c r="CM275" t="s">
        <v>125</v>
      </c>
      <c r="CN275" t="s">
        <v>125</v>
      </c>
      <c r="CO275" t="s">
        <v>125</v>
      </c>
      <c r="CP275" t="s">
        <v>125</v>
      </c>
      <c r="CQ275">
        <v>0.33823500000000001</v>
      </c>
      <c r="CR275">
        <v>0.95774599999999999</v>
      </c>
      <c r="CS275">
        <v>22.549019999999999</v>
      </c>
      <c r="CT275">
        <v>50</v>
      </c>
      <c r="CU275" t="s">
        <v>125</v>
      </c>
      <c r="CV275" t="s">
        <v>125</v>
      </c>
      <c r="CW275" t="s">
        <v>125</v>
      </c>
      <c r="CX275" t="s">
        <v>125</v>
      </c>
      <c r="CY275" t="s">
        <v>125</v>
      </c>
      <c r="CZ275" t="s">
        <v>125</v>
      </c>
      <c r="DA275">
        <v>15.314097</v>
      </c>
      <c r="DB275">
        <v>17.400950000000002</v>
      </c>
      <c r="DC275">
        <v>16.332519999999999</v>
      </c>
      <c r="DD275" t="s">
        <v>125</v>
      </c>
      <c r="DE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Q275" t="s">
        <v>126</v>
      </c>
    </row>
    <row r="276" spans="1:121" x14ac:dyDescent="0.15">
      <c r="A276">
        <v>2018</v>
      </c>
      <c r="B276" t="s">
        <v>122</v>
      </c>
      <c r="C276" t="str">
        <f t="shared" si="2"/>
        <v>0150011</v>
      </c>
      <c r="D276" t="s">
        <v>412</v>
      </c>
      <c r="E276" t="str">
        <f>"0156311"</f>
        <v>0156311</v>
      </c>
      <c r="F276" t="s">
        <v>328</v>
      </c>
      <c r="G276">
        <v>9</v>
      </c>
      <c r="H276">
        <v>12</v>
      </c>
      <c r="J276" t="s">
        <v>331</v>
      </c>
      <c r="K276">
        <v>700.60668999999996</v>
      </c>
      <c r="L276">
        <v>1550</v>
      </c>
      <c r="M276">
        <v>45.200431999999999</v>
      </c>
      <c r="N276">
        <v>5</v>
      </c>
      <c r="O276">
        <v>0</v>
      </c>
      <c r="P276">
        <v>35.759039999999999</v>
      </c>
      <c r="Q276">
        <v>71.518079999999998</v>
      </c>
      <c r="R276">
        <v>150</v>
      </c>
      <c r="S276">
        <v>34.837698000000003</v>
      </c>
      <c r="T276">
        <v>40.206896999999998</v>
      </c>
      <c r="U276">
        <v>69.675397000000004</v>
      </c>
      <c r="V276">
        <v>150</v>
      </c>
      <c r="W276">
        <v>30.019935</v>
      </c>
      <c r="X276">
        <v>60.039869000000003</v>
      </c>
      <c r="Y276">
        <v>150</v>
      </c>
      <c r="Z276">
        <v>29.965516999999998</v>
      </c>
      <c r="AA276">
        <v>30.031127000000001</v>
      </c>
      <c r="AB276">
        <v>60.062254000000003</v>
      </c>
      <c r="AC276">
        <v>150</v>
      </c>
      <c r="AD276">
        <v>33.615395999999997</v>
      </c>
      <c r="AE276">
        <v>44.820528000000003</v>
      </c>
      <c r="AF276">
        <v>100</v>
      </c>
      <c r="AG276">
        <v>32.858223000000002</v>
      </c>
      <c r="AH276">
        <v>37.114058</v>
      </c>
      <c r="AI276">
        <v>43.810963000000001</v>
      </c>
      <c r="AJ276">
        <v>100</v>
      </c>
      <c r="AK276">
        <v>5.36</v>
      </c>
      <c r="AL276">
        <v>-0.06</v>
      </c>
      <c r="AM276">
        <v>4.25</v>
      </c>
      <c r="AN276" t="s">
        <v>125</v>
      </c>
      <c r="AO276" t="s">
        <v>125</v>
      </c>
      <c r="AP276" t="s">
        <v>125</v>
      </c>
      <c r="AQ276" t="s">
        <v>125</v>
      </c>
      <c r="AR276" t="s">
        <v>125</v>
      </c>
      <c r="AS276" t="s">
        <v>125</v>
      </c>
      <c r="AT276" t="s">
        <v>125</v>
      </c>
      <c r="AU276" t="s">
        <v>125</v>
      </c>
      <c r="AV276" t="s">
        <v>125</v>
      </c>
      <c r="AW276" t="s">
        <v>125</v>
      </c>
      <c r="AX276" t="s">
        <v>125</v>
      </c>
      <c r="AY276" t="s">
        <v>125</v>
      </c>
      <c r="AZ276" t="s">
        <v>125</v>
      </c>
      <c r="BA276" t="s">
        <v>125</v>
      </c>
      <c r="BB276">
        <v>0.30245300000000003</v>
      </c>
      <c r="BC276">
        <v>15.122669</v>
      </c>
      <c r="BD276">
        <v>50</v>
      </c>
      <c r="BE276">
        <v>0.38539800000000002</v>
      </c>
      <c r="BF276">
        <v>19.269919999999999</v>
      </c>
      <c r="BG276">
        <v>50</v>
      </c>
      <c r="BH276">
        <v>1</v>
      </c>
      <c r="BI276">
        <v>0.90987099999999999</v>
      </c>
      <c r="BJ276">
        <v>0.90452299999999997</v>
      </c>
      <c r="BK276">
        <v>0.94117600000000001</v>
      </c>
      <c r="BL276">
        <v>0.91416299999999995</v>
      </c>
      <c r="BM276">
        <v>0.90954800000000002</v>
      </c>
      <c r="BN276">
        <v>0.94117600000000001</v>
      </c>
      <c r="BO276">
        <v>0.94690300000000005</v>
      </c>
      <c r="BP276">
        <v>0.94764400000000004</v>
      </c>
      <c r="BQ276">
        <v>0.94285699999999995</v>
      </c>
      <c r="BR276">
        <v>0.42275699999999999</v>
      </c>
      <c r="BS276">
        <v>0</v>
      </c>
      <c r="BT276">
        <v>50</v>
      </c>
      <c r="BU276">
        <v>0.4375</v>
      </c>
      <c r="BV276">
        <v>0</v>
      </c>
      <c r="BW276">
        <v>50</v>
      </c>
      <c r="BX276">
        <v>0.58958299999999997</v>
      </c>
      <c r="BY276">
        <v>39.305556000000003</v>
      </c>
      <c r="BZ276">
        <v>50</v>
      </c>
      <c r="CA276">
        <v>8.7499999999999994E-2</v>
      </c>
      <c r="CB276">
        <v>5.8333329999999997</v>
      </c>
      <c r="CC276">
        <v>50</v>
      </c>
      <c r="CD276">
        <v>0.52978099999999995</v>
      </c>
      <c r="CE276">
        <v>28.179817</v>
      </c>
      <c r="CF276">
        <v>50</v>
      </c>
      <c r="CG276">
        <v>0.59706999999999999</v>
      </c>
      <c r="CH276">
        <v>63.518042000000001</v>
      </c>
      <c r="CI276">
        <v>100</v>
      </c>
      <c r="CJ276">
        <v>0</v>
      </c>
      <c r="CK276">
        <v>0.62745099999999998</v>
      </c>
      <c r="CL276">
        <v>66.750103999999993</v>
      </c>
      <c r="CM276">
        <v>100</v>
      </c>
      <c r="CN276">
        <v>0.34054099999999998</v>
      </c>
      <c r="CO276">
        <v>45.405405000000002</v>
      </c>
      <c r="CP276">
        <v>100</v>
      </c>
      <c r="CQ276">
        <v>0.33527699999999999</v>
      </c>
      <c r="CR276">
        <v>1.1868510000000001</v>
      </c>
      <c r="CS276">
        <v>22.351797999999999</v>
      </c>
      <c r="CT276">
        <v>50</v>
      </c>
      <c r="CU276">
        <v>0.53931499999999999</v>
      </c>
      <c r="CV276">
        <v>44.942954</v>
      </c>
      <c r="CW276">
        <v>50</v>
      </c>
      <c r="CX276">
        <v>0.62745099999999998</v>
      </c>
      <c r="CY276" t="s">
        <v>125</v>
      </c>
      <c r="CZ276" t="s">
        <v>125</v>
      </c>
      <c r="DA276">
        <v>15.314097</v>
      </c>
      <c r="DB276">
        <v>17.400950000000002</v>
      </c>
      <c r="DC276">
        <v>16.332519999999999</v>
      </c>
      <c r="DD276">
        <v>7.9891730000000001</v>
      </c>
      <c r="DE276">
        <v>1</v>
      </c>
      <c r="DF276" t="s">
        <v>376</v>
      </c>
      <c r="DG276" t="s">
        <v>377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Q276" t="s">
        <v>126</v>
      </c>
    </row>
    <row r="277" spans="1:121" x14ac:dyDescent="0.15">
      <c r="A277">
        <v>2018</v>
      </c>
      <c r="B277" t="s">
        <v>122</v>
      </c>
      <c r="C277" t="str">
        <f t="shared" si="2"/>
        <v>0150011</v>
      </c>
      <c r="D277" t="s">
        <v>413</v>
      </c>
      <c r="E277" t="str">
        <f>"0153911"</f>
        <v>0153911</v>
      </c>
      <c r="F277" t="s">
        <v>328</v>
      </c>
      <c r="G277" t="s">
        <v>329</v>
      </c>
      <c r="H277">
        <v>8</v>
      </c>
      <c r="I277" t="s">
        <v>336</v>
      </c>
      <c r="J277" t="s">
        <v>331</v>
      </c>
      <c r="K277">
        <v>442.691013</v>
      </c>
      <c r="L277">
        <v>900</v>
      </c>
      <c r="M277">
        <v>49.187890000000003</v>
      </c>
      <c r="N277">
        <v>5</v>
      </c>
      <c r="O277">
        <v>0</v>
      </c>
      <c r="P277">
        <v>44.090138000000003</v>
      </c>
      <c r="Q277">
        <v>29.393426000000002</v>
      </c>
      <c r="R277">
        <v>50</v>
      </c>
      <c r="S277">
        <v>43.610880999999999</v>
      </c>
      <c r="T277">
        <v>47.581871999999997</v>
      </c>
      <c r="U277">
        <v>29.073920999999999</v>
      </c>
      <c r="V277">
        <v>50</v>
      </c>
      <c r="W277">
        <v>35.861021000000001</v>
      </c>
      <c r="X277">
        <v>23.907347000000001</v>
      </c>
      <c r="Y277">
        <v>50</v>
      </c>
      <c r="Z277">
        <v>39.015619999999998</v>
      </c>
      <c r="AA277">
        <v>35.422302000000002</v>
      </c>
      <c r="AB277">
        <v>23.614868000000001</v>
      </c>
      <c r="AC277">
        <v>50</v>
      </c>
      <c r="AD277">
        <v>41.979267999999998</v>
      </c>
      <c r="AE277">
        <v>27.986177999999999</v>
      </c>
      <c r="AF277">
        <v>50</v>
      </c>
      <c r="AG277">
        <v>41.479422</v>
      </c>
      <c r="AH277" t="s">
        <v>125</v>
      </c>
      <c r="AI277">
        <v>27.652947999999999</v>
      </c>
      <c r="AJ277">
        <v>50</v>
      </c>
      <c r="AK277">
        <v>3.97</v>
      </c>
      <c r="AL277">
        <v>3.59</v>
      </c>
      <c r="AM277" t="s">
        <v>125</v>
      </c>
      <c r="AN277">
        <v>0.57779700000000001</v>
      </c>
      <c r="AO277">
        <v>57.779662999999999</v>
      </c>
      <c r="AP277">
        <v>100</v>
      </c>
      <c r="AQ277">
        <v>0.57343900000000003</v>
      </c>
      <c r="AR277">
        <v>57.343898000000003</v>
      </c>
      <c r="AS277">
        <v>100</v>
      </c>
      <c r="AT277">
        <v>0.57359099999999996</v>
      </c>
      <c r="AU277" t="s">
        <v>125</v>
      </c>
      <c r="AV277">
        <v>57.359062000000002</v>
      </c>
      <c r="AW277">
        <v>100</v>
      </c>
      <c r="AX277">
        <v>0.58781700000000003</v>
      </c>
      <c r="AY277" t="s">
        <v>125</v>
      </c>
      <c r="AZ277">
        <v>58.781680999999999</v>
      </c>
      <c r="BA277">
        <v>100</v>
      </c>
      <c r="BB277" t="s">
        <v>125</v>
      </c>
      <c r="BC277" t="s">
        <v>125</v>
      </c>
      <c r="BD277" t="s">
        <v>125</v>
      </c>
      <c r="BE277" t="s">
        <v>125</v>
      </c>
      <c r="BF277" t="s">
        <v>125</v>
      </c>
      <c r="BG277" t="s">
        <v>125</v>
      </c>
      <c r="BH277">
        <v>0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0.98148100000000005</v>
      </c>
      <c r="BP277">
        <v>0.97727299999999995</v>
      </c>
      <c r="BQ277" t="s">
        <v>125</v>
      </c>
      <c r="BR277">
        <v>0.28125</v>
      </c>
      <c r="BS277">
        <v>3.75</v>
      </c>
      <c r="BT277">
        <v>50</v>
      </c>
      <c r="BU277">
        <v>0.30241899999999999</v>
      </c>
      <c r="BV277">
        <v>0</v>
      </c>
      <c r="BW277">
        <v>50</v>
      </c>
      <c r="BX277" t="s">
        <v>125</v>
      </c>
      <c r="BY277" t="s">
        <v>125</v>
      </c>
      <c r="BZ277" t="s">
        <v>125</v>
      </c>
      <c r="CA277" t="s">
        <v>125</v>
      </c>
      <c r="CB277" t="s">
        <v>125</v>
      </c>
      <c r="CC277" t="s">
        <v>125</v>
      </c>
      <c r="CD277">
        <v>0.76</v>
      </c>
      <c r="CE277">
        <v>40.425531999999997</v>
      </c>
      <c r="CF277">
        <v>50</v>
      </c>
      <c r="CG277" t="s">
        <v>125</v>
      </c>
      <c r="CH277" t="s">
        <v>125</v>
      </c>
      <c r="CI277" t="s">
        <v>125</v>
      </c>
      <c r="CJ277" t="s">
        <v>125</v>
      </c>
      <c r="CK277" t="s">
        <v>125</v>
      </c>
      <c r="CL277" t="s">
        <v>125</v>
      </c>
      <c r="CM277" t="s">
        <v>125</v>
      </c>
      <c r="CN277" t="s">
        <v>125</v>
      </c>
      <c r="CO277" t="s">
        <v>125</v>
      </c>
      <c r="CP277" t="s">
        <v>125</v>
      </c>
      <c r="CQ277">
        <v>0.16867499999999999</v>
      </c>
      <c r="CR277">
        <v>0.88297899999999996</v>
      </c>
      <c r="CS277">
        <v>5.62249</v>
      </c>
      <c r="CT277">
        <v>50</v>
      </c>
      <c r="CU277" t="s">
        <v>125</v>
      </c>
      <c r="CV277" t="s">
        <v>125</v>
      </c>
      <c r="CW277" t="s">
        <v>125</v>
      </c>
      <c r="CX277" t="s">
        <v>125</v>
      </c>
      <c r="CY277" t="s">
        <v>125</v>
      </c>
      <c r="CZ277" t="s">
        <v>125</v>
      </c>
      <c r="DA277">
        <v>15.314097</v>
      </c>
      <c r="DB277">
        <v>17.400950000000002</v>
      </c>
      <c r="DC277">
        <v>16.332519999999999</v>
      </c>
      <c r="DD277" t="s">
        <v>125</v>
      </c>
      <c r="DE277">
        <v>0</v>
      </c>
      <c r="DF277" t="s">
        <v>376</v>
      </c>
      <c r="DG277" t="s">
        <v>377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Q277" t="s">
        <v>126</v>
      </c>
    </row>
    <row r="278" spans="1:121" x14ac:dyDescent="0.15">
      <c r="A278">
        <v>2018</v>
      </c>
      <c r="B278" t="s">
        <v>226</v>
      </c>
      <c r="C278" t="str">
        <f t="shared" ref="C278:C289" si="3">"0170011"</f>
        <v>0170011</v>
      </c>
      <c r="D278" t="s">
        <v>414</v>
      </c>
      <c r="E278" t="str">
        <f>"0176111"</f>
        <v>0176111</v>
      </c>
      <c r="F278" t="s">
        <v>328</v>
      </c>
      <c r="G278">
        <v>9</v>
      </c>
      <c r="H278">
        <v>12</v>
      </c>
      <c r="J278" t="s">
        <v>331</v>
      </c>
      <c r="K278">
        <v>1146.5184830000001</v>
      </c>
      <c r="L278">
        <v>1550</v>
      </c>
      <c r="M278">
        <v>73.968934000000004</v>
      </c>
      <c r="N278">
        <v>3</v>
      </c>
      <c r="O278">
        <v>0</v>
      </c>
      <c r="P278">
        <v>55.170923999999999</v>
      </c>
      <c r="Q278">
        <v>110.341848</v>
      </c>
      <c r="R278">
        <v>150</v>
      </c>
      <c r="S278">
        <v>49.798864999999999</v>
      </c>
      <c r="T278">
        <v>61.106183000000001</v>
      </c>
      <c r="U278">
        <v>99.597729000000001</v>
      </c>
      <c r="V278">
        <v>150</v>
      </c>
      <c r="W278">
        <v>52.672626999999999</v>
      </c>
      <c r="X278">
        <v>105.345253</v>
      </c>
      <c r="Y278">
        <v>150</v>
      </c>
      <c r="Z278">
        <v>58.962366000000003</v>
      </c>
      <c r="AA278">
        <v>46.979723999999997</v>
      </c>
      <c r="AB278">
        <v>93.959447999999995</v>
      </c>
      <c r="AC278">
        <v>150</v>
      </c>
      <c r="AD278">
        <v>56.585515000000001</v>
      </c>
      <c r="AE278">
        <v>75.447354000000004</v>
      </c>
      <c r="AF278">
        <v>100</v>
      </c>
      <c r="AG278">
        <v>50.350580000000001</v>
      </c>
      <c r="AH278">
        <v>63.222704999999998</v>
      </c>
      <c r="AI278">
        <v>67.134107</v>
      </c>
      <c r="AJ278">
        <v>100</v>
      </c>
      <c r="AK278">
        <v>11.3</v>
      </c>
      <c r="AL278">
        <v>11.98</v>
      </c>
      <c r="AM278">
        <v>12.87</v>
      </c>
      <c r="AN278" t="s">
        <v>125</v>
      </c>
      <c r="AO278" t="s">
        <v>125</v>
      </c>
      <c r="AP278" t="s">
        <v>125</v>
      </c>
      <c r="AQ278" t="s">
        <v>125</v>
      </c>
      <c r="AR278" t="s">
        <v>125</v>
      </c>
      <c r="AS278" t="s">
        <v>125</v>
      </c>
      <c r="AT278" t="s">
        <v>125</v>
      </c>
      <c r="AU278" t="s">
        <v>125</v>
      </c>
      <c r="AV278" t="s">
        <v>125</v>
      </c>
      <c r="AW278" t="s">
        <v>125</v>
      </c>
      <c r="AX278" t="s">
        <v>125</v>
      </c>
      <c r="AY278" t="s">
        <v>125</v>
      </c>
      <c r="AZ278" t="s">
        <v>125</v>
      </c>
      <c r="BA278" t="s">
        <v>125</v>
      </c>
      <c r="BB278">
        <v>0.58411400000000002</v>
      </c>
      <c r="BC278">
        <v>29.205714</v>
      </c>
      <c r="BD278">
        <v>50</v>
      </c>
      <c r="BE278">
        <v>0.66331600000000002</v>
      </c>
      <c r="BF278">
        <v>33.165802999999997</v>
      </c>
      <c r="BG278">
        <v>50</v>
      </c>
      <c r="BH278">
        <v>0</v>
      </c>
      <c r="BI278">
        <v>0.98540099999999997</v>
      </c>
      <c r="BJ278">
        <v>0.97315399999999996</v>
      </c>
      <c r="BK278">
        <v>1</v>
      </c>
      <c r="BL278">
        <v>0.98540099999999997</v>
      </c>
      <c r="BM278">
        <v>0.97315399999999996</v>
      </c>
      <c r="BN278">
        <v>1</v>
      </c>
      <c r="BO278">
        <v>0.97426500000000005</v>
      </c>
      <c r="BP278">
        <v>0.95238100000000003</v>
      </c>
      <c r="BQ278">
        <v>1</v>
      </c>
      <c r="BR278">
        <v>0.143482</v>
      </c>
      <c r="BS278">
        <v>31.303587</v>
      </c>
      <c r="BT278">
        <v>50</v>
      </c>
      <c r="BU278">
        <v>0.20807500000000001</v>
      </c>
      <c r="BV278">
        <v>18.385093000000001</v>
      </c>
      <c r="BW278">
        <v>50</v>
      </c>
      <c r="BX278">
        <v>0.79566000000000003</v>
      </c>
      <c r="BY278">
        <v>50</v>
      </c>
      <c r="BZ278">
        <v>50</v>
      </c>
      <c r="CA278">
        <v>0.37070500000000001</v>
      </c>
      <c r="CB278">
        <v>24.713683</v>
      </c>
      <c r="CC278">
        <v>50</v>
      </c>
      <c r="CD278">
        <v>0.92063499999999998</v>
      </c>
      <c r="CE278">
        <v>48.969943000000001</v>
      </c>
      <c r="CF278">
        <v>50</v>
      </c>
      <c r="CG278">
        <v>0.89733799999999997</v>
      </c>
      <c r="CH278">
        <v>95.461532000000005</v>
      </c>
      <c r="CI278">
        <v>100</v>
      </c>
      <c r="CJ278">
        <v>1</v>
      </c>
      <c r="CK278">
        <v>0.82142899999999996</v>
      </c>
      <c r="CL278">
        <v>87.386018000000007</v>
      </c>
      <c r="CM278">
        <v>100</v>
      </c>
      <c r="CN278">
        <v>0.65163899999999997</v>
      </c>
      <c r="CO278">
        <v>86.885245999999995</v>
      </c>
      <c r="CP278">
        <v>100</v>
      </c>
      <c r="CQ278">
        <v>0.67441899999999999</v>
      </c>
      <c r="CR278">
        <v>0.93140800000000001</v>
      </c>
      <c r="CS278">
        <v>44.961239999999997</v>
      </c>
      <c r="CT278">
        <v>50</v>
      </c>
      <c r="CU278">
        <v>0.53105899999999995</v>
      </c>
      <c r="CV278">
        <v>44.254885000000002</v>
      </c>
      <c r="CW278">
        <v>50</v>
      </c>
      <c r="CX278">
        <v>0.82142899999999996</v>
      </c>
      <c r="CY278">
        <v>0.94</v>
      </c>
      <c r="CZ278">
        <v>0.118571</v>
      </c>
      <c r="DA278">
        <v>15.314097</v>
      </c>
      <c r="DB278">
        <v>17.400950000000002</v>
      </c>
      <c r="DC278">
        <v>16.332519999999999</v>
      </c>
      <c r="DD278">
        <v>7.9891730000000001</v>
      </c>
      <c r="DE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Q278" t="s">
        <v>126</v>
      </c>
    </row>
    <row r="279" spans="1:121" x14ac:dyDescent="0.15">
      <c r="A279">
        <v>2018</v>
      </c>
      <c r="B279" t="s">
        <v>226</v>
      </c>
      <c r="C279" t="str">
        <f t="shared" si="3"/>
        <v>0170011</v>
      </c>
      <c r="D279" t="s">
        <v>415</v>
      </c>
      <c r="E279" t="str">
        <f>"0176211"</f>
        <v>0176211</v>
      </c>
      <c r="F279" t="s">
        <v>328</v>
      </c>
      <c r="G279">
        <v>9</v>
      </c>
      <c r="H279">
        <v>12</v>
      </c>
      <c r="J279" t="s">
        <v>331</v>
      </c>
      <c r="K279">
        <v>1119.71947</v>
      </c>
      <c r="L279">
        <v>1450</v>
      </c>
      <c r="M279">
        <v>77.222031999999999</v>
      </c>
      <c r="N279">
        <v>3</v>
      </c>
      <c r="O279">
        <v>0</v>
      </c>
      <c r="P279">
        <v>56.843735000000002</v>
      </c>
      <c r="Q279">
        <v>113.68747</v>
      </c>
      <c r="R279">
        <v>150</v>
      </c>
      <c r="S279">
        <v>52.072487000000002</v>
      </c>
      <c r="T279">
        <v>60.697436000000003</v>
      </c>
      <c r="U279">
        <v>104.144974</v>
      </c>
      <c r="V279">
        <v>150</v>
      </c>
      <c r="W279">
        <v>52.727187000000001</v>
      </c>
      <c r="X279">
        <v>105.454374</v>
      </c>
      <c r="Y279">
        <v>150</v>
      </c>
      <c r="Z279">
        <v>56.452564000000002</v>
      </c>
      <c r="AA279">
        <v>48.114815</v>
      </c>
      <c r="AB279">
        <v>96.22963</v>
      </c>
      <c r="AC279">
        <v>150</v>
      </c>
      <c r="AD279">
        <v>55.754486999999997</v>
      </c>
      <c r="AE279">
        <v>74.339315999999997</v>
      </c>
      <c r="AF279">
        <v>100</v>
      </c>
      <c r="AG279">
        <v>49.643613000000002</v>
      </c>
      <c r="AH279">
        <v>60.839106999999998</v>
      </c>
      <c r="AI279">
        <v>66.191484000000003</v>
      </c>
      <c r="AJ279">
        <v>100</v>
      </c>
      <c r="AK279">
        <v>8.6199999999999992</v>
      </c>
      <c r="AL279">
        <v>8.33</v>
      </c>
      <c r="AM279">
        <v>11.19</v>
      </c>
      <c r="AN279" t="s">
        <v>125</v>
      </c>
      <c r="AO279" t="s">
        <v>125</v>
      </c>
      <c r="AP279" t="s">
        <v>125</v>
      </c>
      <c r="AQ279" t="s">
        <v>125</v>
      </c>
      <c r="AR279" t="s">
        <v>125</v>
      </c>
      <c r="AS279" t="s">
        <v>125</v>
      </c>
      <c r="AT279" t="s">
        <v>125</v>
      </c>
      <c r="AU279" t="s">
        <v>125</v>
      </c>
      <c r="AV279" t="s">
        <v>125</v>
      </c>
      <c r="AW279" t="s">
        <v>125</v>
      </c>
      <c r="AX279" t="s">
        <v>125</v>
      </c>
      <c r="AY279" t="s">
        <v>125</v>
      </c>
      <c r="AZ279" t="s">
        <v>125</v>
      </c>
      <c r="BA279" t="s">
        <v>125</v>
      </c>
      <c r="BB279" t="s">
        <v>125</v>
      </c>
      <c r="BC279" t="s">
        <v>125</v>
      </c>
      <c r="BD279" t="s">
        <v>125</v>
      </c>
      <c r="BE279" t="s">
        <v>125</v>
      </c>
      <c r="BF279" t="s">
        <v>125</v>
      </c>
      <c r="BG279" t="s">
        <v>125</v>
      </c>
      <c r="BH279">
        <v>1</v>
      </c>
      <c r="BI279">
        <v>0.96370999999999996</v>
      </c>
      <c r="BJ279">
        <v>0.93913000000000002</v>
      </c>
      <c r="BK279">
        <v>0.984962</v>
      </c>
      <c r="BL279">
        <v>0.96370999999999996</v>
      </c>
      <c r="BM279">
        <v>0.93913000000000002</v>
      </c>
      <c r="BN279">
        <v>0.984962</v>
      </c>
      <c r="BO279">
        <v>0.99593500000000001</v>
      </c>
      <c r="BP279">
        <v>0.99114999999999998</v>
      </c>
      <c r="BQ279">
        <v>1</v>
      </c>
      <c r="BR279">
        <v>0.112069</v>
      </c>
      <c r="BS279">
        <v>37.586207000000002</v>
      </c>
      <c r="BT279">
        <v>50</v>
      </c>
      <c r="BU279">
        <v>0.16448599999999999</v>
      </c>
      <c r="BV279">
        <v>27.102803999999999</v>
      </c>
      <c r="BW279">
        <v>50</v>
      </c>
      <c r="BX279">
        <v>0.70099</v>
      </c>
      <c r="BY279">
        <v>46.732672999999998</v>
      </c>
      <c r="BZ279">
        <v>50</v>
      </c>
      <c r="CA279">
        <v>0.37623800000000002</v>
      </c>
      <c r="CB279">
        <v>25.082508000000001</v>
      </c>
      <c r="CC279">
        <v>50</v>
      </c>
      <c r="CD279">
        <v>0.899254</v>
      </c>
      <c r="CE279">
        <v>47.832644999999999</v>
      </c>
      <c r="CF279">
        <v>50</v>
      </c>
      <c r="CG279">
        <v>0.92957699999999999</v>
      </c>
      <c r="CH279">
        <v>98.891220000000004</v>
      </c>
      <c r="CI279">
        <v>100</v>
      </c>
      <c r="CJ279">
        <v>0</v>
      </c>
      <c r="CK279">
        <v>0.89441000000000004</v>
      </c>
      <c r="CL279">
        <v>95.149992999999995</v>
      </c>
      <c r="CM279">
        <v>100</v>
      </c>
      <c r="CN279">
        <v>0.67518199999999995</v>
      </c>
      <c r="CO279">
        <v>90.024331000000004</v>
      </c>
      <c r="CP279">
        <v>100</v>
      </c>
      <c r="CQ279">
        <v>0.61904800000000004</v>
      </c>
      <c r="CR279">
        <v>0.98912999999999995</v>
      </c>
      <c r="CS279">
        <v>41.269841</v>
      </c>
      <c r="CT279">
        <v>50</v>
      </c>
      <c r="CU279">
        <v>0.62356299999999998</v>
      </c>
      <c r="CV279">
        <v>50</v>
      </c>
      <c r="CW279">
        <v>50</v>
      </c>
      <c r="CX279">
        <v>0.89441000000000004</v>
      </c>
      <c r="CY279">
        <v>0.94</v>
      </c>
      <c r="CZ279">
        <v>4.5589999999999999E-2</v>
      </c>
      <c r="DA279">
        <v>15.314097</v>
      </c>
      <c r="DB279">
        <v>17.400950000000002</v>
      </c>
      <c r="DC279">
        <v>16.332519999999999</v>
      </c>
      <c r="DD279">
        <v>7.9891730000000001</v>
      </c>
      <c r="DE279">
        <v>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Q279" t="s">
        <v>126</v>
      </c>
    </row>
    <row r="280" spans="1:121" x14ac:dyDescent="0.15">
      <c r="A280">
        <v>2018</v>
      </c>
      <c r="B280" t="s">
        <v>226</v>
      </c>
      <c r="C280" t="str">
        <f t="shared" si="3"/>
        <v>0170011</v>
      </c>
      <c r="D280" t="s">
        <v>416</v>
      </c>
      <c r="E280" t="str">
        <f>"0175111"</f>
        <v>0175111</v>
      </c>
      <c r="F280" t="s">
        <v>328</v>
      </c>
      <c r="G280">
        <v>6</v>
      </c>
      <c r="H280">
        <v>8</v>
      </c>
      <c r="I280" t="s">
        <v>336</v>
      </c>
      <c r="J280" t="s">
        <v>331</v>
      </c>
      <c r="K280">
        <v>636.68109200000004</v>
      </c>
      <c r="L280">
        <v>1000</v>
      </c>
      <c r="M280">
        <v>63.668109000000001</v>
      </c>
      <c r="N280">
        <v>3</v>
      </c>
      <c r="O280">
        <v>1</v>
      </c>
      <c r="P280">
        <v>63.904173</v>
      </c>
      <c r="Q280">
        <v>42.602781999999998</v>
      </c>
      <c r="R280">
        <v>50</v>
      </c>
      <c r="S280">
        <v>56.42521</v>
      </c>
      <c r="T280">
        <v>72.551023000000001</v>
      </c>
      <c r="U280">
        <v>37.616807000000001</v>
      </c>
      <c r="V280">
        <v>50</v>
      </c>
      <c r="W280">
        <v>54.856431999999998</v>
      </c>
      <c r="X280">
        <v>36.570954</v>
      </c>
      <c r="Y280">
        <v>50</v>
      </c>
      <c r="Z280">
        <v>63.539498000000002</v>
      </c>
      <c r="AA280">
        <v>47.326585000000001</v>
      </c>
      <c r="AB280">
        <v>31.551055999999999</v>
      </c>
      <c r="AC280">
        <v>50</v>
      </c>
      <c r="AD280">
        <v>65.734627000000003</v>
      </c>
      <c r="AE280">
        <v>43.823084999999999</v>
      </c>
      <c r="AF280">
        <v>50</v>
      </c>
      <c r="AG280">
        <v>57.745753999999998</v>
      </c>
      <c r="AH280">
        <v>74.033146000000002</v>
      </c>
      <c r="AI280">
        <v>38.497169</v>
      </c>
      <c r="AJ280">
        <v>50</v>
      </c>
      <c r="AK280">
        <v>16.12</v>
      </c>
      <c r="AL280">
        <v>16.21</v>
      </c>
      <c r="AM280">
        <v>16.28</v>
      </c>
      <c r="AN280">
        <v>0.45660699999999999</v>
      </c>
      <c r="AO280">
        <v>45.660699000000001</v>
      </c>
      <c r="AP280">
        <v>100</v>
      </c>
      <c r="AQ280">
        <v>0.41764499999999999</v>
      </c>
      <c r="AR280">
        <v>41.764454000000001</v>
      </c>
      <c r="AS280">
        <v>100</v>
      </c>
      <c r="AT280">
        <v>0.44592300000000001</v>
      </c>
      <c r="AU280">
        <v>0.468698</v>
      </c>
      <c r="AV280">
        <v>44.592300999999999</v>
      </c>
      <c r="AW280">
        <v>100</v>
      </c>
      <c r="AX280">
        <v>0.403194</v>
      </c>
      <c r="AY280">
        <v>0.43395600000000001</v>
      </c>
      <c r="AZ280">
        <v>40.319358000000001</v>
      </c>
      <c r="BA280">
        <v>100</v>
      </c>
      <c r="BB280">
        <v>0.51702899999999996</v>
      </c>
      <c r="BC280">
        <v>25.851469999999999</v>
      </c>
      <c r="BD280">
        <v>50</v>
      </c>
      <c r="BE280">
        <v>0.57641699999999996</v>
      </c>
      <c r="BF280">
        <v>28.820841999999999</v>
      </c>
      <c r="BG280">
        <v>50</v>
      </c>
      <c r="BH280">
        <v>0</v>
      </c>
      <c r="BI280">
        <v>0.99736800000000003</v>
      </c>
      <c r="BJ280">
        <v>0.99760800000000005</v>
      </c>
      <c r="BK280">
        <v>0.99707599999999996</v>
      </c>
      <c r="BL280">
        <v>0.99737200000000004</v>
      </c>
      <c r="BM280">
        <v>0.99760199999999999</v>
      </c>
      <c r="BN280">
        <v>0.99709300000000001</v>
      </c>
      <c r="BO280">
        <v>0.98932399999999998</v>
      </c>
      <c r="BP280">
        <v>0.980132</v>
      </c>
      <c r="BQ280">
        <v>1</v>
      </c>
      <c r="BR280">
        <v>6.5531000000000006E-2</v>
      </c>
      <c r="BS280">
        <v>46.893839999999997</v>
      </c>
      <c r="BT280">
        <v>50</v>
      </c>
      <c r="BU280">
        <v>9.6851999999999994E-2</v>
      </c>
      <c r="BV280">
        <v>40.629539999999999</v>
      </c>
      <c r="BW280">
        <v>50</v>
      </c>
      <c r="BX280" t="s">
        <v>125</v>
      </c>
      <c r="BY280" t="s">
        <v>125</v>
      </c>
      <c r="BZ280" t="s">
        <v>125</v>
      </c>
      <c r="CA280" t="s">
        <v>125</v>
      </c>
      <c r="CB280" t="s">
        <v>125</v>
      </c>
      <c r="CC280" t="s">
        <v>125</v>
      </c>
      <c r="CD280">
        <v>0.937778</v>
      </c>
      <c r="CE280">
        <v>49.881796999999999</v>
      </c>
      <c r="CF280">
        <v>50</v>
      </c>
      <c r="CG280" t="s">
        <v>125</v>
      </c>
      <c r="CH280" t="s">
        <v>125</v>
      </c>
      <c r="CI280" t="s">
        <v>125</v>
      </c>
      <c r="CJ280" t="s">
        <v>125</v>
      </c>
      <c r="CK280" t="s">
        <v>125</v>
      </c>
      <c r="CL280" t="s">
        <v>125</v>
      </c>
      <c r="CM280" t="s">
        <v>125</v>
      </c>
      <c r="CN280" t="s">
        <v>125</v>
      </c>
      <c r="CO280" t="s">
        <v>125</v>
      </c>
      <c r="CP280" t="s">
        <v>125</v>
      </c>
      <c r="CQ280">
        <v>0.62407400000000002</v>
      </c>
      <c r="CR280">
        <v>1.026616</v>
      </c>
      <c r="CS280">
        <v>41.604937999999997</v>
      </c>
      <c r="CT280">
        <v>50</v>
      </c>
      <c r="CU280" t="s">
        <v>125</v>
      </c>
      <c r="CV280" t="s">
        <v>125</v>
      </c>
      <c r="CW280" t="s">
        <v>125</v>
      </c>
      <c r="CX280" t="s">
        <v>125</v>
      </c>
      <c r="CY280" t="s">
        <v>125</v>
      </c>
      <c r="CZ280" t="s">
        <v>125</v>
      </c>
      <c r="DA280">
        <v>15.314097</v>
      </c>
      <c r="DB280">
        <v>17.400950000000002</v>
      </c>
      <c r="DC280">
        <v>16.332519999999999</v>
      </c>
      <c r="DD280" t="s">
        <v>125</v>
      </c>
      <c r="DE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Q280" t="s">
        <v>126</v>
      </c>
    </row>
    <row r="281" spans="1:121" x14ac:dyDescent="0.15">
      <c r="A281">
        <v>2018</v>
      </c>
      <c r="B281" t="s">
        <v>226</v>
      </c>
      <c r="C281" t="str">
        <f t="shared" si="3"/>
        <v>0170011</v>
      </c>
      <c r="D281" t="s">
        <v>417</v>
      </c>
      <c r="E281" t="str">
        <f>"0170311"</f>
        <v>0170311</v>
      </c>
      <c r="F281" t="s">
        <v>328</v>
      </c>
      <c r="G281" t="s">
        <v>329</v>
      </c>
      <c r="H281">
        <v>5</v>
      </c>
      <c r="J281" t="s">
        <v>331</v>
      </c>
      <c r="K281">
        <v>601.55988500000001</v>
      </c>
      <c r="L281">
        <v>800</v>
      </c>
      <c r="M281">
        <v>75.194986</v>
      </c>
      <c r="N281">
        <v>4</v>
      </c>
      <c r="O281">
        <v>0</v>
      </c>
      <c r="P281">
        <v>74.146600000000007</v>
      </c>
      <c r="Q281">
        <v>49.431066000000001</v>
      </c>
      <c r="R281">
        <v>50</v>
      </c>
      <c r="S281">
        <v>67.076982000000001</v>
      </c>
      <c r="T281">
        <v>75</v>
      </c>
      <c r="U281">
        <v>44.717987999999998</v>
      </c>
      <c r="V281">
        <v>50</v>
      </c>
      <c r="W281">
        <v>67.807903999999994</v>
      </c>
      <c r="X281">
        <v>45.205269000000001</v>
      </c>
      <c r="Y281">
        <v>50</v>
      </c>
      <c r="Z281">
        <v>75</v>
      </c>
      <c r="AA281">
        <v>59.066567999999997</v>
      </c>
      <c r="AB281">
        <v>39.377712000000002</v>
      </c>
      <c r="AC281">
        <v>50</v>
      </c>
      <c r="AD281">
        <v>66.922580999999994</v>
      </c>
      <c r="AE281">
        <v>44.615054000000001</v>
      </c>
      <c r="AF281">
        <v>50</v>
      </c>
      <c r="AG281" t="s">
        <v>125</v>
      </c>
      <c r="AH281">
        <v>75</v>
      </c>
      <c r="AI281" t="s">
        <v>125</v>
      </c>
      <c r="AJ281" t="s">
        <v>125</v>
      </c>
      <c r="AK281">
        <v>7.92</v>
      </c>
      <c r="AL281">
        <v>15.93</v>
      </c>
      <c r="AM281" t="s">
        <v>125</v>
      </c>
      <c r="AN281">
        <v>0.69750199999999996</v>
      </c>
      <c r="AO281">
        <v>69.750157000000002</v>
      </c>
      <c r="AP281">
        <v>100</v>
      </c>
      <c r="AQ281">
        <v>0.52998599999999996</v>
      </c>
      <c r="AR281">
        <v>52.998631000000003</v>
      </c>
      <c r="AS281">
        <v>100</v>
      </c>
      <c r="AT281">
        <v>0.71857599999999999</v>
      </c>
      <c r="AU281">
        <v>0.67943799999999999</v>
      </c>
      <c r="AV281">
        <v>71.857556000000002</v>
      </c>
      <c r="AW281">
        <v>100</v>
      </c>
      <c r="AX281">
        <v>0.480491</v>
      </c>
      <c r="AY281">
        <v>0.572411</v>
      </c>
      <c r="AZ281">
        <v>48.049053000000001</v>
      </c>
      <c r="BA281">
        <v>100</v>
      </c>
      <c r="BB281" t="s">
        <v>125</v>
      </c>
      <c r="BC281" t="s">
        <v>125</v>
      </c>
      <c r="BD281" t="s">
        <v>125</v>
      </c>
      <c r="BE281" t="s">
        <v>125</v>
      </c>
      <c r="BF281" t="s">
        <v>125</v>
      </c>
      <c r="BG281" t="s">
        <v>125</v>
      </c>
      <c r="BH281">
        <v>0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4.6762999999999999E-2</v>
      </c>
      <c r="BS281">
        <v>50</v>
      </c>
      <c r="BT281">
        <v>50</v>
      </c>
      <c r="BU281">
        <v>8.2089999999999996E-2</v>
      </c>
      <c r="BV281">
        <v>43.582090000000001</v>
      </c>
      <c r="BW281">
        <v>50</v>
      </c>
      <c r="BX281" t="s">
        <v>125</v>
      </c>
      <c r="BY281" t="s">
        <v>125</v>
      </c>
      <c r="BZ281" t="s">
        <v>125</v>
      </c>
      <c r="CA281" t="s">
        <v>125</v>
      </c>
      <c r="CB281" t="s">
        <v>125</v>
      </c>
      <c r="CC281" t="s">
        <v>125</v>
      </c>
      <c r="CD281" t="s">
        <v>125</v>
      </c>
      <c r="CE281" t="s">
        <v>125</v>
      </c>
      <c r="CF281" t="s">
        <v>125</v>
      </c>
      <c r="CG281" t="s">
        <v>125</v>
      </c>
      <c r="CH281" t="s">
        <v>125</v>
      </c>
      <c r="CI281" t="s">
        <v>125</v>
      </c>
      <c r="CJ281" t="s">
        <v>125</v>
      </c>
      <c r="CK281" t="s">
        <v>125</v>
      </c>
      <c r="CL281" t="s">
        <v>125</v>
      </c>
      <c r="CM281" t="s">
        <v>125</v>
      </c>
      <c r="CN281" t="s">
        <v>125</v>
      </c>
      <c r="CO281" t="s">
        <v>125</v>
      </c>
      <c r="CP281" t="s">
        <v>125</v>
      </c>
      <c r="CQ281">
        <v>0.62963000000000002</v>
      </c>
      <c r="CR281">
        <v>1</v>
      </c>
      <c r="CS281">
        <v>41.975309000000003</v>
      </c>
      <c r="CT281">
        <v>50</v>
      </c>
      <c r="CU281" t="s">
        <v>125</v>
      </c>
      <c r="CV281" t="s">
        <v>125</v>
      </c>
      <c r="CW281" t="s">
        <v>125</v>
      </c>
      <c r="CX281" t="s">
        <v>125</v>
      </c>
      <c r="CY281" t="s">
        <v>125</v>
      </c>
      <c r="CZ281" t="s">
        <v>125</v>
      </c>
      <c r="DA281">
        <v>15.314097</v>
      </c>
      <c r="DB281">
        <v>17.400950000000002</v>
      </c>
      <c r="DC281">
        <v>16.332519999999999</v>
      </c>
      <c r="DD281" t="s">
        <v>125</v>
      </c>
      <c r="DE281">
        <v>0</v>
      </c>
      <c r="DF281" t="s">
        <v>385</v>
      </c>
      <c r="DG281" t="s">
        <v>418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Q281" t="s">
        <v>126</v>
      </c>
    </row>
    <row r="282" spans="1:121" x14ac:dyDescent="0.15">
      <c r="A282">
        <v>2018</v>
      </c>
      <c r="B282" t="s">
        <v>226</v>
      </c>
      <c r="C282" t="str">
        <f t="shared" si="3"/>
        <v>0170011</v>
      </c>
      <c r="D282" t="s">
        <v>419</v>
      </c>
      <c r="E282" t="str">
        <f>"0171411"</f>
        <v>0171411</v>
      </c>
      <c r="F282" t="s">
        <v>328</v>
      </c>
      <c r="G282" t="s">
        <v>329</v>
      </c>
      <c r="H282">
        <v>5</v>
      </c>
      <c r="I282" t="s">
        <v>336</v>
      </c>
      <c r="J282" t="s">
        <v>331</v>
      </c>
      <c r="K282">
        <v>706.15548000000001</v>
      </c>
      <c r="L282">
        <v>950</v>
      </c>
      <c r="M282">
        <v>74.332155999999998</v>
      </c>
      <c r="N282">
        <v>2</v>
      </c>
      <c r="O282">
        <v>0</v>
      </c>
      <c r="P282">
        <v>68.787235999999993</v>
      </c>
      <c r="Q282">
        <v>45.858156999999999</v>
      </c>
      <c r="R282">
        <v>50</v>
      </c>
      <c r="S282">
        <v>65.613388</v>
      </c>
      <c r="T282">
        <v>75</v>
      </c>
      <c r="U282">
        <v>43.742258999999997</v>
      </c>
      <c r="V282">
        <v>50</v>
      </c>
      <c r="W282">
        <v>63.811117000000003</v>
      </c>
      <c r="X282">
        <v>42.540743999999997</v>
      </c>
      <c r="Y282">
        <v>50</v>
      </c>
      <c r="Z282">
        <v>72.865561999999997</v>
      </c>
      <c r="AA282">
        <v>60.339111000000003</v>
      </c>
      <c r="AB282">
        <v>40.226073999999997</v>
      </c>
      <c r="AC282">
        <v>50</v>
      </c>
      <c r="AD282">
        <v>62.257024000000001</v>
      </c>
      <c r="AE282">
        <v>41.504683</v>
      </c>
      <c r="AF282">
        <v>50</v>
      </c>
      <c r="AG282">
        <v>58.654839000000003</v>
      </c>
      <c r="AH282">
        <v>68.806451999999993</v>
      </c>
      <c r="AI282">
        <v>39.103225999999999</v>
      </c>
      <c r="AJ282">
        <v>50</v>
      </c>
      <c r="AK282">
        <v>9.3800000000000008</v>
      </c>
      <c r="AL282">
        <v>12.52</v>
      </c>
      <c r="AM282">
        <v>10.15</v>
      </c>
      <c r="AN282">
        <v>0.55085600000000001</v>
      </c>
      <c r="AO282">
        <v>55.085580999999998</v>
      </c>
      <c r="AP282">
        <v>100</v>
      </c>
      <c r="AQ282">
        <v>0.74407299999999998</v>
      </c>
      <c r="AR282">
        <v>74.407340000000005</v>
      </c>
      <c r="AS282">
        <v>100</v>
      </c>
      <c r="AT282">
        <v>0.47208</v>
      </c>
      <c r="AU282">
        <v>0.72254799999999997</v>
      </c>
      <c r="AV282">
        <v>47.207959000000002</v>
      </c>
      <c r="AW282">
        <v>100</v>
      </c>
      <c r="AX282">
        <v>0.72308099999999997</v>
      </c>
      <c r="AY282">
        <v>0.78928699999999996</v>
      </c>
      <c r="AZ282">
        <v>72.308120000000002</v>
      </c>
      <c r="BA282">
        <v>100</v>
      </c>
      <c r="BB282">
        <v>0.80983300000000003</v>
      </c>
      <c r="BC282">
        <v>40.491652000000002</v>
      </c>
      <c r="BD282">
        <v>50</v>
      </c>
      <c r="BE282">
        <v>0.50651599999999997</v>
      </c>
      <c r="BF282">
        <v>25.325779000000001</v>
      </c>
      <c r="BG282">
        <v>50</v>
      </c>
      <c r="BH282">
        <v>0</v>
      </c>
      <c r="BI282">
        <v>1</v>
      </c>
      <c r="BJ282">
        <v>1</v>
      </c>
      <c r="BK282">
        <v>1</v>
      </c>
      <c r="BL282">
        <v>0.995</v>
      </c>
      <c r="BM282">
        <v>0.993197</v>
      </c>
      <c r="BN282">
        <v>1</v>
      </c>
      <c r="BO282">
        <v>1</v>
      </c>
      <c r="BP282">
        <v>1</v>
      </c>
      <c r="BQ282">
        <v>1</v>
      </c>
      <c r="BR282">
        <v>5.6911000000000003E-2</v>
      </c>
      <c r="BS282">
        <v>48.617885999999999</v>
      </c>
      <c r="BT282">
        <v>50</v>
      </c>
      <c r="BU282">
        <v>8.1712000000000007E-2</v>
      </c>
      <c r="BV282">
        <v>43.657587999999997</v>
      </c>
      <c r="BW282">
        <v>50</v>
      </c>
      <c r="BX282" t="s">
        <v>125</v>
      </c>
      <c r="BY282" t="s">
        <v>125</v>
      </c>
      <c r="BZ282" t="s">
        <v>125</v>
      </c>
      <c r="CA282" t="s">
        <v>125</v>
      </c>
      <c r="CB282" t="s">
        <v>125</v>
      </c>
      <c r="CC282" t="s">
        <v>125</v>
      </c>
      <c r="CD282" t="s">
        <v>125</v>
      </c>
      <c r="CE282" t="s">
        <v>125</v>
      </c>
      <c r="CF282" t="s">
        <v>125</v>
      </c>
      <c r="CG282" t="s">
        <v>125</v>
      </c>
      <c r="CH282" t="s">
        <v>125</v>
      </c>
      <c r="CI282" t="s">
        <v>125</v>
      </c>
      <c r="CJ282" t="s">
        <v>125</v>
      </c>
      <c r="CK282" t="s">
        <v>125</v>
      </c>
      <c r="CL282" t="s">
        <v>125</v>
      </c>
      <c r="CM282" t="s">
        <v>125</v>
      </c>
      <c r="CN282" t="s">
        <v>125</v>
      </c>
      <c r="CO282" t="s">
        <v>125</v>
      </c>
      <c r="CP282" t="s">
        <v>125</v>
      </c>
      <c r="CQ282">
        <v>0.69117600000000001</v>
      </c>
      <c r="CR282">
        <v>0.95774599999999999</v>
      </c>
      <c r="CS282">
        <v>46.078431000000002</v>
      </c>
      <c r="CT282">
        <v>50</v>
      </c>
      <c r="CU282" t="s">
        <v>125</v>
      </c>
      <c r="CV282" t="s">
        <v>125</v>
      </c>
      <c r="CW282" t="s">
        <v>125</v>
      </c>
      <c r="CX282" t="s">
        <v>125</v>
      </c>
      <c r="CY282" t="s">
        <v>125</v>
      </c>
      <c r="CZ282" t="s">
        <v>125</v>
      </c>
      <c r="DA282">
        <v>15.314097</v>
      </c>
      <c r="DB282">
        <v>17.400950000000002</v>
      </c>
      <c r="DC282">
        <v>16.332519999999999</v>
      </c>
      <c r="DD282" t="s">
        <v>125</v>
      </c>
      <c r="DE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Q282" t="s">
        <v>126</v>
      </c>
    </row>
    <row r="283" spans="1:121" x14ac:dyDescent="0.15">
      <c r="A283">
        <v>2018</v>
      </c>
      <c r="B283" t="s">
        <v>226</v>
      </c>
      <c r="C283" t="str">
        <f t="shared" si="3"/>
        <v>0170011</v>
      </c>
      <c r="D283" t="s">
        <v>420</v>
      </c>
      <c r="E283" t="str">
        <f>"0170511"</f>
        <v>0170511</v>
      </c>
      <c r="F283" t="s">
        <v>328</v>
      </c>
      <c r="G283" t="s">
        <v>329</v>
      </c>
      <c r="H283">
        <v>8</v>
      </c>
      <c r="I283" t="s">
        <v>336</v>
      </c>
      <c r="J283" t="s">
        <v>331</v>
      </c>
      <c r="K283">
        <v>704.38237900000001</v>
      </c>
      <c r="L283">
        <v>1000</v>
      </c>
      <c r="M283">
        <v>70.438237999999998</v>
      </c>
      <c r="N283">
        <v>2</v>
      </c>
      <c r="O283">
        <v>0</v>
      </c>
      <c r="P283">
        <v>63.364597000000003</v>
      </c>
      <c r="Q283">
        <v>42.243065000000001</v>
      </c>
      <c r="R283">
        <v>50</v>
      </c>
      <c r="S283">
        <v>58.911563999999998</v>
      </c>
      <c r="T283">
        <v>71.278651999999994</v>
      </c>
      <c r="U283">
        <v>39.274375999999997</v>
      </c>
      <c r="V283">
        <v>50</v>
      </c>
      <c r="W283">
        <v>58.683135</v>
      </c>
      <c r="X283">
        <v>39.12209</v>
      </c>
      <c r="Y283">
        <v>50</v>
      </c>
      <c r="Z283">
        <v>65.258071999999999</v>
      </c>
      <c r="AA283">
        <v>54.983587999999997</v>
      </c>
      <c r="AB283">
        <v>36.655724999999997</v>
      </c>
      <c r="AC283">
        <v>50</v>
      </c>
      <c r="AD283">
        <v>63.589981999999999</v>
      </c>
      <c r="AE283">
        <v>42.393321</v>
      </c>
      <c r="AF283">
        <v>50</v>
      </c>
      <c r="AG283">
        <v>60.260728</v>
      </c>
      <c r="AH283">
        <v>68.385693000000003</v>
      </c>
      <c r="AI283">
        <v>40.173819000000002</v>
      </c>
      <c r="AJ283">
        <v>50</v>
      </c>
      <c r="AK283">
        <v>12.36</v>
      </c>
      <c r="AL283">
        <v>10.27</v>
      </c>
      <c r="AM283">
        <v>8.1199999999999992</v>
      </c>
      <c r="AN283">
        <v>0.50298900000000002</v>
      </c>
      <c r="AO283">
        <v>50.298914000000003</v>
      </c>
      <c r="AP283">
        <v>100</v>
      </c>
      <c r="AQ283">
        <v>0.56365500000000002</v>
      </c>
      <c r="AR283">
        <v>56.365488999999997</v>
      </c>
      <c r="AS283">
        <v>100</v>
      </c>
      <c r="AT283">
        <v>0.48602200000000001</v>
      </c>
      <c r="AU283">
        <v>0.53056099999999995</v>
      </c>
      <c r="AV283">
        <v>48.602167000000001</v>
      </c>
      <c r="AW283">
        <v>100</v>
      </c>
      <c r="AX283">
        <v>0.562276</v>
      </c>
      <c r="AY283">
        <v>0.565909</v>
      </c>
      <c r="AZ283">
        <v>56.227556</v>
      </c>
      <c r="BA283">
        <v>100</v>
      </c>
      <c r="BB283">
        <v>0.76120299999999996</v>
      </c>
      <c r="BC283">
        <v>38.060161000000001</v>
      </c>
      <c r="BD283">
        <v>50</v>
      </c>
      <c r="BE283">
        <v>0.63840600000000003</v>
      </c>
      <c r="BF283">
        <v>31.920302</v>
      </c>
      <c r="BG283">
        <v>50</v>
      </c>
      <c r="BH283">
        <v>0</v>
      </c>
      <c r="BI283">
        <v>0.99831599999999998</v>
      </c>
      <c r="BJ283">
        <v>0.99740899999999999</v>
      </c>
      <c r="BK283">
        <v>1</v>
      </c>
      <c r="BL283">
        <v>0.99831899999999996</v>
      </c>
      <c r="BM283">
        <v>0.99741599999999997</v>
      </c>
      <c r="BN283">
        <v>1</v>
      </c>
      <c r="BO283">
        <v>0.995305</v>
      </c>
      <c r="BP283">
        <v>0.99218799999999996</v>
      </c>
      <c r="BQ283">
        <v>1</v>
      </c>
      <c r="BR283">
        <v>6.7929000000000003E-2</v>
      </c>
      <c r="BS283">
        <v>46.414254</v>
      </c>
      <c r="BT283">
        <v>50</v>
      </c>
      <c r="BU283">
        <v>9.2333999999999999E-2</v>
      </c>
      <c r="BV283">
        <v>41.533101000000002</v>
      </c>
      <c r="BW283">
        <v>50</v>
      </c>
      <c r="BX283" t="s">
        <v>125</v>
      </c>
      <c r="BY283" t="s">
        <v>125</v>
      </c>
      <c r="BZ283" t="s">
        <v>125</v>
      </c>
      <c r="CA283" t="s">
        <v>125</v>
      </c>
      <c r="CB283" t="s">
        <v>125</v>
      </c>
      <c r="CC283" t="s">
        <v>125</v>
      </c>
      <c r="CD283">
        <v>0.978495</v>
      </c>
      <c r="CE283">
        <v>50</v>
      </c>
      <c r="CF283">
        <v>50</v>
      </c>
      <c r="CG283" t="s">
        <v>125</v>
      </c>
      <c r="CH283" t="s">
        <v>125</v>
      </c>
      <c r="CI283" t="s">
        <v>125</v>
      </c>
      <c r="CJ283" t="s">
        <v>125</v>
      </c>
      <c r="CK283" t="s">
        <v>125</v>
      </c>
      <c r="CL283" t="s">
        <v>125</v>
      </c>
      <c r="CM283" t="s">
        <v>125</v>
      </c>
      <c r="CN283" t="s">
        <v>125</v>
      </c>
      <c r="CO283" t="s">
        <v>125</v>
      </c>
      <c r="CP283" t="s">
        <v>125</v>
      </c>
      <c r="CQ283">
        <v>0.67647100000000004</v>
      </c>
      <c r="CR283">
        <v>1.030303</v>
      </c>
      <c r="CS283">
        <v>45.098039</v>
      </c>
      <c r="CT283">
        <v>50</v>
      </c>
      <c r="CU283" t="s">
        <v>125</v>
      </c>
      <c r="CV283" t="s">
        <v>125</v>
      </c>
      <c r="CW283" t="s">
        <v>125</v>
      </c>
      <c r="CX283" t="s">
        <v>125</v>
      </c>
      <c r="CY283" t="s">
        <v>125</v>
      </c>
      <c r="CZ283" t="s">
        <v>125</v>
      </c>
      <c r="DA283">
        <v>15.314097</v>
      </c>
      <c r="DB283">
        <v>17.400950000000002</v>
      </c>
      <c r="DC283">
        <v>16.332519999999999</v>
      </c>
      <c r="DD283" t="s">
        <v>125</v>
      </c>
      <c r="DE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Q283" t="s">
        <v>126</v>
      </c>
    </row>
    <row r="284" spans="1:121" x14ac:dyDescent="0.15">
      <c r="A284">
        <v>2018</v>
      </c>
      <c r="B284" t="s">
        <v>226</v>
      </c>
      <c r="C284" t="str">
        <f t="shared" si="3"/>
        <v>0170011</v>
      </c>
      <c r="D284" t="s">
        <v>421</v>
      </c>
      <c r="E284" t="str">
        <f>"0171911"</f>
        <v>0171911</v>
      </c>
      <c r="F284" t="s">
        <v>328</v>
      </c>
      <c r="G284" t="s">
        <v>329</v>
      </c>
      <c r="H284">
        <v>5</v>
      </c>
      <c r="J284" t="s">
        <v>331</v>
      </c>
      <c r="K284">
        <v>601.73003700000004</v>
      </c>
      <c r="L284">
        <v>850</v>
      </c>
      <c r="M284">
        <v>70.791769000000002</v>
      </c>
      <c r="N284">
        <v>2</v>
      </c>
      <c r="O284">
        <v>0</v>
      </c>
      <c r="P284">
        <v>68.203804000000005</v>
      </c>
      <c r="Q284">
        <v>45.469202000000003</v>
      </c>
      <c r="R284">
        <v>50</v>
      </c>
      <c r="S284">
        <v>60.816015999999998</v>
      </c>
      <c r="T284">
        <v>75</v>
      </c>
      <c r="U284">
        <v>40.544010999999998</v>
      </c>
      <c r="V284">
        <v>50</v>
      </c>
      <c r="W284">
        <v>64.222406000000007</v>
      </c>
      <c r="X284">
        <v>42.814937</v>
      </c>
      <c r="Y284">
        <v>50</v>
      </c>
      <c r="Z284">
        <v>73.736063000000001</v>
      </c>
      <c r="AA284">
        <v>57.061588999999998</v>
      </c>
      <c r="AB284">
        <v>38.041058999999997</v>
      </c>
      <c r="AC284">
        <v>50</v>
      </c>
      <c r="AD284">
        <v>62.966078000000003</v>
      </c>
      <c r="AE284">
        <v>41.977384999999998</v>
      </c>
      <c r="AF284">
        <v>50</v>
      </c>
      <c r="AG284">
        <v>58.153225999999997</v>
      </c>
      <c r="AH284">
        <v>71.935484000000002</v>
      </c>
      <c r="AI284">
        <v>38.768816999999999</v>
      </c>
      <c r="AJ284">
        <v>50</v>
      </c>
      <c r="AK284">
        <v>14.18</v>
      </c>
      <c r="AL284">
        <v>16.670000000000002</v>
      </c>
      <c r="AM284">
        <v>13.78</v>
      </c>
      <c r="AN284">
        <v>0.63731300000000002</v>
      </c>
      <c r="AO284">
        <v>63.731268</v>
      </c>
      <c r="AP284">
        <v>100</v>
      </c>
      <c r="AQ284">
        <v>0.623641</v>
      </c>
      <c r="AR284">
        <v>62.364078999999997</v>
      </c>
      <c r="AS284">
        <v>100</v>
      </c>
      <c r="AT284">
        <v>0.57913499999999996</v>
      </c>
      <c r="AU284">
        <v>0.69920400000000005</v>
      </c>
      <c r="AV284">
        <v>57.913454999999999</v>
      </c>
      <c r="AW284">
        <v>100</v>
      </c>
      <c r="AX284">
        <v>0.49920599999999998</v>
      </c>
      <c r="AY284">
        <v>0.75601799999999997</v>
      </c>
      <c r="AZ284">
        <v>49.920636999999999</v>
      </c>
      <c r="BA284">
        <v>100</v>
      </c>
      <c r="BB284" t="s">
        <v>125</v>
      </c>
      <c r="BC284" t="s">
        <v>125</v>
      </c>
      <c r="BD284" t="s">
        <v>125</v>
      </c>
      <c r="BE284" t="s">
        <v>125</v>
      </c>
      <c r="BF284" t="s">
        <v>125</v>
      </c>
      <c r="BG284" t="s">
        <v>125</v>
      </c>
      <c r="BH284">
        <v>0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4.3732E-2</v>
      </c>
      <c r="BS284">
        <v>50</v>
      </c>
      <c r="BT284">
        <v>50</v>
      </c>
      <c r="BU284">
        <v>7.4074000000000001E-2</v>
      </c>
      <c r="BV284">
        <v>45.185184999999997</v>
      </c>
      <c r="BW284">
        <v>50</v>
      </c>
      <c r="BX284" t="s">
        <v>125</v>
      </c>
      <c r="BY284" t="s">
        <v>125</v>
      </c>
      <c r="BZ284" t="s">
        <v>125</v>
      </c>
      <c r="CA284" t="s">
        <v>125</v>
      </c>
      <c r="CB284" t="s">
        <v>125</v>
      </c>
      <c r="CC284" t="s">
        <v>125</v>
      </c>
      <c r="CD284" t="s">
        <v>125</v>
      </c>
      <c r="CE284" t="s">
        <v>125</v>
      </c>
      <c r="CF284" t="s">
        <v>125</v>
      </c>
      <c r="CG284" t="s">
        <v>125</v>
      </c>
      <c r="CH284" t="s">
        <v>125</v>
      </c>
      <c r="CI284" t="s">
        <v>125</v>
      </c>
      <c r="CJ284" t="s">
        <v>125</v>
      </c>
      <c r="CK284" t="s">
        <v>125</v>
      </c>
      <c r="CL284" t="s">
        <v>125</v>
      </c>
      <c r="CM284" t="s">
        <v>125</v>
      </c>
      <c r="CN284" t="s">
        <v>125</v>
      </c>
      <c r="CO284" t="s">
        <v>125</v>
      </c>
      <c r="CP284" t="s">
        <v>125</v>
      </c>
      <c r="CQ284">
        <v>0.375</v>
      </c>
      <c r="CR284">
        <v>1.025641</v>
      </c>
      <c r="CS284">
        <v>25</v>
      </c>
      <c r="CT284">
        <v>50</v>
      </c>
      <c r="CU284" t="s">
        <v>125</v>
      </c>
      <c r="CV284" t="s">
        <v>125</v>
      </c>
      <c r="CW284" t="s">
        <v>125</v>
      </c>
      <c r="CX284" t="s">
        <v>125</v>
      </c>
      <c r="CY284" t="s">
        <v>125</v>
      </c>
      <c r="CZ284" t="s">
        <v>125</v>
      </c>
      <c r="DA284">
        <v>15.314097</v>
      </c>
      <c r="DB284">
        <v>17.400950000000002</v>
      </c>
      <c r="DC284">
        <v>16.332519999999999</v>
      </c>
      <c r="DD284" t="s">
        <v>125</v>
      </c>
      <c r="DE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Q284" t="s">
        <v>126</v>
      </c>
    </row>
    <row r="285" spans="1:121" x14ac:dyDescent="0.15">
      <c r="A285">
        <v>2018</v>
      </c>
      <c r="B285" t="s">
        <v>226</v>
      </c>
      <c r="C285" t="str">
        <f t="shared" si="3"/>
        <v>0170011</v>
      </c>
      <c r="D285" t="s">
        <v>422</v>
      </c>
      <c r="E285" t="str">
        <f>"0171711"</f>
        <v>0171711</v>
      </c>
      <c r="F285" t="s">
        <v>328</v>
      </c>
      <c r="G285" t="s">
        <v>329</v>
      </c>
      <c r="H285">
        <v>5</v>
      </c>
      <c r="J285" t="s">
        <v>331</v>
      </c>
      <c r="K285">
        <v>605.93687599999998</v>
      </c>
      <c r="L285">
        <v>850</v>
      </c>
      <c r="M285">
        <v>71.286691000000005</v>
      </c>
      <c r="N285">
        <v>2</v>
      </c>
      <c r="O285">
        <v>0</v>
      </c>
      <c r="P285">
        <v>73.565681999999995</v>
      </c>
      <c r="Q285">
        <v>49.043787999999999</v>
      </c>
      <c r="R285">
        <v>50</v>
      </c>
      <c r="S285">
        <v>70.251002999999997</v>
      </c>
      <c r="T285">
        <v>75</v>
      </c>
      <c r="U285">
        <v>46.834001999999998</v>
      </c>
      <c r="V285">
        <v>50</v>
      </c>
      <c r="W285">
        <v>67.372795999999994</v>
      </c>
      <c r="X285">
        <v>44.915196999999999</v>
      </c>
      <c r="Y285">
        <v>50</v>
      </c>
      <c r="Z285">
        <v>71.636317000000005</v>
      </c>
      <c r="AA285">
        <v>63.870618999999998</v>
      </c>
      <c r="AB285">
        <v>42.580412000000003</v>
      </c>
      <c r="AC285">
        <v>50</v>
      </c>
      <c r="AD285">
        <v>66.901882000000001</v>
      </c>
      <c r="AE285">
        <v>44.601253999999997</v>
      </c>
      <c r="AF285">
        <v>50</v>
      </c>
      <c r="AG285">
        <v>60.947096999999999</v>
      </c>
      <c r="AH285">
        <v>73.374474000000006</v>
      </c>
      <c r="AI285">
        <v>40.631397999999997</v>
      </c>
      <c r="AJ285">
        <v>50</v>
      </c>
      <c r="AK285">
        <v>4.74</v>
      </c>
      <c r="AL285">
        <v>7.76</v>
      </c>
      <c r="AM285">
        <v>12.42</v>
      </c>
      <c r="AN285">
        <v>0.60726500000000005</v>
      </c>
      <c r="AO285">
        <v>60.726477000000003</v>
      </c>
      <c r="AP285">
        <v>100</v>
      </c>
      <c r="AQ285">
        <v>0.49480400000000002</v>
      </c>
      <c r="AR285">
        <v>49.480438999999997</v>
      </c>
      <c r="AS285">
        <v>100</v>
      </c>
      <c r="AT285">
        <v>0.56986199999999998</v>
      </c>
      <c r="AU285">
        <v>0.64772099999999999</v>
      </c>
      <c r="AV285">
        <v>56.986167000000002</v>
      </c>
      <c r="AW285">
        <v>100</v>
      </c>
      <c r="AX285">
        <v>0.49531700000000001</v>
      </c>
      <c r="AY285">
        <v>0.49423899999999998</v>
      </c>
      <c r="AZ285">
        <v>49.531680000000001</v>
      </c>
      <c r="BA285">
        <v>100</v>
      </c>
      <c r="BB285" t="s">
        <v>125</v>
      </c>
      <c r="BC285" t="s">
        <v>125</v>
      </c>
      <c r="BD285" t="s">
        <v>125</v>
      </c>
      <c r="BE285" t="s">
        <v>125</v>
      </c>
      <c r="BF285" t="s">
        <v>125</v>
      </c>
      <c r="BG285" t="s">
        <v>125</v>
      </c>
      <c r="BH285">
        <v>0</v>
      </c>
      <c r="BI285">
        <v>1</v>
      </c>
      <c r="BJ285">
        <v>1</v>
      </c>
      <c r="BK285">
        <v>1</v>
      </c>
      <c r="BL285">
        <v>0.99375000000000002</v>
      </c>
      <c r="BM285">
        <v>1</v>
      </c>
      <c r="BN285">
        <v>0.98630099999999998</v>
      </c>
      <c r="BO285">
        <v>1</v>
      </c>
      <c r="BP285">
        <v>1</v>
      </c>
      <c r="BQ285">
        <v>1</v>
      </c>
      <c r="BR285">
        <v>3.125E-2</v>
      </c>
      <c r="BS285">
        <v>50</v>
      </c>
      <c r="BT285">
        <v>50</v>
      </c>
      <c r="BU285">
        <v>4.0697999999999998E-2</v>
      </c>
      <c r="BV285">
        <v>50</v>
      </c>
      <c r="BW285">
        <v>50</v>
      </c>
      <c r="BX285" t="s">
        <v>125</v>
      </c>
      <c r="BY285" t="s">
        <v>125</v>
      </c>
      <c r="BZ285" t="s">
        <v>125</v>
      </c>
      <c r="CA285" t="s">
        <v>125</v>
      </c>
      <c r="CB285" t="s">
        <v>125</v>
      </c>
      <c r="CC285" t="s">
        <v>125</v>
      </c>
      <c r="CD285" t="s">
        <v>125</v>
      </c>
      <c r="CE285" t="s">
        <v>125</v>
      </c>
      <c r="CF285" t="s">
        <v>125</v>
      </c>
      <c r="CG285" t="s">
        <v>125</v>
      </c>
      <c r="CH285" t="s">
        <v>125</v>
      </c>
      <c r="CI285" t="s">
        <v>125</v>
      </c>
      <c r="CJ285" t="s">
        <v>125</v>
      </c>
      <c r="CK285" t="s">
        <v>125</v>
      </c>
      <c r="CL285" t="s">
        <v>125</v>
      </c>
      <c r="CM285" t="s">
        <v>125</v>
      </c>
      <c r="CN285" t="s">
        <v>125</v>
      </c>
      <c r="CO285" t="s">
        <v>125</v>
      </c>
      <c r="CP285" t="s">
        <v>125</v>
      </c>
      <c r="CQ285">
        <v>0.309091</v>
      </c>
      <c r="CR285">
        <v>0.98214299999999999</v>
      </c>
      <c r="CS285">
        <v>20.606061</v>
      </c>
      <c r="CT285">
        <v>50</v>
      </c>
      <c r="CU285" t="s">
        <v>125</v>
      </c>
      <c r="CV285" t="s">
        <v>125</v>
      </c>
      <c r="CW285" t="s">
        <v>125</v>
      </c>
      <c r="CX285" t="s">
        <v>125</v>
      </c>
      <c r="CY285" t="s">
        <v>125</v>
      </c>
      <c r="CZ285" t="s">
        <v>125</v>
      </c>
      <c r="DA285">
        <v>15.314097</v>
      </c>
      <c r="DB285">
        <v>17.400950000000002</v>
      </c>
      <c r="DC285">
        <v>16.332519999999999</v>
      </c>
      <c r="DD285" t="s">
        <v>125</v>
      </c>
      <c r="DE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Q285" t="s">
        <v>126</v>
      </c>
    </row>
    <row r="286" spans="1:121" x14ac:dyDescent="0.15">
      <c r="A286">
        <v>2018</v>
      </c>
      <c r="B286" t="s">
        <v>226</v>
      </c>
      <c r="C286" t="str">
        <f t="shared" si="3"/>
        <v>0170011</v>
      </c>
      <c r="D286" t="s">
        <v>423</v>
      </c>
      <c r="E286" t="str">
        <f>"0175211"</f>
        <v>0175211</v>
      </c>
      <c r="F286" t="s">
        <v>328</v>
      </c>
      <c r="G286">
        <v>6</v>
      </c>
      <c r="H286">
        <v>8</v>
      </c>
      <c r="J286" t="s">
        <v>331</v>
      </c>
      <c r="K286">
        <v>707.18175499999995</v>
      </c>
      <c r="L286">
        <v>900</v>
      </c>
      <c r="M286">
        <v>78.575750999999997</v>
      </c>
      <c r="N286">
        <v>2</v>
      </c>
      <c r="O286">
        <v>0</v>
      </c>
      <c r="P286">
        <v>72.025171999999998</v>
      </c>
      <c r="Q286">
        <v>48.016781000000002</v>
      </c>
      <c r="R286">
        <v>50</v>
      </c>
      <c r="S286">
        <v>66.707521999999997</v>
      </c>
      <c r="T286">
        <v>75</v>
      </c>
      <c r="U286">
        <v>44.471680999999997</v>
      </c>
      <c r="V286">
        <v>50</v>
      </c>
      <c r="W286">
        <v>66.025175000000004</v>
      </c>
      <c r="X286">
        <v>44.016782999999997</v>
      </c>
      <c r="Y286">
        <v>50</v>
      </c>
      <c r="Z286">
        <v>73.088386</v>
      </c>
      <c r="AA286">
        <v>59.448095000000002</v>
      </c>
      <c r="AB286">
        <v>39.632063000000002</v>
      </c>
      <c r="AC286">
        <v>50</v>
      </c>
      <c r="AD286">
        <v>71.269514999999998</v>
      </c>
      <c r="AE286">
        <v>47.513010000000001</v>
      </c>
      <c r="AF286">
        <v>50</v>
      </c>
      <c r="AG286">
        <v>63.677990999999999</v>
      </c>
      <c r="AH286">
        <v>75</v>
      </c>
      <c r="AI286">
        <v>42.451993999999999</v>
      </c>
      <c r="AJ286">
        <v>50</v>
      </c>
      <c r="AK286">
        <v>8.2899999999999991</v>
      </c>
      <c r="AL286">
        <v>13.64</v>
      </c>
      <c r="AM286">
        <v>11.32</v>
      </c>
      <c r="AN286">
        <v>0.64809000000000005</v>
      </c>
      <c r="AO286">
        <v>64.809049000000002</v>
      </c>
      <c r="AP286">
        <v>100</v>
      </c>
      <c r="AQ286">
        <v>0.64363700000000001</v>
      </c>
      <c r="AR286">
        <v>64.363726</v>
      </c>
      <c r="AS286">
        <v>100</v>
      </c>
      <c r="AT286">
        <v>0.61769300000000005</v>
      </c>
      <c r="AU286">
        <v>0.67927099999999996</v>
      </c>
      <c r="AV286">
        <v>61.769255999999999</v>
      </c>
      <c r="AW286">
        <v>100</v>
      </c>
      <c r="AX286">
        <v>0.62347300000000005</v>
      </c>
      <c r="AY286">
        <v>0.664327</v>
      </c>
      <c r="AZ286">
        <v>62.347315000000002</v>
      </c>
      <c r="BA286">
        <v>100</v>
      </c>
      <c r="BB286" t="s">
        <v>125</v>
      </c>
      <c r="BC286" t="s">
        <v>125</v>
      </c>
      <c r="BD286" t="s">
        <v>125</v>
      </c>
      <c r="BE286" t="s">
        <v>125</v>
      </c>
      <c r="BF286" t="s">
        <v>125</v>
      </c>
      <c r="BG286" t="s">
        <v>125</v>
      </c>
      <c r="BH286">
        <v>0</v>
      </c>
      <c r="BI286">
        <v>0.99801200000000001</v>
      </c>
      <c r="BJ286">
        <v>0.99628300000000003</v>
      </c>
      <c r="BK286">
        <v>1</v>
      </c>
      <c r="BL286">
        <v>0.99399999999999999</v>
      </c>
      <c r="BM286">
        <v>0.98880599999999996</v>
      </c>
      <c r="BN286">
        <v>1</v>
      </c>
      <c r="BO286">
        <v>0.994286</v>
      </c>
      <c r="BP286">
        <v>0.98876399999999998</v>
      </c>
      <c r="BQ286">
        <v>1</v>
      </c>
      <c r="BR286">
        <v>4.8000000000000001E-2</v>
      </c>
      <c r="BS286">
        <v>50</v>
      </c>
      <c r="BT286">
        <v>50</v>
      </c>
      <c r="BU286">
        <v>7.9545000000000005E-2</v>
      </c>
      <c r="BV286">
        <v>44.090909000000003</v>
      </c>
      <c r="BW286">
        <v>50</v>
      </c>
      <c r="BX286" t="s">
        <v>125</v>
      </c>
      <c r="BY286" t="s">
        <v>125</v>
      </c>
      <c r="BZ286" t="s">
        <v>125</v>
      </c>
      <c r="CA286" t="s">
        <v>125</v>
      </c>
      <c r="CB286" t="s">
        <v>125</v>
      </c>
      <c r="CC286" t="s">
        <v>125</v>
      </c>
      <c r="CD286">
        <v>0.95</v>
      </c>
      <c r="CE286">
        <v>50</v>
      </c>
      <c r="CF286">
        <v>50</v>
      </c>
      <c r="CG286" t="s">
        <v>125</v>
      </c>
      <c r="CH286" t="s">
        <v>125</v>
      </c>
      <c r="CI286" t="s">
        <v>125</v>
      </c>
      <c r="CJ286" t="s">
        <v>125</v>
      </c>
      <c r="CK286" t="s">
        <v>125</v>
      </c>
      <c r="CL286" t="s">
        <v>125</v>
      </c>
      <c r="CM286" t="s">
        <v>125</v>
      </c>
      <c r="CN286" t="s">
        <v>125</v>
      </c>
      <c r="CO286" t="s">
        <v>125</v>
      </c>
      <c r="CP286" t="s">
        <v>125</v>
      </c>
      <c r="CQ286">
        <v>0.65548799999999996</v>
      </c>
      <c r="CR286">
        <v>0.96755199999999997</v>
      </c>
      <c r="CS286">
        <v>43.699187000000002</v>
      </c>
      <c r="CT286">
        <v>50</v>
      </c>
      <c r="CU286" t="s">
        <v>125</v>
      </c>
      <c r="CV286" t="s">
        <v>125</v>
      </c>
      <c r="CW286" t="s">
        <v>125</v>
      </c>
      <c r="CX286" t="s">
        <v>125</v>
      </c>
      <c r="CY286" t="s">
        <v>125</v>
      </c>
      <c r="CZ286" t="s">
        <v>125</v>
      </c>
      <c r="DA286">
        <v>15.314097</v>
      </c>
      <c r="DB286">
        <v>17.400950000000002</v>
      </c>
      <c r="DC286">
        <v>16.332519999999999</v>
      </c>
      <c r="DD286" t="s">
        <v>125</v>
      </c>
      <c r="DE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Q286" t="s">
        <v>126</v>
      </c>
    </row>
    <row r="287" spans="1:121" x14ac:dyDescent="0.15">
      <c r="A287">
        <v>2018</v>
      </c>
      <c r="B287" t="s">
        <v>226</v>
      </c>
      <c r="C287" t="str">
        <f t="shared" si="3"/>
        <v>0170011</v>
      </c>
      <c r="D287" t="s">
        <v>424</v>
      </c>
      <c r="E287" t="str">
        <f>"0171111"</f>
        <v>0171111</v>
      </c>
      <c r="F287" t="s">
        <v>328</v>
      </c>
      <c r="G287" t="s">
        <v>329</v>
      </c>
      <c r="H287">
        <v>5</v>
      </c>
      <c r="I287" t="s">
        <v>336</v>
      </c>
      <c r="J287" t="s">
        <v>331</v>
      </c>
      <c r="K287">
        <v>603.56769199999997</v>
      </c>
      <c r="L287">
        <v>850</v>
      </c>
      <c r="M287">
        <v>71.007964000000001</v>
      </c>
      <c r="N287">
        <v>2</v>
      </c>
      <c r="O287">
        <v>0</v>
      </c>
      <c r="P287">
        <v>70.484402000000003</v>
      </c>
      <c r="Q287">
        <v>46.989601999999998</v>
      </c>
      <c r="R287">
        <v>50</v>
      </c>
      <c r="S287">
        <v>65.596863999999997</v>
      </c>
      <c r="T287">
        <v>75</v>
      </c>
      <c r="U287">
        <v>43.731242000000002</v>
      </c>
      <c r="V287">
        <v>50</v>
      </c>
      <c r="W287">
        <v>65.369901999999996</v>
      </c>
      <c r="X287">
        <v>43.579934000000002</v>
      </c>
      <c r="Y287">
        <v>50</v>
      </c>
      <c r="Z287">
        <v>73.579652999999993</v>
      </c>
      <c r="AA287">
        <v>59.851872</v>
      </c>
      <c r="AB287">
        <v>39.901248000000002</v>
      </c>
      <c r="AC287">
        <v>50</v>
      </c>
      <c r="AD287">
        <v>70.218082999999993</v>
      </c>
      <c r="AE287">
        <v>46.812055000000001</v>
      </c>
      <c r="AF287">
        <v>50</v>
      </c>
      <c r="AG287">
        <v>65.887096999999997</v>
      </c>
      <c r="AH287">
        <v>75</v>
      </c>
      <c r="AI287">
        <v>43.924731000000001</v>
      </c>
      <c r="AJ287">
        <v>50</v>
      </c>
      <c r="AK287">
        <v>9.4</v>
      </c>
      <c r="AL287">
        <v>13.72</v>
      </c>
      <c r="AM287">
        <v>9.11</v>
      </c>
      <c r="AN287">
        <v>0.53623699999999996</v>
      </c>
      <c r="AO287">
        <v>53.623714999999997</v>
      </c>
      <c r="AP287">
        <v>100</v>
      </c>
      <c r="AQ287">
        <v>0.56005099999999997</v>
      </c>
      <c r="AR287">
        <v>56.005124000000002</v>
      </c>
      <c r="AS287">
        <v>100</v>
      </c>
      <c r="AT287">
        <v>0.48586400000000002</v>
      </c>
      <c r="AU287">
        <v>0.61047200000000001</v>
      </c>
      <c r="AV287">
        <v>48.586354999999998</v>
      </c>
      <c r="AW287">
        <v>100</v>
      </c>
      <c r="AX287">
        <v>0.537107</v>
      </c>
      <c r="AY287">
        <v>0.59386399999999995</v>
      </c>
      <c r="AZ287">
        <v>53.710653999999998</v>
      </c>
      <c r="BA287">
        <v>100</v>
      </c>
      <c r="BB287" t="s">
        <v>125</v>
      </c>
      <c r="BC287" t="s">
        <v>125</v>
      </c>
      <c r="BD287" t="s">
        <v>125</v>
      </c>
      <c r="BE287" t="s">
        <v>125</v>
      </c>
      <c r="BF287" t="s">
        <v>125</v>
      </c>
      <c r="BG287" t="s">
        <v>125</v>
      </c>
      <c r="BH287">
        <v>0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4.8611000000000001E-2</v>
      </c>
      <c r="BS287">
        <v>50</v>
      </c>
      <c r="BT287">
        <v>50</v>
      </c>
      <c r="BU287">
        <v>6.8000000000000005E-2</v>
      </c>
      <c r="BV287">
        <v>46.4</v>
      </c>
      <c r="BW287">
        <v>50</v>
      </c>
      <c r="BX287" t="s">
        <v>125</v>
      </c>
      <c r="BY287" t="s">
        <v>125</v>
      </c>
      <c r="BZ287" t="s">
        <v>125</v>
      </c>
      <c r="CA287" t="s">
        <v>125</v>
      </c>
      <c r="CB287" t="s">
        <v>125</v>
      </c>
      <c r="CC287" t="s">
        <v>125</v>
      </c>
      <c r="CD287" t="s">
        <v>125</v>
      </c>
      <c r="CE287" t="s">
        <v>125</v>
      </c>
      <c r="CF287" t="s">
        <v>125</v>
      </c>
      <c r="CG287" t="s">
        <v>125</v>
      </c>
      <c r="CH287" t="s">
        <v>125</v>
      </c>
      <c r="CI287" t="s">
        <v>125</v>
      </c>
      <c r="CJ287" t="s">
        <v>125</v>
      </c>
      <c r="CK287" t="s">
        <v>125</v>
      </c>
      <c r="CL287" t="s">
        <v>125</v>
      </c>
      <c r="CM287" t="s">
        <v>125</v>
      </c>
      <c r="CN287" t="s">
        <v>125</v>
      </c>
      <c r="CO287" t="s">
        <v>125</v>
      </c>
      <c r="CP287" t="s">
        <v>125</v>
      </c>
      <c r="CQ287">
        <v>0.45454499999999998</v>
      </c>
      <c r="CR287">
        <v>1.0694440000000001</v>
      </c>
      <c r="CS287">
        <v>30.30303</v>
      </c>
      <c r="CT287">
        <v>50</v>
      </c>
      <c r="CU287" t="s">
        <v>125</v>
      </c>
      <c r="CV287" t="s">
        <v>125</v>
      </c>
      <c r="CW287" t="s">
        <v>125</v>
      </c>
      <c r="CX287" t="s">
        <v>125</v>
      </c>
      <c r="CY287" t="s">
        <v>125</v>
      </c>
      <c r="CZ287" t="s">
        <v>125</v>
      </c>
      <c r="DA287">
        <v>15.314097</v>
      </c>
      <c r="DB287">
        <v>17.400950000000002</v>
      </c>
      <c r="DC287">
        <v>16.332519999999999</v>
      </c>
      <c r="DD287" t="s">
        <v>125</v>
      </c>
      <c r="DE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Q287" t="s">
        <v>126</v>
      </c>
    </row>
    <row r="288" spans="1:121" x14ac:dyDescent="0.15">
      <c r="A288">
        <v>2018</v>
      </c>
      <c r="B288" t="s">
        <v>226</v>
      </c>
      <c r="C288" t="str">
        <f t="shared" si="3"/>
        <v>0170011</v>
      </c>
      <c r="D288" t="s">
        <v>425</v>
      </c>
      <c r="E288" t="str">
        <f>"0171211"</f>
        <v>0171211</v>
      </c>
      <c r="F288" t="s">
        <v>328</v>
      </c>
      <c r="G288" t="s">
        <v>329</v>
      </c>
      <c r="H288">
        <v>5</v>
      </c>
      <c r="I288" t="s">
        <v>336</v>
      </c>
      <c r="J288" t="s">
        <v>331</v>
      </c>
      <c r="K288">
        <v>551.481675</v>
      </c>
      <c r="L288">
        <v>850</v>
      </c>
      <c r="M288">
        <v>64.880196999999995</v>
      </c>
      <c r="N288">
        <v>3</v>
      </c>
      <c r="O288">
        <v>0</v>
      </c>
      <c r="P288">
        <v>62.900132999999997</v>
      </c>
      <c r="Q288">
        <v>41.933422</v>
      </c>
      <c r="R288">
        <v>50</v>
      </c>
      <c r="S288">
        <v>58.225126000000003</v>
      </c>
      <c r="T288">
        <v>71.470979999999997</v>
      </c>
      <c r="U288">
        <v>38.816749999999999</v>
      </c>
      <c r="V288">
        <v>50</v>
      </c>
      <c r="W288">
        <v>57.889890000000001</v>
      </c>
      <c r="X288">
        <v>38.593260000000001</v>
      </c>
      <c r="Y288">
        <v>50</v>
      </c>
      <c r="Z288">
        <v>67.797596999999996</v>
      </c>
      <c r="AA288">
        <v>52.394858999999997</v>
      </c>
      <c r="AB288">
        <v>34.929906000000003</v>
      </c>
      <c r="AC288">
        <v>50</v>
      </c>
      <c r="AD288">
        <v>63.353745000000004</v>
      </c>
      <c r="AE288">
        <v>42.23583</v>
      </c>
      <c r="AF288">
        <v>50</v>
      </c>
      <c r="AG288">
        <v>58.972462999999998</v>
      </c>
      <c r="AH288" t="s">
        <v>125</v>
      </c>
      <c r="AI288">
        <v>39.314974999999997</v>
      </c>
      <c r="AJ288">
        <v>50</v>
      </c>
      <c r="AK288">
        <v>13.24</v>
      </c>
      <c r="AL288">
        <v>15.4</v>
      </c>
      <c r="AM288" t="s">
        <v>125</v>
      </c>
      <c r="AN288">
        <v>0.53216300000000005</v>
      </c>
      <c r="AO288">
        <v>53.216278000000003</v>
      </c>
      <c r="AP288">
        <v>100</v>
      </c>
      <c r="AQ288">
        <v>0.55562199999999995</v>
      </c>
      <c r="AR288">
        <v>55.562196</v>
      </c>
      <c r="AS288">
        <v>100</v>
      </c>
      <c r="AT288">
        <v>0.51499099999999998</v>
      </c>
      <c r="AU288">
        <v>0.56091500000000005</v>
      </c>
      <c r="AV288">
        <v>51.499144000000001</v>
      </c>
      <c r="AW288">
        <v>100</v>
      </c>
      <c r="AX288">
        <v>0.53822099999999995</v>
      </c>
      <c r="AY288">
        <v>0.58394900000000005</v>
      </c>
      <c r="AZ288">
        <v>53.822130999999999</v>
      </c>
      <c r="BA288">
        <v>100</v>
      </c>
      <c r="BB288" t="s">
        <v>125</v>
      </c>
      <c r="BC288" t="s">
        <v>125</v>
      </c>
      <c r="BD288" t="s">
        <v>125</v>
      </c>
      <c r="BE288" t="s">
        <v>125</v>
      </c>
      <c r="BF288" t="s">
        <v>125</v>
      </c>
      <c r="BG288" t="s">
        <v>125</v>
      </c>
      <c r="BH288">
        <v>0</v>
      </c>
      <c r="BI288">
        <v>0.99512199999999995</v>
      </c>
      <c r="BJ288">
        <v>0.99275400000000003</v>
      </c>
      <c r="BK288">
        <v>1</v>
      </c>
      <c r="BL288">
        <v>0.99019599999999997</v>
      </c>
      <c r="BM288">
        <v>0.98540099999999997</v>
      </c>
      <c r="BN288">
        <v>1</v>
      </c>
      <c r="BO288">
        <v>1</v>
      </c>
      <c r="BP288">
        <v>1</v>
      </c>
      <c r="BQ288" t="s">
        <v>125</v>
      </c>
      <c r="BR288">
        <v>6.5041000000000002E-2</v>
      </c>
      <c r="BS288">
        <v>46.991869999999999</v>
      </c>
      <c r="BT288">
        <v>50</v>
      </c>
      <c r="BU288">
        <v>9.2827000000000007E-2</v>
      </c>
      <c r="BV288">
        <v>41.434598999999999</v>
      </c>
      <c r="BW288">
        <v>50</v>
      </c>
      <c r="BX288" t="s">
        <v>125</v>
      </c>
      <c r="BY288" t="s">
        <v>125</v>
      </c>
      <c r="BZ288" t="s">
        <v>125</v>
      </c>
      <c r="CA288" t="s">
        <v>125</v>
      </c>
      <c r="CB288" t="s">
        <v>125</v>
      </c>
      <c r="CC288" t="s">
        <v>125</v>
      </c>
      <c r="CD288" t="s">
        <v>125</v>
      </c>
      <c r="CE288" t="s">
        <v>125</v>
      </c>
      <c r="CF288" t="s">
        <v>125</v>
      </c>
      <c r="CG288" t="s">
        <v>125</v>
      </c>
      <c r="CH288" t="s">
        <v>125</v>
      </c>
      <c r="CI288" t="s">
        <v>125</v>
      </c>
      <c r="CJ288" t="s">
        <v>125</v>
      </c>
      <c r="CK288" t="s">
        <v>125</v>
      </c>
      <c r="CL288" t="s">
        <v>125</v>
      </c>
      <c r="CM288" t="s">
        <v>125</v>
      </c>
      <c r="CN288" t="s">
        <v>125</v>
      </c>
      <c r="CO288" t="s">
        <v>125</v>
      </c>
      <c r="CP288" t="s">
        <v>125</v>
      </c>
      <c r="CQ288">
        <v>0.19697000000000001</v>
      </c>
      <c r="CR288">
        <v>0.97058800000000001</v>
      </c>
      <c r="CS288">
        <v>13.131313</v>
      </c>
      <c r="CT288">
        <v>50</v>
      </c>
      <c r="CU288" t="s">
        <v>125</v>
      </c>
      <c r="CV288" t="s">
        <v>125</v>
      </c>
      <c r="CW288" t="s">
        <v>125</v>
      </c>
      <c r="CX288" t="s">
        <v>125</v>
      </c>
      <c r="CY288" t="s">
        <v>125</v>
      </c>
      <c r="CZ288" t="s">
        <v>125</v>
      </c>
      <c r="DA288">
        <v>15.314097</v>
      </c>
      <c r="DB288">
        <v>17.400950000000002</v>
      </c>
      <c r="DC288">
        <v>16.332519999999999</v>
      </c>
      <c r="DD288" t="s">
        <v>125</v>
      </c>
      <c r="DE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Q288" t="s">
        <v>126</v>
      </c>
    </row>
    <row r="289" spans="1:121" x14ac:dyDescent="0.15">
      <c r="A289">
        <v>2018</v>
      </c>
      <c r="B289" t="s">
        <v>226</v>
      </c>
      <c r="C289" t="str">
        <f t="shared" si="3"/>
        <v>0170011</v>
      </c>
      <c r="D289" t="s">
        <v>426</v>
      </c>
      <c r="E289" t="str">
        <f>"0172011"</f>
        <v>0172011</v>
      </c>
      <c r="F289" t="s">
        <v>328</v>
      </c>
      <c r="G289" t="s">
        <v>339</v>
      </c>
      <c r="H289">
        <v>8</v>
      </c>
      <c r="I289" t="s">
        <v>336</v>
      </c>
      <c r="J289" t="s">
        <v>331</v>
      </c>
      <c r="K289">
        <v>696.27884200000005</v>
      </c>
      <c r="L289">
        <v>1000</v>
      </c>
      <c r="M289">
        <v>69.627883999999995</v>
      </c>
      <c r="N289">
        <v>3</v>
      </c>
      <c r="O289">
        <v>1</v>
      </c>
      <c r="P289">
        <v>64.581349000000003</v>
      </c>
      <c r="Q289">
        <v>43.054231999999999</v>
      </c>
      <c r="R289">
        <v>50</v>
      </c>
      <c r="S289">
        <v>59.359057999999997</v>
      </c>
      <c r="T289">
        <v>75</v>
      </c>
      <c r="U289">
        <v>39.572704999999999</v>
      </c>
      <c r="V289">
        <v>50</v>
      </c>
      <c r="W289">
        <v>59.397593000000001</v>
      </c>
      <c r="X289">
        <v>39.598394999999996</v>
      </c>
      <c r="Y289">
        <v>50</v>
      </c>
      <c r="Z289">
        <v>69.650630000000007</v>
      </c>
      <c r="AA289">
        <v>54.389682999999998</v>
      </c>
      <c r="AB289">
        <v>36.259788999999998</v>
      </c>
      <c r="AC289">
        <v>50</v>
      </c>
      <c r="AD289">
        <v>64.430368000000001</v>
      </c>
      <c r="AE289">
        <v>42.953578999999998</v>
      </c>
      <c r="AF289">
        <v>50</v>
      </c>
      <c r="AG289">
        <v>57.692475999999999</v>
      </c>
      <c r="AH289">
        <v>75</v>
      </c>
      <c r="AI289">
        <v>38.461651000000003</v>
      </c>
      <c r="AJ289">
        <v>50</v>
      </c>
      <c r="AK289">
        <v>15.64</v>
      </c>
      <c r="AL289">
        <v>15.26</v>
      </c>
      <c r="AM289">
        <v>17.3</v>
      </c>
      <c r="AN289">
        <v>0.53151800000000005</v>
      </c>
      <c r="AO289">
        <v>53.151823</v>
      </c>
      <c r="AP289">
        <v>100</v>
      </c>
      <c r="AQ289">
        <v>0.60247300000000004</v>
      </c>
      <c r="AR289">
        <v>60.247312999999998</v>
      </c>
      <c r="AS289">
        <v>100</v>
      </c>
      <c r="AT289">
        <v>0.52576500000000004</v>
      </c>
      <c r="AU289">
        <v>0.542408</v>
      </c>
      <c r="AV289">
        <v>52.576524999999997</v>
      </c>
      <c r="AW289">
        <v>100</v>
      </c>
      <c r="AX289">
        <v>0.59641900000000003</v>
      </c>
      <c r="AY289">
        <v>0.61371600000000004</v>
      </c>
      <c r="AZ289">
        <v>59.641941000000003</v>
      </c>
      <c r="BA289">
        <v>100</v>
      </c>
      <c r="BB289">
        <v>0.72177899999999995</v>
      </c>
      <c r="BC289">
        <v>36.088970000000003</v>
      </c>
      <c r="BD289">
        <v>50</v>
      </c>
      <c r="BE289">
        <v>0.50223700000000004</v>
      </c>
      <c r="BF289">
        <v>25.111841999999999</v>
      </c>
      <c r="BG289">
        <v>50</v>
      </c>
      <c r="BH289">
        <v>0</v>
      </c>
      <c r="BI289">
        <v>0.98894199999999999</v>
      </c>
      <c r="BJ289">
        <v>0.98626999999999998</v>
      </c>
      <c r="BK289">
        <v>0.99489799999999995</v>
      </c>
      <c r="BL289">
        <v>0.98885400000000001</v>
      </c>
      <c r="BM289">
        <v>0.98611099999999996</v>
      </c>
      <c r="BN289">
        <v>0.99489799999999995</v>
      </c>
      <c r="BO289">
        <v>0.98130799999999996</v>
      </c>
      <c r="BP289">
        <v>0.97036999999999995</v>
      </c>
      <c r="BQ289">
        <v>1</v>
      </c>
      <c r="BR289">
        <v>9.6070000000000003E-2</v>
      </c>
      <c r="BS289">
        <v>40.786026</v>
      </c>
      <c r="BT289">
        <v>50</v>
      </c>
      <c r="BU289">
        <v>0.12578600000000001</v>
      </c>
      <c r="BV289">
        <v>34.842767000000002</v>
      </c>
      <c r="BW289">
        <v>50</v>
      </c>
      <c r="BX289" t="s">
        <v>125</v>
      </c>
      <c r="BY289" t="s">
        <v>125</v>
      </c>
      <c r="BZ289" t="s">
        <v>125</v>
      </c>
      <c r="CA289" t="s">
        <v>125</v>
      </c>
      <c r="CB289" t="s">
        <v>125</v>
      </c>
      <c r="CC289" t="s">
        <v>125</v>
      </c>
      <c r="CD289">
        <v>0.90625</v>
      </c>
      <c r="CE289">
        <v>48.204787000000003</v>
      </c>
      <c r="CF289">
        <v>50</v>
      </c>
      <c r="CG289" t="s">
        <v>125</v>
      </c>
      <c r="CH289" t="s">
        <v>125</v>
      </c>
      <c r="CI289" t="s">
        <v>125</v>
      </c>
      <c r="CJ289" t="s">
        <v>125</v>
      </c>
      <c r="CK289" t="s">
        <v>125</v>
      </c>
      <c r="CL289" t="s">
        <v>125</v>
      </c>
      <c r="CM289" t="s">
        <v>125</v>
      </c>
      <c r="CN289" t="s">
        <v>125</v>
      </c>
      <c r="CO289" t="s">
        <v>125</v>
      </c>
      <c r="CP289" t="s">
        <v>125</v>
      </c>
      <c r="CQ289">
        <v>0.68589699999999998</v>
      </c>
      <c r="CR289">
        <v>0.99047600000000002</v>
      </c>
      <c r="CS289">
        <v>45.726495999999997</v>
      </c>
      <c r="CT289">
        <v>50</v>
      </c>
      <c r="CU289" t="s">
        <v>125</v>
      </c>
      <c r="CV289" t="s">
        <v>125</v>
      </c>
      <c r="CW289" t="s">
        <v>125</v>
      </c>
      <c r="CX289" t="s">
        <v>125</v>
      </c>
      <c r="CY289" t="s">
        <v>125</v>
      </c>
      <c r="CZ289" t="s">
        <v>125</v>
      </c>
      <c r="DA289">
        <v>15.314097</v>
      </c>
      <c r="DB289">
        <v>17.400950000000002</v>
      </c>
      <c r="DC289">
        <v>16.332519999999999</v>
      </c>
      <c r="DD289" t="s">
        <v>125</v>
      </c>
      <c r="DE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Q289" t="s">
        <v>126</v>
      </c>
    </row>
    <row r="290" spans="1:121" x14ac:dyDescent="0.15">
      <c r="A290">
        <v>2018</v>
      </c>
      <c r="B290" t="s">
        <v>127</v>
      </c>
      <c r="C290" t="str">
        <f>"0180011"</f>
        <v>0180011</v>
      </c>
      <c r="D290" t="s">
        <v>427</v>
      </c>
      <c r="E290" t="str">
        <f>"0186111"</f>
        <v>0186111</v>
      </c>
      <c r="F290" t="s">
        <v>328</v>
      </c>
      <c r="G290">
        <v>9</v>
      </c>
      <c r="H290">
        <v>12</v>
      </c>
      <c r="J290" t="s">
        <v>331</v>
      </c>
      <c r="K290">
        <v>1252.3949769999999</v>
      </c>
      <c r="L290">
        <v>1450</v>
      </c>
      <c r="M290">
        <v>86.372067000000001</v>
      </c>
      <c r="N290">
        <v>2</v>
      </c>
      <c r="O290">
        <v>1</v>
      </c>
      <c r="P290">
        <v>64.513172999999995</v>
      </c>
      <c r="Q290">
        <v>129.02634599999999</v>
      </c>
      <c r="R290">
        <v>150</v>
      </c>
      <c r="S290">
        <v>54.486311999999998</v>
      </c>
      <c r="T290">
        <v>70.048000000000002</v>
      </c>
      <c r="U290">
        <v>108.97262499999999</v>
      </c>
      <c r="V290">
        <v>150</v>
      </c>
      <c r="W290">
        <v>64.689576000000002</v>
      </c>
      <c r="X290">
        <v>129.379152</v>
      </c>
      <c r="Y290">
        <v>150</v>
      </c>
      <c r="Z290">
        <v>69.52</v>
      </c>
      <c r="AA290">
        <v>55.938808000000002</v>
      </c>
      <c r="AB290">
        <v>111.877617</v>
      </c>
      <c r="AC290">
        <v>150</v>
      </c>
      <c r="AD290">
        <v>63.511643999999997</v>
      </c>
      <c r="AE290">
        <v>84.682192000000001</v>
      </c>
      <c r="AF290">
        <v>100</v>
      </c>
      <c r="AG290">
        <v>56.795667999999999</v>
      </c>
      <c r="AH290">
        <v>67.248759000000007</v>
      </c>
      <c r="AI290">
        <v>75.727557000000004</v>
      </c>
      <c r="AJ290">
        <v>100</v>
      </c>
      <c r="AK290">
        <v>15.56</v>
      </c>
      <c r="AL290">
        <v>13.58</v>
      </c>
      <c r="AM290">
        <v>10.45</v>
      </c>
      <c r="AN290" t="s">
        <v>125</v>
      </c>
      <c r="AO290" t="s">
        <v>125</v>
      </c>
      <c r="AP290" t="s">
        <v>125</v>
      </c>
      <c r="AQ290" t="s">
        <v>125</v>
      </c>
      <c r="AR290" t="s">
        <v>125</v>
      </c>
      <c r="AS290" t="s">
        <v>125</v>
      </c>
      <c r="AT290" t="s">
        <v>125</v>
      </c>
      <c r="AU290" t="s">
        <v>125</v>
      </c>
      <c r="AV290" t="s">
        <v>125</v>
      </c>
      <c r="AW290" t="s">
        <v>125</v>
      </c>
      <c r="AX290" t="s">
        <v>125</v>
      </c>
      <c r="AY290" t="s">
        <v>125</v>
      </c>
      <c r="AZ290" t="s">
        <v>125</v>
      </c>
      <c r="BA290" t="s">
        <v>125</v>
      </c>
      <c r="BB290" t="s">
        <v>125</v>
      </c>
      <c r="BC290" t="s">
        <v>125</v>
      </c>
      <c r="BD290" t="s">
        <v>125</v>
      </c>
      <c r="BE290" t="s">
        <v>125</v>
      </c>
      <c r="BF290" t="s">
        <v>125</v>
      </c>
      <c r="BG290" t="s">
        <v>125</v>
      </c>
      <c r="BH290">
        <v>0</v>
      </c>
      <c r="BI290">
        <v>0.97560999999999998</v>
      </c>
      <c r="BJ290">
        <v>0.96</v>
      </c>
      <c r="BK290">
        <v>0.98461500000000002</v>
      </c>
      <c r="BL290">
        <v>0.97560999999999998</v>
      </c>
      <c r="BM290">
        <v>0.96</v>
      </c>
      <c r="BN290">
        <v>0.98461500000000002</v>
      </c>
      <c r="BO290">
        <v>0.97087400000000001</v>
      </c>
      <c r="BP290">
        <v>0.96052599999999999</v>
      </c>
      <c r="BQ290">
        <v>0.97692299999999999</v>
      </c>
      <c r="BR290">
        <v>6.0780000000000001E-2</v>
      </c>
      <c r="BS290">
        <v>47.844037</v>
      </c>
      <c r="BT290">
        <v>50</v>
      </c>
      <c r="BU290">
        <v>0.12851399999999999</v>
      </c>
      <c r="BV290">
        <v>34.297189000000003</v>
      </c>
      <c r="BW290">
        <v>50</v>
      </c>
      <c r="BX290">
        <v>0.95145599999999997</v>
      </c>
      <c r="BY290">
        <v>50</v>
      </c>
      <c r="BZ290">
        <v>50</v>
      </c>
      <c r="CA290">
        <v>0.68932000000000004</v>
      </c>
      <c r="CB290">
        <v>45.954692999999999</v>
      </c>
      <c r="CC290">
        <v>50</v>
      </c>
      <c r="CD290">
        <v>0.94957999999999998</v>
      </c>
      <c r="CE290">
        <v>50</v>
      </c>
      <c r="CF290">
        <v>50</v>
      </c>
      <c r="CG290">
        <v>0.96650700000000001</v>
      </c>
      <c r="CH290">
        <v>100</v>
      </c>
      <c r="CI290">
        <v>100</v>
      </c>
      <c r="CJ290">
        <v>0</v>
      </c>
      <c r="CK290">
        <v>0.9</v>
      </c>
      <c r="CL290">
        <v>95.744681</v>
      </c>
      <c r="CM290">
        <v>100</v>
      </c>
      <c r="CN290">
        <v>0.864734</v>
      </c>
      <c r="CO290">
        <v>100</v>
      </c>
      <c r="CP290">
        <v>100</v>
      </c>
      <c r="CQ290">
        <v>0.58333299999999999</v>
      </c>
      <c r="CR290">
        <v>0.97297299999999998</v>
      </c>
      <c r="CS290">
        <v>38.888888999999999</v>
      </c>
      <c r="CT290">
        <v>50</v>
      </c>
      <c r="CU290">
        <v>0.60321100000000005</v>
      </c>
      <c r="CV290">
        <v>50</v>
      </c>
      <c r="CW290">
        <v>50</v>
      </c>
      <c r="CX290">
        <v>0.9</v>
      </c>
      <c r="CY290">
        <v>0.94</v>
      </c>
      <c r="CZ290">
        <v>0.04</v>
      </c>
      <c r="DA290">
        <v>15.314097</v>
      </c>
      <c r="DB290">
        <v>17.400950000000002</v>
      </c>
      <c r="DC290">
        <v>16.332519999999999</v>
      </c>
      <c r="DD290">
        <v>7.9891730000000001</v>
      </c>
      <c r="DE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Q290" t="s">
        <v>126</v>
      </c>
    </row>
    <row r="291" spans="1:121" x14ac:dyDescent="0.15">
      <c r="A291">
        <v>2018</v>
      </c>
      <c r="B291" t="s">
        <v>127</v>
      </c>
      <c r="C291" t="str">
        <f>"0180011"</f>
        <v>0180011</v>
      </c>
      <c r="D291" t="s">
        <v>428</v>
      </c>
      <c r="E291" t="str">
        <f>"0180311"</f>
        <v>0180311</v>
      </c>
      <c r="F291" t="s">
        <v>328</v>
      </c>
      <c r="G291" t="s">
        <v>329</v>
      </c>
      <c r="H291">
        <v>1</v>
      </c>
      <c r="J291" t="s">
        <v>331</v>
      </c>
      <c r="K291">
        <v>96.125</v>
      </c>
      <c r="L291">
        <v>100</v>
      </c>
      <c r="M291">
        <v>96.125</v>
      </c>
      <c r="N291" t="s">
        <v>125</v>
      </c>
      <c r="O291" t="s">
        <v>125</v>
      </c>
      <c r="P291" t="s">
        <v>125</v>
      </c>
      <c r="Q291" t="s">
        <v>125</v>
      </c>
      <c r="R291" t="s">
        <v>125</v>
      </c>
      <c r="S291" t="s">
        <v>125</v>
      </c>
      <c r="T291" t="s">
        <v>125</v>
      </c>
      <c r="U291" t="s">
        <v>125</v>
      </c>
      <c r="V291" t="s">
        <v>125</v>
      </c>
      <c r="W291" t="s">
        <v>125</v>
      </c>
      <c r="X291" t="s">
        <v>125</v>
      </c>
      <c r="Y291" t="s">
        <v>125</v>
      </c>
      <c r="Z291" t="s">
        <v>125</v>
      </c>
      <c r="AA291" t="s">
        <v>125</v>
      </c>
      <c r="AB291" t="s">
        <v>125</v>
      </c>
      <c r="AC291" t="s">
        <v>125</v>
      </c>
      <c r="AD291" t="s">
        <v>125</v>
      </c>
      <c r="AE291" t="s">
        <v>125</v>
      </c>
      <c r="AF291" t="s">
        <v>125</v>
      </c>
      <c r="AG291" t="s">
        <v>125</v>
      </c>
      <c r="AH291" t="s">
        <v>125</v>
      </c>
      <c r="AI291" t="s">
        <v>125</v>
      </c>
      <c r="AJ291" t="s">
        <v>125</v>
      </c>
      <c r="AK291" t="s">
        <v>125</v>
      </c>
      <c r="AL291" t="s">
        <v>125</v>
      </c>
      <c r="AM291" t="s">
        <v>125</v>
      </c>
      <c r="AN291" t="s">
        <v>125</v>
      </c>
      <c r="AO291" t="s">
        <v>125</v>
      </c>
      <c r="AP291" t="s">
        <v>125</v>
      </c>
      <c r="AQ291" t="s">
        <v>125</v>
      </c>
      <c r="AR291" t="s">
        <v>125</v>
      </c>
      <c r="AS291" t="s">
        <v>125</v>
      </c>
      <c r="AT291" t="s">
        <v>125</v>
      </c>
      <c r="AU291" t="s">
        <v>125</v>
      </c>
      <c r="AV291" t="s">
        <v>125</v>
      </c>
      <c r="AW291" t="s">
        <v>125</v>
      </c>
      <c r="AX291" t="s">
        <v>125</v>
      </c>
      <c r="AY291" t="s">
        <v>125</v>
      </c>
      <c r="AZ291" t="s">
        <v>125</v>
      </c>
      <c r="BA291" t="s">
        <v>125</v>
      </c>
      <c r="BB291" t="s">
        <v>125</v>
      </c>
      <c r="BC291" t="s">
        <v>125</v>
      </c>
      <c r="BD291" t="s">
        <v>125</v>
      </c>
      <c r="BE291" t="s">
        <v>125</v>
      </c>
      <c r="BF291" t="s">
        <v>125</v>
      </c>
      <c r="BG291" t="s">
        <v>125</v>
      </c>
      <c r="BH291" t="s">
        <v>125</v>
      </c>
      <c r="BI291" t="s">
        <v>125</v>
      </c>
      <c r="BJ291" t="s">
        <v>125</v>
      </c>
      <c r="BK291" t="s">
        <v>125</v>
      </c>
      <c r="BL291" t="s">
        <v>125</v>
      </c>
      <c r="BM291" t="s">
        <v>125</v>
      </c>
      <c r="BN291" t="s">
        <v>125</v>
      </c>
      <c r="BO291" t="s">
        <v>125</v>
      </c>
      <c r="BP291" t="s">
        <v>125</v>
      </c>
      <c r="BQ291" t="s">
        <v>125</v>
      </c>
      <c r="BR291">
        <v>5.9374999999999997E-2</v>
      </c>
      <c r="BS291">
        <v>48.125</v>
      </c>
      <c r="BT291">
        <v>50</v>
      </c>
      <c r="BU291">
        <v>0.06</v>
      </c>
      <c r="BV291">
        <v>48</v>
      </c>
      <c r="BW291">
        <v>50</v>
      </c>
      <c r="BX291" t="s">
        <v>125</v>
      </c>
      <c r="BY291" t="s">
        <v>125</v>
      </c>
      <c r="BZ291" t="s">
        <v>125</v>
      </c>
      <c r="CA291" t="s">
        <v>125</v>
      </c>
      <c r="CB291" t="s">
        <v>125</v>
      </c>
      <c r="CC291" t="s">
        <v>125</v>
      </c>
      <c r="CD291" t="s">
        <v>125</v>
      </c>
      <c r="CE291" t="s">
        <v>125</v>
      </c>
      <c r="CF291" t="s">
        <v>125</v>
      </c>
      <c r="CG291" t="s">
        <v>125</v>
      </c>
      <c r="CH291" t="s">
        <v>125</v>
      </c>
      <c r="CI291" t="s">
        <v>125</v>
      </c>
      <c r="CJ291" t="s">
        <v>125</v>
      </c>
      <c r="CK291" t="s">
        <v>125</v>
      </c>
      <c r="CL291" t="s">
        <v>125</v>
      </c>
      <c r="CM291" t="s">
        <v>125</v>
      </c>
      <c r="CN291" t="s">
        <v>125</v>
      </c>
      <c r="CO291" t="s">
        <v>125</v>
      </c>
      <c r="CP291" t="s">
        <v>125</v>
      </c>
      <c r="CQ291" t="s">
        <v>125</v>
      </c>
      <c r="CR291" t="s">
        <v>125</v>
      </c>
      <c r="CS291" t="s">
        <v>125</v>
      </c>
      <c r="CT291" t="s">
        <v>125</v>
      </c>
      <c r="CU291" t="s">
        <v>125</v>
      </c>
      <c r="CV291" t="s">
        <v>125</v>
      </c>
      <c r="CW291" t="s">
        <v>125</v>
      </c>
      <c r="CX291" t="s">
        <v>125</v>
      </c>
      <c r="CY291" t="s">
        <v>125</v>
      </c>
      <c r="CZ291" t="s">
        <v>125</v>
      </c>
      <c r="DA291" t="s">
        <v>125</v>
      </c>
      <c r="DB291" t="s">
        <v>125</v>
      </c>
      <c r="DC291" t="s">
        <v>125</v>
      </c>
      <c r="DD291" t="s">
        <v>125</v>
      </c>
      <c r="DE291" t="s">
        <v>125</v>
      </c>
      <c r="DJ291" t="s">
        <v>125</v>
      </c>
      <c r="DK291" t="s">
        <v>125</v>
      </c>
      <c r="DL291" t="s">
        <v>125</v>
      </c>
      <c r="DM291" t="s">
        <v>125</v>
      </c>
      <c r="DN291" t="s">
        <v>125</v>
      </c>
      <c r="DO291" t="s">
        <v>125</v>
      </c>
      <c r="DQ291" t="s">
        <v>126</v>
      </c>
    </row>
    <row r="292" spans="1:121" x14ac:dyDescent="0.15">
      <c r="A292">
        <v>2018</v>
      </c>
      <c r="B292" t="s">
        <v>127</v>
      </c>
      <c r="C292" t="str">
        <f>"0180011"</f>
        <v>0180011</v>
      </c>
      <c r="D292" t="s">
        <v>429</v>
      </c>
      <c r="E292" t="str">
        <f>"0180411"</f>
        <v>0180411</v>
      </c>
      <c r="F292" t="s">
        <v>328</v>
      </c>
      <c r="G292">
        <v>2</v>
      </c>
      <c r="H292">
        <v>4</v>
      </c>
      <c r="J292" t="s">
        <v>331</v>
      </c>
      <c r="K292">
        <v>652.72818900000004</v>
      </c>
      <c r="L292">
        <v>850</v>
      </c>
      <c r="M292">
        <v>76.791551999999996</v>
      </c>
      <c r="N292">
        <v>2</v>
      </c>
      <c r="O292">
        <v>0</v>
      </c>
      <c r="P292">
        <v>73.278891999999999</v>
      </c>
      <c r="Q292">
        <v>48.852595000000001</v>
      </c>
      <c r="R292">
        <v>50</v>
      </c>
      <c r="S292">
        <v>64.623125999999999</v>
      </c>
      <c r="T292">
        <v>75</v>
      </c>
      <c r="U292">
        <v>43.082084000000002</v>
      </c>
      <c r="V292">
        <v>50</v>
      </c>
      <c r="W292">
        <v>68.506097999999994</v>
      </c>
      <c r="X292">
        <v>45.670732000000001</v>
      </c>
      <c r="Y292">
        <v>50</v>
      </c>
      <c r="Z292">
        <v>71.903018000000003</v>
      </c>
      <c r="AA292">
        <v>60.489367000000001</v>
      </c>
      <c r="AB292">
        <v>40.326245</v>
      </c>
      <c r="AC292">
        <v>50</v>
      </c>
      <c r="AD292" t="s">
        <v>125</v>
      </c>
      <c r="AE292" t="s">
        <v>125</v>
      </c>
      <c r="AF292" t="s">
        <v>125</v>
      </c>
      <c r="AG292" t="s">
        <v>125</v>
      </c>
      <c r="AH292" t="s">
        <v>125</v>
      </c>
      <c r="AI292" t="s">
        <v>125</v>
      </c>
      <c r="AJ292" t="s">
        <v>125</v>
      </c>
      <c r="AK292">
        <v>10.37</v>
      </c>
      <c r="AL292">
        <v>11.41</v>
      </c>
      <c r="AM292" t="s">
        <v>125</v>
      </c>
      <c r="AN292">
        <v>0.64453199999999999</v>
      </c>
      <c r="AO292">
        <v>64.453226999999998</v>
      </c>
      <c r="AP292">
        <v>100</v>
      </c>
      <c r="AQ292">
        <v>0.78026399999999996</v>
      </c>
      <c r="AR292">
        <v>78.026411999999993</v>
      </c>
      <c r="AS292">
        <v>100</v>
      </c>
      <c r="AT292">
        <v>0.58856900000000001</v>
      </c>
      <c r="AU292">
        <v>0.66558300000000004</v>
      </c>
      <c r="AV292">
        <v>58.856938999999997</v>
      </c>
      <c r="AW292">
        <v>100</v>
      </c>
      <c r="AX292">
        <v>0.735873</v>
      </c>
      <c r="AY292">
        <v>0.79696199999999995</v>
      </c>
      <c r="AZ292">
        <v>73.587275000000005</v>
      </c>
      <c r="BA292">
        <v>100</v>
      </c>
      <c r="BB292">
        <v>0.85531000000000001</v>
      </c>
      <c r="BC292">
        <v>42.765492999999999</v>
      </c>
      <c r="BD292">
        <v>50</v>
      </c>
      <c r="BE292">
        <v>0.522536</v>
      </c>
      <c r="BF292">
        <v>26.126795000000001</v>
      </c>
      <c r="BG292">
        <v>50</v>
      </c>
      <c r="BH292">
        <v>0</v>
      </c>
      <c r="BI292">
        <v>0.97752799999999995</v>
      </c>
      <c r="BJ292">
        <v>0.98198200000000002</v>
      </c>
      <c r="BK292">
        <v>0.97550999999999999</v>
      </c>
      <c r="BL292">
        <v>0.97752799999999995</v>
      </c>
      <c r="BM292">
        <v>0.98198200000000002</v>
      </c>
      <c r="BN292">
        <v>0.97550999999999999</v>
      </c>
      <c r="BO292" t="s">
        <v>125</v>
      </c>
      <c r="BP292" t="s">
        <v>125</v>
      </c>
      <c r="BQ292" t="s">
        <v>125</v>
      </c>
      <c r="BR292">
        <v>2.2346000000000001E-2</v>
      </c>
      <c r="BS292">
        <v>50</v>
      </c>
      <c r="BT292">
        <v>50</v>
      </c>
      <c r="BU292">
        <v>2.9239999999999999E-2</v>
      </c>
      <c r="BV292">
        <v>50</v>
      </c>
      <c r="BW292">
        <v>50</v>
      </c>
      <c r="BX292" t="s">
        <v>125</v>
      </c>
      <c r="BY292" t="s">
        <v>125</v>
      </c>
      <c r="BZ292" t="s">
        <v>125</v>
      </c>
      <c r="CA292" t="s">
        <v>125</v>
      </c>
      <c r="CB292" t="s">
        <v>125</v>
      </c>
      <c r="CC292" t="s">
        <v>125</v>
      </c>
      <c r="CD292" t="s">
        <v>125</v>
      </c>
      <c r="CE292" t="s">
        <v>125</v>
      </c>
      <c r="CF292" t="s">
        <v>125</v>
      </c>
      <c r="CG292" t="s">
        <v>125</v>
      </c>
      <c r="CH292" t="s">
        <v>125</v>
      </c>
      <c r="CI292" t="s">
        <v>125</v>
      </c>
      <c r="CJ292" t="s">
        <v>125</v>
      </c>
      <c r="CK292" t="s">
        <v>125</v>
      </c>
      <c r="CL292" t="s">
        <v>125</v>
      </c>
      <c r="CM292" t="s">
        <v>125</v>
      </c>
      <c r="CN292" t="s">
        <v>125</v>
      </c>
      <c r="CO292" t="s">
        <v>125</v>
      </c>
      <c r="CP292" t="s">
        <v>125</v>
      </c>
      <c r="CQ292">
        <v>0.46470600000000001</v>
      </c>
      <c r="CR292">
        <v>1.005917</v>
      </c>
      <c r="CS292">
        <v>30.980391999999998</v>
      </c>
      <c r="CT292">
        <v>50</v>
      </c>
      <c r="CU292" t="s">
        <v>125</v>
      </c>
      <c r="CV292" t="s">
        <v>125</v>
      </c>
      <c r="CW292" t="s">
        <v>125</v>
      </c>
      <c r="CX292" t="s">
        <v>125</v>
      </c>
      <c r="CY292" t="s">
        <v>125</v>
      </c>
      <c r="CZ292" t="s">
        <v>125</v>
      </c>
      <c r="DA292">
        <v>15.314097</v>
      </c>
      <c r="DB292">
        <v>17.400950000000002</v>
      </c>
      <c r="DC292">
        <v>16.332519999999999</v>
      </c>
      <c r="DD292" t="s">
        <v>125</v>
      </c>
      <c r="DE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Q292" t="s">
        <v>126</v>
      </c>
    </row>
    <row r="293" spans="1:121" x14ac:dyDescent="0.15">
      <c r="A293">
        <v>2018</v>
      </c>
      <c r="B293" t="s">
        <v>127</v>
      </c>
      <c r="C293" t="str">
        <f>"0180011"</f>
        <v>0180011</v>
      </c>
      <c r="D293" t="s">
        <v>430</v>
      </c>
      <c r="E293" t="str">
        <f>"0185311"</f>
        <v>0185311</v>
      </c>
      <c r="F293" t="s">
        <v>328</v>
      </c>
      <c r="G293">
        <v>5</v>
      </c>
      <c r="H293">
        <v>8</v>
      </c>
      <c r="I293" t="s">
        <v>330</v>
      </c>
      <c r="J293" t="s">
        <v>331</v>
      </c>
      <c r="K293">
        <v>809.96916199999998</v>
      </c>
      <c r="L293">
        <v>1000</v>
      </c>
      <c r="M293">
        <v>80.996915999999999</v>
      </c>
      <c r="N293">
        <v>3</v>
      </c>
      <c r="O293">
        <v>0</v>
      </c>
      <c r="P293">
        <v>75.151200000000003</v>
      </c>
      <c r="Q293">
        <v>50</v>
      </c>
      <c r="R293">
        <v>50</v>
      </c>
      <c r="S293">
        <v>64.612409</v>
      </c>
      <c r="T293">
        <v>75</v>
      </c>
      <c r="U293">
        <v>43.074939000000001</v>
      </c>
      <c r="V293">
        <v>50</v>
      </c>
      <c r="W293">
        <v>73.156349000000006</v>
      </c>
      <c r="X293">
        <v>48.770899</v>
      </c>
      <c r="Y293">
        <v>50</v>
      </c>
      <c r="Z293">
        <v>75</v>
      </c>
      <c r="AA293">
        <v>63.695509999999999</v>
      </c>
      <c r="AB293">
        <v>42.463673</v>
      </c>
      <c r="AC293">
        <v>50</v>
      </c>
      <c r="AD293">
        <v>74.262281000000002</v>
      </c>
      <c r="AE293">
        <v>49.508187</v>
      </c>
      <c r="AF293">
        <v>50</v>
      </c>
      <c r="AG293">
        <v>64.073998000000003</v>
      </c>
      <c r="AH293">
        <v>75</v>
      </c>
      <c r="AI293">
        <v>42.715998999999996</v>
      </c>
      <c r="AJ293">
        <v>50</v>
      </c>
      <c r="AK293">
        <v>10.38</v>
      </c>
      <c r="AL293">
        <v>11.3</v>
      </c>
      <c r="AM293">
        <v>10.92</v>
      </c>
      <c r="AN293">
        <v>0.65338399999999996</v>
      </c>
      <c r="AO293">
        <v>65.338412000000005</v>
      </c>
      <c r="AP293">
        <v>100</v>
      </c>
      <c r="AQ293">
        <v>0.76574399999999998</v>
      </c>
      <c r="AR293">
        <v>76.574374000000006</v>
      </c>
      <c r="AS293">
        <v>100</v>
      </c>
      <c r="AT293">
        <v>0.58025700000000002</v>
      </c>
      <c r="AU293">
        <v>0.68563399999999997</v>
      </c>
      <c r="AV293">
        <v>58.025706999999997</v>
      </c>
      <c r="AW293">
        <v>100</v>
      </c>
      <c r="AX293">
        <v>0.74211800000000006</v>
      </c>
      <c r="AY293">
        <v>0.77613699999999997</v>
      </c>
      <c r="AZ293">
        <v>74.211843000000002</v>
      </c>
      <c r="BA293">
        <v>100</v>
      </c>
      <c r="BB293">
        <v>0.86715600000000004</v>
      </c>
      <c r="BC293">
        <v>43.357821999999999</v>
      </c>
      <c r="BD293">
        <v>50</v>
      </c>
      <c r="BE293">
        <v>0.82581700000000002</v>
      </c>
      <c r="BF293">
        <v>41.290855000000001</v>
      </c>
      <c r="BG293">
        <v>50</v>
      </c>
      <c r="BH293">
        <v>1</v>
      </c>
      <c r="BI293">
        <v>0.95555599999999996</v>
      </c>
      <c r="BJ293">
        <v>0.94576300000000002</v>
      </c>
      <c r="BK293">
        <v>0.96071399999999996</v>
      </c>
      <c r="BL293">
        <v>0.95204699999999998</v>
      </c>
      <c r="BM293">
        <v>0.93898300000000001</v>
      </c>
      <c r="BN293">
        <v>0.95892900000000003</v>
      </c>
      <c r="BO293">
        <v>0.969773</v>
      </c>
      <c r="BP293">
        <v>0.98412699999999997</v>
      </c>
      <c r="BQ293">
        <v>0.96309999999999996</v>
      </c>
      <c r="BR293">
        <v>4.3326000000000003E-2</v>
      </c>
      <c r="BS293">
        <v>50</v>
      </c>
      <c r="BT293">
        <v>50</v>
      </c>
      <c r="BU293">
        <v>8.4506999999999999E-2</v>
      </c>
      <c r="BV293">
        <v>43.098591999999996</v>
      </c>
      <c r="BW293">
        <v>50</v>
      </c>
      <c r="BX293" t="s">
        <v>125</v>
      </c>
      <c r="BY293" t="s">
        <v>125</v>
      </c>
      <c r="BZ293" t="s">
        <v>125</v>
      </c>
      <c r="CA293" t="s">
        <v>125</v>
      </c>
      <c r="CB293" t="s">
        <v>125</v>
      </c>
      <c r="CC293" t="s">
        <v>125</v>
      </c>
      <c r="CD293">
        <v>0.968889</v>
      </c>
      <c r="CE293">
        <v>50</v>
      </c>
      <c r="CF293">
        <v>50</v>
      </c>
      <c r="CG293" t="s">
        <v>125</v>
      </c>
      <c r="CH293" t="s">
        <v>125</v>
      </c>
      <c r="CI293" t="s">
        <v>125</v>
      </c>
      <c r="CJ293" t="s">
        <v>125</v>
      </c>
      <c r="CK293" t="s">
        <v>125</v>
      </c>
      <c r="CL293" t="s">
        <v>125</v>
      </c>
      <c r="CM293" t="s">
        <v>125</v>
      </c>
      <c r="CN293" t="s">
        <v>125</v>
      </c>
      <c r="CO293" t="s">
        <v>125</v>
      </c>
      <c r="CP293" t="s">
        <v>125</v>
      </c>
      <c r="CQ293">
        <v>0.47306799999999999</v>
      </c>
      <c r="CR293">
        <v>0.99302299999999999</v>
      </c>
      <c r="CS293">
        <v>31.537860999999999</v>
      </c>
      <c r="CT293">
        <v>50</v>
      </c>
      <c r="CU293" t="s">
        <v>125</v>
      </c>
      <c r="CV293" t="s">
        <v>125</v>
      </c>
      <c r="CW293" t="s">
        <v>125</v>
      </c>
      <c r="CX293" t="s">
        <v>125</v>
      </c>
      <c r="CY293" t="s">
        <v>125</v>
      </c>
      <c r="CZ293" t="s">
        <v>125</v>
      </c>
      <c r="DA293">
        <v>15.314097</v>
      </c>
      <c r="DB293">
        <v>17.400950000000002</v>
      </c>
      <c r="DC293">
        <v>16.332519999999999</v>
      </c>
      <c r="DD293" t="s">
        <v>125</v>
      </c>
      <c r="DE293">
        <v>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Q293" t="s">
        <v>126</v>
      </c>
    </row>
    <row r="294" spans="1:121" x14ac:dyDescent="0.15">
      <c r="A294">
        <v>2018</v>
      </c>
      <c r="B294" t="s">
        <v>140</v>
      </c>
      <c r="C294" t="str">
        <f>"0190011"</f>
        <v>0190011</v>
      </c>
      <c r="D294" t="s">
        <v>431</v>
      </c>
      <c r="E294" t="str">
        <f>"0190111"</f>
        <v>0190111</v>
      </c>
      <c r="F294" t="s">
        <v>328</v>
      </c>
      <c r="G294" t="s">
        <v>329</v>
      </c>
      <c r="H294">
        <v>4</v>
      </c>
      <c r="I294" t="s">
        <v>330</v>
      </c>
      <c r="J294" t="s">
        <v>331</v>
      </c>
      <c r="K294">
        <v>556.43506300000001</v>
      </c>
      <c r="L294">
        <v>750</v>
      </c>
      <c r="M294">
        <v>74.191342000000006</v>
      </c>
      <c r="N294">
        <v>2</v>
      </c>
      <c r="O294">
        <v>0</v>
      </c>
      <c r="P294">
        <v>68.275384000000003</v>
      </c>
      <c r="Q294">
        <v>45.516922999999998</v>
      </c>
      <c r="R294">
        <v>50</v>
      </c>
      <c r="S294">
        <v>62.835016000000003</v>
      </c>
      <c r="T294">
        <v>74.395797999999999</v>
      </c>
      <c r="U294">
        <v>41.890011000000001</v>
      </c>
      <c r="V294">
        <v>50</v>
      </c>
      <c r="W294">
        <v>63.049756000000002</v>
      </c>
      <c r="X294">
        <v>42.033171000000003</v>
      </c>
      <c r="Y294">
        <v>50</v>
      </c>
      <c r="Z294">
        <v>69.431686999999997</v>
      </c>
      <c r="AA294">
        <v>57.376928999999997</v>
      </c>
      <c r="AB294">
        <v>38.251286</v>
      </c>
      <c r="AC294">
        <v>50</v>
      </c>
      <c r="AD294" t="s">
        <v>125</v>
      </c>
      <c r="AE294" t="s">
        <v>125</v>
      </c>
      <c r="AF294" t="s">
        <v>125</v>
      </c>
      <c r="AG294" t="s">
        <v>125</v>
      </c>
      <c r="AH294" t="s">
        <v>125</v>
      </c>
      <c r="AI294" t="s">
        <v>125</v>
      </c>
      <c r="AJ294" t="s">
        <v>125</v>
      </c>
      <c r="AK294">
        <v>11.56</v>
      </c>
      <c r="AL294">
        <v>12.05</v>
      </c>
      <c r="AM294" t="s">
        <v>125</v>
      </c>
      <c r="AN294">
        <v>0.592387</v>
      </c>
      <c r="AO294">
        <v>59.238692</v>
      </c>
      <c r="AP294">
        <v>100</v>
      </c>
      <c r="AQ294">
        <v>0.716804</v>
      </c>
      <c r="AR294">
        <v>71.680357999999998</v>
      </c>
      <c r="AS294">
        <v>100</v>
      </c>
      <c r="AT294">
        <v>0.55989599999999995</v>
      </c>
      <c r="AU294">
        <v>0.62321199999999999</v>
      </c>
      <c r="AV294">
        <v>55.989567000000001</v>
      </c>
      <c r="AW294">
        <v>100</v>
      </c>
      <c r="AX294">
        <v>0.787771</v>
      </c>
      <c r="AY294">
        <v>0.64947600000000005</v>
      </c>
      <c r="AZ294">
        <v>78.777090999999999</v>
      </c>
      <c r="BA294">
        <v>100</v>
      </c>
      <c r="BB294" t="s">
        <v>125</v>
      </c>
      <c r="BC294" t="s">
        <v>125</v>
      </c>
      <c r="BD294" t="s">
        <v>125</v>
      </c>
      <c r="BE294" t="s">
        <v>125</v>
      </c>
      <c r="BF294" t="s">
        <v>125</v>
      </c>
      <c r="BG294" t="s">
        <v>125</v>
      </c>
      <c r="BH294">
        <v>0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 t="s">
        <v>125</v>
      </c>
      <c r="BP294" t="s">
        <v>125</v>
      </c>
      <c r="BQ294" t="s">
        <v>125</v>
      </c>
      <c r="BR294">
        <v>5.8824000000000001E-2</v>
      </c>
      <c r="BS294">
        <v>48.235294000000003</v>
      </c>
      <c r="BT294">
        <v>50</v>
      </c>
      <c r="BU294">
        <v>9.6617999999999996E-2</v>
      </c>
      <c r="BV294">
        <v>40.676329000000003</v>
      </c>
      <c r="BW294">
        <v>50</v>
      </c>
      <c r="BX294" t="s">
        <v>125</v>
      </c>
      <c r="BY294" t="s">
        <v>125</v>
      </c>
      <c r="BZ294" t="s">
        <v>125</v>
      </c>
      <c r="CA294" t="s">
        <v>125</v>
      </c>
      <c r="CB294" t="s">
        <v>125</v>
      </c>
      <c r="CC294" t="s">
        <v>125</v>
      </c>
      <c r="CD294" t="s">
        <v>125</v>
      </c>
      <c r="CE294" t="s">
        <v>125</v>
      </c>
      <c r="CF294" t="s">
        <v>125</v>
      </c>
      <c r="CG294" t="s">
        <v>125</v>
      </c>
      <c r="CH294" t="s">
        <v>125</v>
      </c>
      <c r="CI294" t="s">
        <v>125</v>
      </c>
      <c r="CJ294" t="s">
        <v>125</v>
      </c>
      <c r="CK294" t="s">
        <v>125</v>
      </c>
      <c r="CL294" t="s">
        <v>125</v>
      </c>
      <c r="CM294" t="s">
        <v>125</v>
      </c>
      <c r="CN294" t="s">
        <v>125</v>
      </c>
      <c r="CO294" t="s">
        <v>125</v>
      </c>
      <c r="CP294" t="s">
        <v>125</v>
      </c>
      <c r="CQ294">
        <v>0.51219499999999996</v>
      </c>
      <c r="CR294">
        <v>1.0379750000000001</v>
      </c>
      <c r="CS294">
        <v>34.146341</v>
      </c>
      <c r="CT294">
        <v>50</v>
      </c>
      <c r="CU294" t="s">
        <v>125</v>
      </c>
      <c r="CV294" t="s">
        <v>125</v>
      </c>
      <c r="CW294" t="s">
        <v>125</v>
      </c>
      <c r="CX294" t="s">
        <v>125</v>
      </c>
      <c r="CY294" t="s">
        <v>125</v>
      </c>
      <c r="CZ294" t="s">
        <v>125</v>
      </c>
      <c r="DA294">
        <v>15.314097</v>
      </c>
      <c r="DB294">
        <v>17.400950000000002</v>
      </c>
      <c r="DC294">
        <v>16.332519999999999</v>
      </c>
      <c r="DD294" t="s">
        <v>125</v>
      </c>
      <c r="DE294">
        <v>0</v>
      </c>
      <c r="DH294" t="s">
        <v>332</v>
      </c>
      <c r="DI294" t="s">
        <v>432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Q294" t="s">
        <v>126</v>
      </c>
    </row>
    <row r="295" spans="1:121" x14ac:dyDescent="0.15">
      <c r="A295">
        <v>2018</v>
      </c>
      <c r="B295" t="s">
        <v>140</v>
      </c>
      <c r="C295" t="str">
        <f>"0190011"</f>
        <v>0190011</v>
      </c>
      <c r="D295" t="s">
        <v>433</v>
      </c>
      <c r="E295" t="str">
        <f>"0195111"</f>
        <v>0195111</v>
      </c>
      <c r="F295" t="s">
        <v>328</v>
      </c>
      <c r="G295">
        <v>5</v>
      </c>
      <c r="H295">
        <v>8</v>
      </c>
      <c r="I295" t="s">
        <v>330</v>
      </c>
      <c r="J295" t="s">
        <v>331</v>
      </c>
      <c r="K295">
        <v>675.93458699999996</v>
      </c>
      <c r="L295">
        <v>900</v>
      </c>
      <c r="M295">
        <v>75.103842999999998</v>
      </c>
      <c r="N295">
        <v>2</v>
      </c>
      <c r="O295">
        <v>0</v>
      </c>
      <c r="P295">
        <v>74.739290999999994</v>
      </c>
      <c r="Q295">
        <v>49.826194000000001</v>
      </c>
      <c r="R295">
        <v>50</v>
      </c>
      <c r="S295">
        <v>65.513074000000003</v>
      </c>
      <c r="T295">
        <v>75</v>
      </c>
      <c r="U295">
        <v>43.675382999999997</v>
      </c>
      <c r="V295">
        <v>50</v>
      </c>
      <c r="W295">
        <v>66.063908999999995</v>
      </c>
      <c r="X295">
        <v>44.042605999999999</v>
      </c>
      <c r="Y295">
        <v>50</v>
      </c>
      <c r="Z295">
        <v>72.841480000000004</v>
      </c>
      <c r="AA295">
        <v>56.268926</v>
      </c>
      <c r="AB295">
        <v>37.512616999999999</v>
      </c>
      <c r="AC295">
        <v>50</v>
      </c>
      <c r="AD295">
        <v>74.616292999999999</v>
      </c>
      <c r="AE295">
        <v>49.744194999999998</v>
      </c>
      <c r="AF295">
        <v>50</v>
      </c>
      <c r="AG295">
        <v>65.474405000000004</v>
      </c>
      <c r="AH295">
        <v>75</v>
      </c>
      <c r="AI295">
        <v>43.649602999999999</v>
      </c>
      <c r="AJ295">
        <v>50</v>
      </c>
      <c r="AK295">
        <v>9.48</v>
      </c>
      <c r="AL295">
        <v>16.57</v>
      </c>
      <c r="AM295">
        <v>9.52</v>
      </c>
      <c r="AN295">
        <v>0.57359599999999999</v>
      </c>
      <c r="AO295">
        <v>57.359586</v>
      </c>
      <c r="AP295">
        <v>100</v>
      </c>
      <c r="AQ295">
        <v>0.60231900000000005</v>
      </c>
      <c r="AR295">
        <v>60.231901000000001</v>
      </c>
      <c r="AS295">
        <v>100</v>
      </c>
      <c r="AT295">
        <v>0.59429100000000001</v>
      </c>
      <c r="AU295">
        <v>0.56022799999999995</v>
      </c>
      <c r="AV295">
        <v>59.429093999999999</v>
      </c>
      <c r="AW295">
        <v>100</v>
      </c>
      <c r="AX295">
        <v>0.54874199999999995</v>
      </c>
      <c r="AY295">
        <v>0.63718200000000003</v>
      </c>
      <c r="AZ295">
        <v>54.874214000000002</v>
      </c>
      <c r="BA295">
        <v>100</v>
      </c>
      <c r="BB295" t="s">
        <v>125</v>
      </c>
      <c r="BC295" t="s">
        <v>125</v>
      </c>
      <c r="BD295" t="s">
        <v>125</v>
      </c>
      <c r="BE295" t="s">
        <v>125</v>
      </c>
      <c r="BF295" t="s">
        <v>125</v>
      </c>
      <c r="BG295" t="s">
        <v>125</v>
      </c>
      <c r="BH295">
        <v>0</v>
      </c>
      <c r="BI295">
        <v>0.99726000000000004</v>
      </c>
      <c r="BJ295">
        <v>0.99333300000000002</v>
      </c>
      <c r="BK295">
        <v>1</v>
      </c>
      <c r="BL295">
        <v>0.99726000000000004</v>
      </c>
      <c r="BM295">
        <v>0.99333300000000002</v>
      </c>
      <c r="BN295">
        <v>1</v>
      </c>
      <c r="BO295">
        <v>0.99526099999999995</v>
      </c>
      <c r="BP295">
        <v>0.98701300000000003</v>
      </c>
      <c r="BQ295">
        <v>1</v>
      </c>
      <c r="BR295">
        <v>3.5616000000000002E-2</v>
      </c>
      <c r="BS295">
        <v>50</v>
      </c>
      <c r="BT295">
        <v>50</v>
      </c>
      <c r="BU295">
        <v>7.2847999999999996E-2</v>
      </c>
      <c r="BV295">
        <v>45.430464000000001</v>
      </c>
      <c r="BW295">
        <v>50</v>
      </c>
      <c r="BX295" t="s">
        <v>125</v>
      </c>
      <c r="BY295" t="s">
        <v>125</v>
      </c>
      <c r="BZ295" t="s">
        <v>125</v>
      </c>
      <c r="CA295" t="s">
        <v>125</v>
      </c>
      <c r="CB295" t="s">
        <v>125</v>
      </c>
      <c r="CC295" t="s">
        <v>125</v>
      </c>
      <c r="CD295">
        <v>0.94871799999999995</v>
      </c>
      <c r="CE295">
        <v>50</v>
      </c>
      <c r="CF295">
        <v>50</v>
      </c>
      <c r="CG295" t="s">
        <v>125</v>
      </c>
      <c r="CH295" t="s">
        <v>125</v>
      </c>
      <c r="CI295" t="s">
        <v>125</v>
      </c>
      <c r="CJ295" t="s">
        <v>125</v>
      </c>
      <c r="CK295" t="s">
        <v>125</v>
      </c>
      <c r="CL295" t="s">
        <v>125</v>
      </c>
      <c r="CM295" t="s">
        <v>125</v>
      </c>
      <c r="CN295" t="s">
        <v>125</v>
      </c>
      <c r="CO295" t="s">
        <v>125</v>
      </c>
      <c r="CP295" t="s">
        <v>125</v>
      </c>
      <c r="CQ295">
        <v>0.45238099999999998</v>
      </c>
      <c r="CR295">
        <v>0.91803299999999999</v>
      </c>
      <c r="CS295">
        <v>30.158729999999998</v>
      </c>
      <c r="CT295">
        <v>50</v>
      </c>
      <c r="CU295" t="s">
        <v>125</v>
      </c>
      <c r="CV295" t="s">
        <v>125</v>
      </c>
      <c r="CW295" t="s">
        <v>125</v>
      </c>
      <c r="CX295" t="s">
        <v>125</v>
      </c>
      <c r="CY295" t="s">
        <v>125</v>
      </c>
      <c r="CZ295" t="s">
        <v>125</v>
      </c>
      <c r="DA295">
        <v>15.314097</v>
      </c>
      <c r="DB295">
        <v>17.400950000000002</v>
      </c>
      <c r="DC295">
        <v>16.332519999999999</v>
      </c>
      <c r="DD295" t="s">
        <v>125</v>
      </c>
      <c r="DE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Q295" t="s">
        <v>126</v>
      </c>
    </row>
    <row r="296" spans="1:121" x14ac:dyDescent="0.15">
      <c r="A296">
        <v>2018</v>
      </c>
      <c r="B296" t="s">
        <v>131</v>
      </c>
      <c r="C296" t="str">
        <f>"0210011"</f>
        <v>0210011</v>
      </c>
      <c r="D296" t="s">
        <v>434</v>
      </c>
      <c r="E296" t="str">
        <f>"0210111"</f>
        <v>0210111</v>
      </c>
      <c r="F296" t="s">
        <v>328</v>
      </c>
      <c r="G296" t="s">
        <v>339</v>
      </c>
      <c r="H296">
        <v>8</v>
      </c>
      <c r="J296" t="s">
        <v>331</v>
      </c>
      <c r="K296">
        <v>329.16262999999998</v>
      </c>
      <c r="L296">
        <v>450</v>
      </c>
      <c r="M296">
        <v>73.147250999999997</v>
      </c>
      <c r="N296">
        <v>2</v>
      </c>
      <c r="O296">
        <v>0</v>
      </c>
      <c r="P296">
        <v>76.292077000000006</v>
      </c>
      <c r="Q296">
        <v>50</v>
      </c>
      <c r="R296">
        <v>50</v>
      </c>
      <c r="S296" t="s">
        <v>125</v>
      </c>
      <c r="T296">
        <v>75</v>
      </c>
      <c r="U296" t="s">
        <v>125</v>
      </c>
      <c r="V296" t="s">
        <v>125</v>
      </c>
      <c r="W296">
        <v>66.500680000000003</v>
      </c>
      <c r="X296">
        <v>44.333786000000003</v>
      </c>
      <c r="Y296">
        <v>50</v>
      </c>
      <c r="Z296">
        <v>72.727650999999994</v>
      </c>
      <c r="AA296" t="s">
        <v>125</v>
      </c>
      <c r="AB296" t="s">
        <v>125</v>
      </c>
      <c r="AC296" t="s">
        <v>125</v>
      </c>
      <c r="AD296" t="s">
        <v>125</v>
      </c>
      <c r="AE296" t="s">
        <v>125</v>
      </c>
      <c r="AF296" t="s">
        <v>125</v>
      </c>
      <c r="AG296" t="s">
        <v>125</v>
      </c>
      <c r="AH296" t="s">
        <v>125</v>
      </c>
      <c r="AI296" t="s">
        <v>125</v>
      </c>
      <c r="AJ296" t="s">
        <v>125</v>
      </c>
      <c r="AK296" t="s">
        <v>125</v>
      </c>
      <c r="AL296" t="s">
        <v>125</v>
      </c>
      <c r="AM296" t="s">
        <v>125</v>
      </c>
      <c r="AN296">
        <v>0.64334800000000003</v>
      </c>
      <c r="AO296">
        <v>64.334785999999994</v>
      </c>
      <c r="AP296">
        <v>100</v>
      </c>
      <c r="AQ296">
        <v>0.67356799999999994</v>
      </c>
      <c r="AR296">
        <v>67.356802000000002</v>
      </c>
      <c r="AS296">
        <v>100</v>
      </c>
      <c r="AT296" t="s">
        <v>125</v>
      </c>
      <c r="AU296">
        <v>0.65602199999999999</v>
      </c>
      <c r="AV296" t="s">
        <v>125</v>
      </c>
      <c r="AW296" t="s">
        <v>125</v>
      </c>
      <c r="AX296" t="s">
        <v>125</v>
      </c>
      <c r="AY296">
        <v>0.68669400000000003</v>
      </c>
      <c r="AZ296" t="s">
        <v>125</v>
      </c>
      <c r="BA296" t="s">
        <v>125</v>
      </c>
      <c r="BB296" t="s">
        <v>125</v>
      </c>
      <c r="BC296" t="s">
        <v>125</v>
      </c>
      <c r="BD296" t="s">
        <v>125</v>
      </c>
      <c r="BE296" t="s">
        <v>125</v>
      </c>
      <c r="BF296" t="s">
        <v>125</v>
      </c>
      <c r="BG296" t="s">
        <v>125</v>
      </c>
      <c r="BH296">
        <v>0</v>
      </c>
      <c r="BI296">
        <v>0.97727299999999995</v>
      </c>
      <c r="BJ296" t="s">
        <v>125</v>
      </c>
      <c r="BK296">
        <v>1</v>
      </c>
      <c r="BL296">
        <v>0.97727299999999995</v>
      </c>
      <c r="BM296" t="s">
        <v>125</v>
      </c>
      <c r="BN296">
        <v>1</v>
      </c>
      <c r="BO296" t="s">
        <v>125</v>
      </c>
      <c r="BP296" t="s">
        <v>125</v>
      </c>
      <c r="BQ296" t="s">
        <v>125</v>
      </c>
      <c r="BR296">
        <v>0.117647</v>
      </c>
      <c r="BS296">
        <v>36.470587999999999</v>
      </c>
      <c r="BT296">
        <v>50</v>
      </c>
      <c r="BU296">
        <v>0.2</v>
      </c>
      <c r="BV296">
        <v>20</v>
      </c>
      <c r="BW296">
        <v>50</v>
      </c>
      <c r="BX296" t="s">
        <v>125</v>
      </c>
      <c r="BY296" t="s">
        <v>125</v>
      </c>
      <c r="BZ296" t="s">
        <v>125</v>
      </c>
      <c r="CA296" t="s">
        <v>125</v>
      </c>
      <c r="CB296" t="s">
        <v>125</v>
      </c>
      <c r="CC296" t="s">
        <v>125</v>
      </c>
      <c r="CD296" t="s">
        <v>125</v>
      </c>
      <c r="CE296" t="s">
        <v>125</v>
      </c>
      <c r="CF296" t="s">
        <v>125</v>
      </c>
      <c r="CG296" t="s">
        <v>125</v>
      </c>
      <c r="CH296" t="s">
        <v>125</v>
      </c>
      <c r="CI296" t="s">
        <v>125</v>
      </c>
      <c r="CJ296" t="s">
        <v>125</v>
      </c>
      <c r="CK296" t="s">
        <v>125</v>
      </c>
      <c r="CL296" t="s">
        <v>125</v>
      </c>
      <c r="CM296" t="s">
        <v>125</v>
      </c>
      <c r="CN296" t="s">
        <v>125</v>
      </c>
      <c r="CO296" t="s">
        <v>125</v>
      </c>
      <c r="CP296" t="s">
        <v>125</v>
      </c>
      <c r="CQ296">
        <v>0.7</v>
      </c>
      <c r="CR296">
        <v>1</v>
      </c>
      <c r="CS296">
        <v>46.666666999999997</v>
      </c>
      <c r="CT296">
        <v>50</v>
      </c>
      <c r="CU296" t="s">
        <v>125</v>
      </c>
      <c r="CV296" t="s">
        <v>125</v>
      </c>
      <c r="CW296" t="s">
        <v>125</v>
      </c>
      <c r="CX296" t="s">
        <v>125</v>
      </c>
      <c r="CY296" t="s">
        <v>125</v>
      </c>
      <c r="CZ296" t="s">
        <v>125</v>
      </c>
      <c r="DA296">
        <v>15.314097</v>
      </c>
      <c r="DB296">
        <v>17.400950000000002</v>
      </c>
      <c r="DC296">
        <v>16.332519999999999</v>
      </c>
      <c r="DD296" t="s">
        <v>125</v>
      </c>
      <c r="DE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Q296" t="s">
        <v>126</v>
      </c>
    </row>
    <row r="297" spans="1:121" x14ac:dyDescent="0.15">
      <c r="A297">
        <v>2018</v>
      </c>
      <c r="B297" t="s">
        <v>132</v>
      </c>
      <c r="C297" t="str">
        <f>"0220011"</f>
        <v>0220011</v>
      </c>
      <c r="D297" t="s">
        <v>435</v>
      </c>
      <c r="E297" t="str">
        <f>"0220211"</f>
        <v>0220211</v>
      </c>
      <c r="F297" t="s">
        <v>328</v>
      </c>
      <c r="G297" t="s">
        <v>329</v>
      </c>
      <c r="H297">
        <v>4</v>
      </c>
      <c r="I297" t="s">
        <v>330</v>
      </c>
      <c r="J297" t="s">
        <v>331</v>
      </c>
      <c r="K297">
        <v>420.75663600000001</v>
      </c>
      <c r="L297">
        <v>550</v>
      </c>
      <c r="M297">
        <v>76.501206999999994</v>
      </c>
      <c r="N297">
        <v>2</v>
      </c>
      <c r="O297">
        <v>0</v>
      </c>
      <c r="P297">
        <v>72.477245999999994</v>
      </c>
      <c r="Q297">
        <v>48.318164000000003</v>
      </c>
      <c r="R297">
        <v>50</v>
      </c>
      <c r="S297">
        <v>68.431472999999997</v>
      </c>
      <c r="T297">
        <v>75</v>
      </c>
      <c r="U297">
        <v>45.620981999999998</v>
      </c>
      <c r="V297">
        <v>50</v>
      </c>
      <c r="W297">
        <v>67.222916999999995</v>
      </c>
      <c r="X297">
        <v>44.815277999999999</v>
      </c>
      <c r="Y297">
        <v>50</v>
      </c>
      <c r="Z297">
        <v>69.415763999999996</v>
      </c>
      <c r="AA297">
        <v>64.259609999999995</v>
      </c>
      <c r="AB297">
        <v>42.839739999999999</v>
      </c>
      <c r="AC297">
        <v>50</v>
      </c>
      <c r="AD297" t="s">
        <v>125</v>
      </c>
      <c r="AE297" t="s">
        <v>125</v>
      </c>
      <c r="AF297" t="s">
        <v>125</v>
      </c>
      <c r="AG297" t="s">
        <v>125</v>
      </c>
      <c r="AH297" t="s">
        <v>125</v>
      </c>
      <c r="AI297" t="s">
        <v>125</v>
      </c>
      <c r="AJ297" t="s">
        <v>125</v>
      </c>
      <c r="AK297">
        <v>6.56</v>
      </c>
      <c r="AL297">
        <v>5.15</v>
      </c>
      <c r="AM297" t="s">
        <v>125</v>
      </c>
      <c r="AN297">
        <v>0.61375299999999999</v>
      </c>
      <c r="AO297">
        <v>61.375266000000003</v>
      </c>
      <c r="AP297">
        <v>100</v>
      </c>
      <c r="AQ297">
        <v>0.64616700000000005</v>
      </c>
      <c r="AR297">
        <v>64.616714000000002</v>
      </c>
      <c r="AS297">
        <v>100</v>
      </c>
      <c r="AT297" t="s">
        <v>125</v>
      </c>
      <c r="AU297">
        <v>0.671516</v>
      </c>
      <c r="AV297" t="s">
        <v>125</v>
      </c>
      <c r="AW297" t="s">
        <v>125</v>
      </c>
      <c r="AX297" t="s">
        <v>125</v>
      </c>
      <c r="AY297">
        <v>0.66003100000000003</v>
      </c>
      <c r="AZ297" t="s">
        <v>125</v>
      </c>
      <c r="BA297" t="s">
        <v>125</v>
      </c>
      <c r="BB297" t="s">
        <v>125</v>
      </c>
      <c r="BC297" t="s">
        <v>125</v>
      </c>
      <c r="BD297" t="s">
        <v>125</v>
      </c>
      <c r="BE297" t="s">
        <v>125</v>
      </c>
      <c r="BF297" t="s">
        <v>125</v>
      </c>
      <c r="BG297" t="s">
        <v>125</v>
      </c>
      <c r="BH297">
        <v>0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 t="s">
        <v>125</v>
      </c>
      <c r="BP297" t="s">
        <v>125</v>
      </c>
      <c r="BQ297" t="s">
        <v>125</v>
      </c>
      <c r="BR297">
        <v>5.7851E-2</v>
      </c>
      <c r="BS297">
        <v>48.429752000000001</v>
      </c>
      <c r="BT297">
        <v>50</v>
      </c>
      <c r="BU297">
        <v>0.08</v>
      </c>
      <c r="BV297">
        <v>44</v>
      </c>
      <c r="BW297">
        <v>50</v>
      </c>
      <c r="BX297" t="s">
        <v>125</v>
      </c>
      <c r="BY297" t="s">
        <v>125</v>
      </c>
      <c r="BZ297" t="s">
        <v>125</v>
      </c>
      <c r="CA297" t="s">
        <v>125</v>
      </c>
      <c r="CB297" t="s">
        <v>125</v>
      </c>
      <c r="CC297" t="s">
        <v>125</v>
      </c>
      <c r="CD297" t="s">
        <v>125</v>
      </c>
      <c r="CE297" t="s">
        <v>125</v>
      </c>
      <c r="CF297" t="s">
        <v>125</v>
      </c>
      <c r="CG297" t="s">
        <v>125</v>
      </c>
      <c r="CH297" t="s">
        <v>125</v>
      </c>
      <c r="CI297" t="s">
        <v>125</v>
      </c>
      <c r="CJ297" t="s">
        <v>125</v>
      </c>
      <c r="CK297" t="s">
        <v>125</v>
      </c>
      <c r="CL297" t="s">
        <v>125</v>
      </c>
      <c r="CM297" t="s">
        <v>125</v>
      </c>
      <c r="CN297" t="s">
        <v>125</v>
      </c>
      <c r="CO297" t="s">
        <v>125</v>
      </c>
      <c r="CP297" t="s">
        <v>125</v>
      </c>
      <c r="CQ297">
        <v>0.31111100000000003</v>
      </c>
      <c r="CR297">
        <v>1</v>
      </c>
      <c r="CS297">
        <v>20.740741</v>
      </c>
      <c r="CT297">
        <v>50</v>
      </c>
      <c r="CU297" t="s">
        <v>125</v>
      </c>
      <c r="CV297" t="s">
        <v>125</v>
      </c>
      <c r="CW297" t="s">
        <v>125</v>
      </c>
      <c r="CX297" t="s">
        <v>125</v>
      </c>
      <c r="CY297" t="s">
        <v>125</v>
      </c>
      <c r="CZ297" t="s">
        <v>125</v>
      </c>
      <c r="DA297">
        <v>15.314097</v>
      </c>
      <c r="DB297">
        <v>17.400950000000002</v>
      </c>
      <c r="DC297">
        <v>16.332519999999999</v>
      </c>
      <c r="DD297" t="s">
        <v>125</v>
      </c>
      <c r="DE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Q297" t="s">
        <v>126</v>
      </c>
    </row>
    <row r="298" spans="1:121" x14ac:dyDescent="0.15">
      <c r="A298">
        <v>2018</v>
      </c>
      <c r="B298" t="s">
        <v>132</v>
      </c>
      <c r="C298" t="str">
        <f>"0220011"</f>
        <v>0220011</v>
      </c>
      <c r="D298" t="s">
        <v>436</v>
      </c>
      <c r="E298" t="str">
        <f>"0225111"</f>
        <v>0225111</v>
      </c>
      <c r="F298" t="s">
        <v>328</v>
      </c>
      <c r="G298">
        <v>5</v>
      </c>
      <c r="H298">
        <v>8</v>
      </c>
      <c r="I298" t="s">
        <v>330</v>
      </c>
      <c r="J298" t="s">
        <v>331</v>
      </c>
      <c r="K298">
        <v>646.20568900000001</v>
      </c>
      <c r="L298">
        <v>900</v>
      </c>
      <c r="M298">
        <v>71.800631999999993</v>
      </c>
      <c r="N298">
        <v>2</v>
      </c>
      <c r="O298">
        <v>0</v>
      </c>
      <c r="P298">
        <v>69.399967000000004</v>
      </c>
      <c r="Q298">
        <v>46.266643999999999</v>
      </c>
      <c r="R298">
        <v>50</v>
      </c>
      <c r="S298">
        <v>62.703870999999999</v>
      </c>
      <c r="T298">
        <v>74.126622999999995</v>
      </c>
      <c r="U298">
        <v>41.802581000000004</v>
      </c>
      <c r="V298">
        <v>50</v>
      </c>
      <c r="W298">
        <v>62.157043000000002</v>
      </c>
      <c r="X298">
        <v>41.438029</v>
      </c>
      <c r="Y298">
        <v>50</v>
      </c>
      <c r="Z298">
        <v>66.671431999999996</v>
      </c>
      <c r="AA298">
        <v>55.671582999999998</v>
      </c>
      <c r="AB298">
        <v>37.114389000000003</v>
      </c>
      <c r="AC298">
        <v>50</v>
      </c>
      <c r="AD298">
        <v>67.112576000000004</v>
      </c>
      <c r="AE298">
        <v>44.741717999999999</v>
      </c>
      <c r="AF298">
        <v>50</v>
      </c>
      <c r="AG298">
        <v>60.099277000000001</v>
      </c>
      <c r="AH298">
        <v>72.034189999999995</v>
      </c>
      <c r="AI298">
        <v>40.066184999999997</v>
      </c>
      <c r="AJ298">
        <v>50</v>
      </c>
      <c r="AK298">
        <v>11.42</v>
      </c>
      <c r="AL298">
        <v>10.99</v>
      </c>
      <c r="AM298">
        <v>11.93</v>
      </c>
      <c r="AN298">
        <v>0.55552599999999996</v>
      </c>
      <c r="AO298">
        <v>55.552556000000003</v>
      </c>
      <c r="AP298">
        <v>100</v>
      </c>
      <c r="AQ298">
        <v>0.58444799999999997</v>
      </c>
      <c r="AR298">
        <v>58.444842000000001</v>
      </c>
      <c r="AS298">
        <v>100</v>
      </c>
      <c r="AT298">
        <v>0.53531399999999996</v>
      </c>
      <c r="AU298">
        <v>0.569133</v>
      </c>
      <c r="AV298">
        <v>53.531379000000001</v>
      </c>
      <c r="AW298">
        <v>100</v>
      </c>
      <c r="AX298">
        <v>0.54509099999999999</v>
      </c>
      <c r="AY298">
        <v>0.61055700000000002</v>
      </c>
      <c r="AZ298">
        <v>54.509095000000002</v>
      </c>
      <c r="BA298">
        <v>100</v>
      </c>
      <c r="BB298" t="s">
        <v>125</v>
      </c>
      <c r="BC298" t="s">
        <v>125</v>
      </c>
      <c r="BD298" t="s">
        <v>125</v>
      </c>
      <c r="BE298" t="s">
        <v>125</v>
      </c>
      <c r="BF298" t="s">
        <v>125</v>
      </c>
      <c r="BG298" t="s">
        <v>125</v>
      </c>
      <c r="BH298">
        <v>0</v>
      </c>
      <c r="BI298">
        <v>0.98895</v>
      </c>
      <c r="BJ298">
        <v>0.97468399999999999</v>
      </c>
      <c r="BK298">
        <v>1</v>
      </c>
      <c r="BL298">
        <v>0.98342499999999999</v>
      </c>
      <c r="BM298">
        <v>0.96202500000000002</v>
      </c>
      <c r="BN298">
        <v>1</v>
      </c>
      <c r="BO298">
        <v>1</v>
      </c>
      <c r="BP298">
        <v>1</v>
      </c>
      <c r="BQ298">
        <v>1</v>
      </c>
      <c r="BR298">
        <v>7.7348E-2</v>
      </c>
      <c r="BS298">
        <v>44.530386999999997</v>
      </c>
      <c r="BT298">
        <v>50</v>
      </c>
      <c r="BU298">
        <v>6.6667000000000004E-2</v>
      </c>
      <c r="BV298">
        <v>46.666666999999997</v>
      </c>
      <c r="BW298">
        <v>50</v>
      </c>
      <c r="BX298" t="s">
        <v>125</v>
      </c>
      <c r="BY298" t="s">
        <v>125</v>
      </c>
      <c r="BZ298" t="s">
        <v>125</v>
      </c>
      <c r="CA298" t="s">
        <v>125</v>
      </c>
      <c r="CB298" t="s">
        <v>125</v>
      </c>
      <c r="CC298" t="s">
        <v>125</v>
      </c>
      <c r="CD298">
        <v>0.97368399999999999</v>
      </c>
      <c r="CE298">
        <v>50</v>
      </c>
      <c r="CF298">
        <v>50</v>
      </c>
      <c r="CG298" t="s">
        <v>125</v>
      </c>
      <c r="CH298" t="s">
        <v>125</v>
      </c>
      <c r="CI298" t="s">
        <v>125</v>
      </c>
      <c r="CJ298" t="s">
        <v>125</v>
      </c>
      <c r="CK298" t="s">
        <v>125</v>
      </c>
      <c r="CL298" t="s">
        <v>125</v>
      </c>
      <c r="CM298" t="s">
        <v>125</v>
      </c>
      <c r="CN298" t="s">
        <v>125</v>
      </c>
      <c r="CO298" t="s">
        <v>125</v>
      </c>
      <c r="CP298" t="s">
        <v>125</v>
      </c>
      <c r="CQ298">
        <v>0.47311799999999998</v>
      </c>
      <c r="CR298">
        <v>0.96875</v>
      </c>
      <c r="CS298">
        <v>31.541219000000002</v>
      </c>
      <c r="CT298">
        <v>50</v>
      </c>
      <c r="CU298" t="s">
        <v>125</v>
      </c>
      <c r="CV298" t="s">
        <v>125</v>
      </c>
      <c r="CW298" t="s">
        <v>125</v>
      </c>
      <c r="CX298" t="s">
        <v>125</v>
      </c>
      <c r="CY298" t="s">
        <v>125</v>
      </c>
      <c r="CZ298" t="s">
        <v>125</v>
      </c>
      <c r="DA298">
        <v>15.314097</v>
      </c>
      <c r="DB298">
        <v>17.400950000000002</v>
      </c>
      <c r="DC298">
        <v>16.332519999999999</v>
      </c>
      <c r="DD298" t="s">
        <v>125</v>
      </c>
      <c r="DE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Q298" t="s">
        <v>126</v>
      </c>
    </row>
    <row r="299" spans="1:121" x14ac:dyDescent="0.15">
      <c r="A299">
        <v>2018</v>
      </c>
      <c r="B299" t="s">
        <v>133</v>
      </c>
      <c r="C299" t="str">
        <f>"0230011"</f>
        <v>0230011</v>
      </c>
      <c r="D299" t="s">
        <v>437</v>
      </c>
      <c r="E299" t="str">
        <f>"0236111"</f>
        <v>0236111</v>
      </c>
      <c r="F299" t="s">
        <v>328</v>
      </c>
      <c r="G299">
        <v>9</v>
      </c>
      <c r="H299">
        <v>12</v>
      </c>
      <c r="I299" t="s">
        <v>330</v>
      </c>
      <c r="J299" t="s">
        <v>331</v>
      </c>
      <c r="K299">
        <v>1271.470264</v>
      </c>
      <c r="L299">
        <v>1450</v>
      </c>
      <c r="M299">
        <v>87.687603999999993</v>
      </c>
      <c r="N299">
        <v>2</v>
      </c>
      <c r="O299">
        <v>1</v>
      </c>
      <c r="P299">
        <v>67.009424999999993</v>
      </c>
      <c r="Q299">
        <v>134.01884899999999</v>
      </c>
      <c r="R299">
        <v>150</v>
      </c>
      <c r="S299">
        <v>54.230452999999997</v>
      </c>
      <c r="T299">
        <v>71.068627000000006</v>
      </c>
      <c r="U299">
        <v>108.460905</v>
      </c>
      <c r="V299">
        <v>150</v>
      </c>
      <c r="W299">
        <v>64.423114999999996</v>
      </c>
      <c r="X299">
        <v>128.84622999999999</v>
      </c>
      <c r="Y299">
        <v>150</v>
      </c>
      <c r="Z299">
        <v>69.817646999999994</v>
      </c>
      <c r="AA299">
        <v>47.440328999999998</v>
      </c>
      <c r="AB299">
        <v>94.880657999999997</v>
      </c>
      <c r="AC299">
        <v>150</v>
      </c>
      <c r="AD299">
        <v>73.260440000000003</v>
      </c>
      <c r="AE299">
        <v>97.680586000000005</v>
      </c>
      <c r="AF299">
        <v>100</v>
      </c>
      <c r="AG299">
        <v>61.561318999999997</v>
      </c>
      <c r="AH299">
        <v>75</v>
      </c>
      <c r="AI299">
        <v>82.081757999999994</v>
      </c>
      <c r="AJ299">
        <v>100</v>
      </c>
      <c r="AK299">
        <v>16.829999999999998</v>
      </c>
      <c r="AL299">
        <v>22.37</v>
      </c>
      <c r="AM299">
        <v>13.43</v>
      </c>
      <c r="AN299" t="s">
        <v>125</v>
      </c>
      <c r="AO299" t="s">
        <v>125</v>
      </c>
      <c r="AP299" t="s">
        <v>125</v>
      </c>
      <c r="AQ299" t="s">
        <v>125</v>
      </c>
      <c r="AR299" t="s">
        <v>125</v>
      </c>
      <c r="AS299" t="s">
        <v>125</v>
      </c>
      <c r="AT299" t="s">
        <v>125</v>
      </c>
      <c r="AU299" t="s">
        <v>125</v>
      </c>
      <c r="AV299" t="s">
        <v>125</v>
      </c>
      <c r="AW299" t="s">
        <v>125</v>
      </c>
      <c r="AX299" t="s">
        <v>125</v>
      </c>
      <c r="AY299" t="s">
        <v>125</v>
      </c>
      <c r="AZ299" t="s">
        <v>125</v>
      </c>
      <c r="BA299" t="s">
        <v>125</v>
      </c>
      <c r="BB299" t="s">
        <v>125</v>
      </c>
      <c r="BC299" t="s">
        <v>125</v>
      </c>
      <c r="BD299" t="s">
        <v>125</v>
      </c>
      <c r="BE299" t="s">
        <v>125</v>
      </c>
      <c r="BF299" t="s">
        <v>125</v>
      </c>
      <c r="BG299" t="s">
        <v>125</v>
      </c>
      <c r="BH299">
        <v>0</v>
      </c>
      <c r="BI299">
        <v>0.99114999999999998</v>
      </c>
      <c r="BJ299">
        <v>1</v>
      </c>
      <c r="BK299">
        <v>0.98837200000000003</v>
      </c>
      <c r="BL299">
        <v>0.99114999999999998</v>
      </c>
      <c r="BM299">
        <v>1</v>
      </c>
      <c r="BN299">
        <v>0.98837200000000003</v>
      </c>
      <c r="BO299">
        <v>0.98214299999999999</v>
      </c>
      <c r="BP299">
        <v>0.961538</v>
      </c>
      <c r="BQ299">
        <v>0.98837200000000003</v>
      </c>
      <c r="BR299">
        <v>5.4392999999999997E-2</v>
      </c>
      <c r="BS299">
        <v>49.121338999999999</v>
      </c>
      <c r="BT299">
        <v>50</v>
      </c>
      <c r="BU299">
        <v>0.13675200000000001</v>
      </c>
      <c r="BV299">
        <v>32.649572999999997</v>
      </c>
      <c r="BW299">
        <v>50</v>
      </c>
      <c r="BX299">
        <v>0.77532999999999996</v>
      </c>
      <c r="BY299">
        <v>50</v>
      </c>
      <c r="BZ299">
        <v>50</v>
      </c>
      <c r="CA299">
        <v>0.67841399999999996</v>
      </c>
      <c r="CB299">
        <v>45.227606000000002</v>
      </c>
      <c r="CC299">
        <v>50</v>
      </c>
      <c r="CD299">
        <v>0.96666700000000005</v>
      </c>
      <c r="CE299">
        <v>50</v>
      </c>
      <c r="CF299">
        <v>50</v>
      </c>
      <c r="CG299">
        <v>0.96363600000000005</v>
      </c>
      <c r="CH299">
        <v>100</v>
      </c>
      <c r="CI299">
        <v>100</v>
      </c>
      <c r="CJ299">
        <v>0</v>
      </c>
      <c r="CK299">
        <v>0.92592600000000003</v>
      </c>
      <c r="CL299">
        <v>98.502758</v>
      </c>
      <c r="CM299">
        <v>100</v>
      </c>
      <c r="CN299">
        <v>0.89622599999999997</v>
      </c>
      <c r="CO299">
        <v>100</v>
      </c>
      <c r="CP299">
        <v>100</v>
      </c>
      <c r="CQ299">
        <v>0.77600000000000002</v>
      </c>
      <c r="CR299">
        <v>0.93984999999999996</v>
      </c>
      <c r="CS299">
        <v>50</v>
      </c>
      <c r="CT299">
        <v>50</v>
      </c>
      <c r="CU299">
        <v>0.67782399999999998</v>
      </c>
      <c r="CV299">
        <v>50</v>
      </c>
      <c r="CW299">
        <v>50</v>
      </c>
      <c r="CX299">
        <v>0.92592600000000003</v>
      </c>
      <c r="CY299">
        <v>0.94</v>
      </c>
      <c r="CZ299">
        <v>1.4074E-2</v>
      </c>
      <c r="DA299">
        <v>15.314097</v>
      </c>
      <c r="DB299">
        <v>17.400950000000002</v>
      </c>
      <c r="DC299">
        <v>16.332519999999999</v>
      </c>
      <c r="DD299">
        <v>7.9891730000000001</v>
      </c>
      <c r="DE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Q299" t="s">
        <v>126</v>
      </c>
    </row>
    <row r="300" spans="1:121" x14ac:dyDescent="0.15">
      <c r="A300">
        <v>2018</v>
      </c>
      <c r="B300" t="s">
        <v>133</v>
      </c>
      <c r="C300" t="str">
        <f>"0230011"</f>
        <v>0230011</v>
      </c>
      <c r="D300" t="s">
        <v>438</v>
      </c>
      <c r="E300" t="str">
        <f>"0230311"</f>
        <v>0230311</v>
      </c>
      <c r="F300" t="s">
        <v>328</v>
      </c>
      <c r="G300">
        <v>4</v>
      </c>
      <c r="H300">
        <v>6</v>
      </c>
      <c r="I300" t="s">
        <v>330</v>
      </c>
      <c r="J300" t="s">
        <v>331</v>
      </c>
      <c r="K300">
        <v>645.52068099999997</v>
      </c>
      <c r="L300">
        <v>850</v>
      </c>
      <c r="M300">
        <v>75.943610000000007</v>
      </c>
      <c r="N300">
        <v>2</v>
      </c>
      <c r="O300">
        <v>0</v>
      </c>
      <c r="P300">
        <v>76.964040999999995</v>
      </c>
      <c r="Q300">
        <v>50</v>
      </c>
      <c r="R300">
        <v>50</v>
      </c>
      <c r="S300">
        <v>62.210498000000001</v>
      </c>
      <c r="T300">
        <v>75</v>
      </c>
      <c r="U300">
        <v>41.473664999999997</v>
      </c>
      <c r="V300">
        <v>50</v>
      </c>
      <c r="W300">
        <v>73.877035000000006</v>
      </c>
      <c r="X300">
        <v>49.251356999999999</v>
      </c>
      <c r="Y300">
        <v>50</v>
      </c>
      <c r="Z300">
        <v>75</v>
      </c>
      <c r="AA300">
        <v>58.138506999999997</v>
      </c>
      <c r="AB300">
        <v>38.759003999999997</v>
      </c>
      <c r="AC300">
        <v>50</v>
      </c>
      <c r="AD300">
        <v>73.980644999999996</v>
      </c>
      <c r="AE300">
        <v>49.320430000000002</v>
      </c>
      <c r="AF300">
        <v>50</v>
      </c>
      <c r="AG300">
        <v>60.576036999999999</v>
      </c>
      <c r="AH300">
        <v>75</v>
      </c>
      <c r="AI300">
        <v>40.384025000000001</v>
      </c>
      <c r="AJ300">
        <v>50</v>
      </c>
      <c r="AK300">
        <v>12.78</v>
      </c>
      <c r="AL300">
        <v>16.86</v>
      </c>
      <c r="AM300">
        <v>14.42</v>
      </c>
      <c r="AN300">
        <v>0.63652799999999998</v>
      </c>
      <c r="AO300">
        <v>63.652831999999997</v>
      </c>
      <c r="AP300">
        <v>100</v>
      </c>
      <c r="AQ300">
        <v>0.70192500000000002</v>
      </c>
      <c r="AR300">
        <v>70.192498999999998</v>
      </c>
      <c r="AS300">
        <v>100</v>
      </c>
      <c r="AT300">
        <v>0.49646600000000002</v>
      </c>
      <c r="AU300">
        <v>0.68078799999999995</v>
      </c>
      <c r="AV300">
        <v>49.646594</v>
      </c>
      <c r="AW300">
        <v>100</v>
      </c>
      <c r="AX300">
        <v>0.53064999999999996</v>
      </c>
      <c r="AY300">
        <v>0.75604800000000005</v>
      </c>
      <c r="AZ300">
        <v>53.064993999999999</v>
      </c>
      <c r="BA300">
        <v>100</v>
      </c>
      <c r="BB300" t="s">
        <v>125</v>
      </c>
      <c r="BC300" t="s">
        <v>125</v>
      </c>
      <c r="BD300" t="s">
        <v>125</v>
      </c>
      <c r="BE300" t="s">
        <v>125</v>
      </c>
      <c r="BF300" t="s">
        <v>125</v>
      </c>
      <c r="BG300" t="s">
        <v>125</v>
      </c>
      <c r="BH300">
        <v>0</v>
      </c>
      <c r="BI300">
        <v>0.97733700000000001</v>
      </c>
      <c r="BJ300">
        <v>0.95876300000000003</v>
      </c>
      <c r="BK300">
        <v>0.984375</v>
      </c>
      <c r="BL300">
        <v>0.97733700000000001</v>
      </c>
      <c r="BM300">
        <v>0.95876300000000003</v>
      </c>
      <c r="BN300">
        <v>0.984375</v>
      </c>
      <c r="BO300">
        <v>0.99130399999999996</v>
      </c>
      <c r="BP300">
        <v>0.96666700000000005</v>
      </c>
      <c r="BQ300">
        <v>1</v>
      </c>
      <c r="BR300">
        <v>3.7037E-2</v>
      </c>
      <c r="BS300">
        <v>50</v>
      </c>
      <c r="BT300">
        <v>50</v>
      </c>
      <c r="BU300">
        <v>0.10112400000000001</v>
      </c>
      <c r="BV300">
        <v>39.775281</v>
      </c>
      <c r="BW300">
        <v>50</v>
      </c>
      <c r="BX300" t="s">
        <v>125</v>
      </c>
      <c r="BY300" t="s">
        <v>125</v>
      </c>
      <c r="BZ300" t="s">
        <v>125</v>
      </c>
      <c r="CA300" t="s">
        <v>125</v>
      </c>
      <c r="CB300" t="s">
        <v>125</v>
      </c>
      <c r="CC300" t="s">
        <v>125</v>
      </c>
      <c r="CD300" t="s">
        <v>125</v>
      </c>
      <c r="CE300" t="s">
        <v>125</v>
      </c>
      <c r="CF300" t="s">
        <v>125</v>
      </c>
      <c r="CG300" t="s">
        <v>125</v>
      </c>
      <c r="CH300" t="s">
        <v>125</v>
      </c>
      <c r="CI300" t="s">
        <v>125</v>
      </c>
      <c r="CJ300" t="s">
        <v>125</v>
      </c>
      <c r="CK300" t="s">
        <v>125</v>
      </c>
      <c r="CL300" t="s">
        <v>125</v>
      </c>
      <c r="CM300" t="s">
        <v>125</v>
      </c>
      <c r="CN300" t="s">
        <v>125</v>
      </c>
      <c r="CO300" t="s">
        <v>125</v>
      </c>
      <c r="CP300" t="s">
        <v>125</v>
      </c>
      <c r="CQ300">
        <v>0.79741399999999996</v>
      </c>
      <c r="CR300">
        <v>0.98305100000000001</v>
      </c>
      <c r="CS300">
        <v>50</v>
      </c>
      <c r="CT300">
        <v>50</v>
      </c>
      <c r="CU300" t="s">
        <v>125</v>
      </c>
      <c r="CV300" t="s">
        <v>125</v>
      </c>
      <c r="CW300" t="s">
        <v>125</v>
      </c>
      <c r="CX300" t="s">
        <v>125</v>
      </c>
      <c r="CY300" t="s">
        <v>125</v>
      </c>
      <c r="CZ300" t="s">
        <v>125</v>
      </c>
      <c r="DA300">
        <v>15.314097</v>
      </c>
      <c r="DB300">
        <v>17.400950000000002</v>
      </c>
      <c r="DC300">
        <v>16.332519999999999</v>
      </c>
      <c r="DD300" t="s">
        <v>125</v>
      </c>
      <c r="DE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Q300" t="s">
        <v>126</v>
      </c>
    </row>
    <row r="301" spans="1:121" x14ac:dyDescent="0.15">
      <c r="A301">
        <v>2018</v>
      </c>
      <c r="B301" t="s">
        <v>133</v>
      </c>
      <c r="C301" t="str">
        <f>"0230011"</f>
        <v>0230011</v>
      </c>
      <c r="D301" t="s">
        <v>439</v>
      </c>
      <c r="E301" t="str">
        <f>"0235111"</f>
        <v>0235111</v>
      </c>
      <c r="F301" t="s">
        <v>328</v>
      </c>
      <c r="G301">
        <v>7</v>
      </c>
      <c r="H301">
        <v>8</v>
      </c>
      <c r="I301" t="s">
        <v>330</v>
      </c>
      <c r="J301" t="s">
        <v>331</v>
      </c>
      <c r="K301">
        <v>646.68707099999995</v>
      </c>
      <c r="L301">
        <v>900</v>
      </c>
      <c r="M301">
        <v>71.854118999999997</v>
      </c>
      <c r="N301">
        <v>3</v>
      </c>
      <c r="O301">
        <v>1</v>
      </c>
      <c r="P301">
        <v>76.303691999999998</v>
      </c>
      <c r="Q301">
        <v>50</v>
      </c>
      <c r="R301">
        <v>50</v>
      </c>
      <c r="S301">
        <v>58.378281999999999</v>
      </c>
      <c r="T301">
        <v>75</v>
      </c>
      <c r="U301">
        <v>38.918855000000001</v>
      </c>
      <c r="V301">
        <v>50</v>
      </c>
      <c r="W301">
        <v>72.364413999999996</v>
      </c>
      <c r="X301">
        <v>48.242942999999997</v>
      </c>
      <c r="Y301">
        <v>50</v>
      </c>
      <c r="Z301">
        <v>75</v>
      </c>
      <c r="AA301">
        <v>55.794573999999997</v>
      </c>
      <c r="AB301">
        <v>37.196382999999997</v>
      </c>
      <c r="AC301">
        <v>50</v>
      </c>
      <c r="AD301">
        <v>75.179266999999996</v>
      </c>
      <c r="AE301">
        <v>50</v>
      </c>
      <c r="AF301">
        <v>50</v>
      </c>
      <c r="AG301">
        <v>59.365352999999999</v>
      </c>
      <c r="AH301">
        <v>75</v>
      </c>
      <c r="AI301">
        <v>39.576901999999997</v>
      </c>
      <c r="AJ301">
        <v>50</v>
      </c>
      <c r="AK301">
        <v>16.62</v>
      </c>
      <c r="AL301">
        <v>19.2</v>
      </c>
      <c r="AM301">
        <v>15.63</v>
      </c>
      <c r="AN301">
        <v>0.56175200000000003</v>
      </c>
      <c r="AO301">
        <v>56.175170000000001</v>
      </c>
      <c r="AP301">
        <v>100</v>
      </c>
      <c r="AQ301">
        <v>0.58870800000000001</v>
      </c>
      <c r="AR301">
        <v>58.870778999999999</v>
      </c>
      <c r="AS301">
        <v>100</v>
      </c>
      <c r="AT301">
        <v>0.36718800000000001</v>
      </c>
      <c r="AU301">
        <v>0.62625399999999998</v>
      </c>
      <c r="AV301">
        <v>36.718831999999999</v>
      </c>
      <c r="AW301">
        <v>100</v>
      </c>
      <c r="AX301">
        <v>0.44477899999999998</v>
      </c>
      <c r="AY301">
        <v>0.63668400000000003</v>
      </c>
      <c r="AZ301">
        <v>44.47786</v>
      </c>
      <c r="BA301">
        <v>100</v>
      </c>
      <c r="BB301" t="s">
        <v>125</v>
      </c>
      <c r="BC301" t="s">
        <v>125</v>
      </c>
      <c r="BD301" t="s">
        <v>125</v>
      </c>
      <c r="BE301" t="s">
        <v>125</v>
      </c>
      <c r="BF301" t="s">
        <v>125</v>
      </c>
      <c r="BG301" t="s">
        <v>125</v>
      </c>
      <c r="BH301">
        <v>0</v>
      </c>
      <c r="BI301">
        <v>0.99209499999999995</v>
      </c>
      <c r="BJ301">
        <v>0.97014900000000004</v>
      </c>
      <c r="BK301">
        <v>1</v>
      </c>
      <c r="BL301">
        <v>0.98419000000000001</v>
      </c>
      <c r="BM301">
        <v>0.95522399999999996</v>
      </c>
      <c r="BN301">
        <v>0.99462399999999995</v>
      </c>
      <c r="BO301">
        <v>0.984375</v>
      </c>
      <c r="BP301">
        <v>0.97058800000000001</v>
      </c>
      <c r="BQ301">
        <v>0.98936199999999996</v>
      </c>
      <c r="BR301">
        <v>5.9761000000000002E-2</v>
      </c>
      <c r="BS301">
        <v>48.047809000000001</v>
      </c>
      <c r="BT301">
        <v>50</v>
      </c>
      <c r="BU301">
        <v>0.107692</v>
      </c>
      <c r="BV301">
        <v>38.461537999999997</v>
      </c>
      <c r="BW301">
        <v>50</v>
      </c>
      <c r="BX301" t="s">
        <v>125</v>
      </c>
      <c r="BY301" t="s">
        <v>125</v>
      </c>
      <c r="BZ301" t="s">
        <v>125</v>
      </c>
      <c r="CA301" t="s">
        <v>125</v>
      </c>
      <c r="CB301" t="s">
        <v>125</v>
      </c>
      <c r="CC301" t="s">
        <v>125</v>
      </c>
      <c r="CD301">
        <v>0.98319299999999998</v>
      </c>
      <c r="CE301">
        <v>50</v>
      </c>
      <c r="CF301">
        <v>50</v>
      </c>
      <c r="CG301" t="s">
        <v>125</v>
      </c>
      <c r="CH301" t="s">
        <v>125</v>
      </c>
      <c r="CI301" t="s">
        <v>125</v>
      </c>
      <c r="CJ301" t="s">
        <v>125</v>
      </c>
      <c r="CK301" t="s">
        <v>125</v>
      </c>
      <c r="CL301" t="s">
        <v>125</v>
      </c>
      <c r="CM301" t="s">
        <v>125</v>
      </c>
      <c r="CN301" t="s">
        <v>125</v>
      </c>
      <c r="CO301" t="s">
        <v>125</v>
      </c>
      <c r="CP301" t="s">
        <v>125</v>
      </c>
      <c r="CQ301">
        <v>0.83199999999999996</v>
      </c>
      <c r="CR301">
        <v>0.97656299999999996</v>
      </c>
      <c r="CS301">
        <v>50</v>
      </c>
      <c r="CT301">
        <v>50</v>
      </c>
      <c r="CU301" t="s">
        <v>125</v>
      </c>
      <c r="CV301" t="s">
        <v>125</v>
      </c>
      <c r="CW301" t="s">
        <v>125</v>
      </c>
      <c r="CX301" t="s">
        <v>125</v>
      </c>
      <c r="CY301" t="s">
        <v>125</v>
      </c>
      <c r="CZ301" t="s">
        <v>125</v>
      </c>
      <c r="DA301">
        <v>15.314097</v>
      </c>
      <c r="DB301">
        <v>17.400950000000002</v>
      </c>
      <c r="DC301">
        <v>16.332519999999999</v>
      </c>
      <c r="DD301" t="s">
        <v>125</v>
      </c>
      <c r="DE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Q301" t="s">
        <v>126</v>
      </c>
    </row>
    <row r="302" spans="1:121" x14ac:dyDescent="0.15">
      <c r="A302">
        <v>2018</v>
      </c>
      <c r="B302" t="s">
        <v>133</v>
      </c>
      <c r="C302" t="str">
        <f>"0230011"</f>
        <v>0230011</v>
      </c>
      <c r="D302" t="s">
        <v>440</v>
      </c>
      <c r="E302" t="str">
        <f>"0230211"</f>
        <v>0230211</v>
      </c>
      <c r="F302" t="s">
        <v>328</v>
      </c>
      <c r="G302" t="s">
        <v>329</v>
      </c>
      <c r="H302">
        <v>3</v>
      </c>
      <c r="I302" t="s">
        <v>330</v>
      </c>
      <c r="J302" t="s">
        <v>331</v>
      </c>
      <c r="K302">
        <v>451.66157900000002</v>
      </c>
      <c r="L302">
        <v>500</v>
      </c>
      <c r="M302">
        <v>90.332316000000006</v>
      </c>
      <c r="N302">
        <v>1</v>
      </c>
      <c r="O302">
        <v>0</v>
      </c>
      <c r="P302">
        <v>78.873991000000004</v>
      </c>
      <c r="Q302">
        <v>100</v>
      </c>
      <c r="R302">
        <v>100</v>
      </c>
      <c r="S302">
        <v>65.506079</v>
      </c>
      <c r="T302">
        <v>75</v>
      </c>
      <c r="U302">
        <v>87.341438999999994</v>
      </c>
      <c r="V302">
        <v>100</v>
      </c>
      <c r="W302">
        <v>77.405681000000001</v>
      </c>
      <c r="X302">
        <v>100</v>
      </c>
      <c r="Y302">
        <v>100</v>
      </c>
      <c r="Z302">
        <v>75</v>
      </c>
      <c r="AA302">
        <v>61.102254000000002</v>
      </c>
      <c r="AB302">
        <v>81.469673</v>
      </c>
      <c r="AC302">
        <v>100</v>
      </c>
      <c r="AD302" t="s">
        <v>125</v>
      </c>
      <c r="AE302" t="s">
        <v>125</v>
      </c>
      <c r="AF302" t="s">
        <v>125</v>
      </c>
      <c r="AG302" t="s">
        <v>125</v>
      </c>
      <c r="AH302" t="s">
        <v>125</v>
      </c>
      <c r="AI302" t="s">
        <v>125</v>
      </c>
      <c r="AJ302" t="s">
        <v>125</v>
      </c>
      <c r="AK302">
        <v>9.49</v>
      </c>
      <c r="AL302">
        <v>13.89</v>
      </c>
      <c r="AM302" t="s">
        <v>125</v>
      </c>
      <c r="AN302" t="s">
        <v>125</v>
      </c>
      <c r="AO302" t="s">
        <v>125</v>
      </c>
      <c r="AP302" t="s">
        <v>125</v>
      </c>
      <c r="AQ302" t="s">
        <v>125</v>
      </c>
      <c r="AR302" t="s">
        <v>125</v>
      </c>
      <c r="AS302" t="s">
        <v>125</v>
      </c>
      <c r="AT302" t="s">
        <v>125</v>
      </c>
      <c r="AU302" t="s">
        <v>125</v>
      </c>
      <c r="AV302" t="s">
        <v>125</v>
      </c>
      <c r="AW302" t="s">
        <v>125</v>
      </c>
      <c r="AX302" t="s">
        <v>125</v>
      </c>
      <c r="AY302" t="s">
        <v>125</v>
      </c>
      <c r="AZ302" t="s">
        <v>125</v>
      </c>
      <c r="BA302" t="s">
        <v>125</v>
      </c>
      <c r="BB302" t="s">
        <v>125</v>
      </c>
      <c r="BC302" t="s">
        <v>125</v>
      </c>
      <c r="BD302" t="s">
        <v>125</v>
      </c>
      <c r="BE302" t="s">
        <v>125</v>
      </c>
      <c r="BF302" t="s">
        <v>125</v>
      </c>
      <c r="BG302" t="s">
        <v>125</v>
      </c>
      <c r="BH302">
        <v>0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 t="s">
        <v>125</v>
      </c>
      <c r="BP302" t="s">
        <v>125</v>
      </c>
      <c r="BQ302" t="s">
        <v>125</v>
      </c>
      <c r="BR302">
        <v>6.0748000000000003E-2</v>
      </c>
      <c r="BS302">
        <v>47.850467000000002</v>
      </c>
      <c r="BT302">
        <v>50</v>
      </c>
      <c r="BU302">
        <v>0.125</v>
      </c>
      <c r="BV302">
        <v>35</v>
      </c>
      <c r="BW302">
        <v>50</v>
      </c>
      <c r="BX302" t="s">
        <v>125</v>
      </c>
      <c r="BY302" t="s">
        <v>125</v>
      </c>
      <c r="BZ302" t="s">
        <v>125</v>
      </c>
      <c r="CA302" t="s">
        <v>125</v>
      </c>
      <c r="CB302" t="s">
        <v>125</v>
      </c>
      <c r="CC302" t="s">
        <v>125</v>
      </c>
      <c r="CD302" t="s">
        <v>125</v>
      </c>
      <c r="CE302" t="s">
        <v>125</v>
      </c>
      <c r="CF302" t="s">
        <v>125</v>
      </c>
      <c r="CG302" t="s">
        <v>125</v>
      </c>
      <c r="CH302" t="s">
        <v>125</v>
      </c>
      <c r="CI302" t="s">
        <v>125</v>
      </c>
      <c r="CJ302" t="s">
        <v>125</v>
      </c>
      <c r="CK302" t="s">
        <v>125</v>
      </c>
      <c r="CL302" t="s">
        <v>125</v>
      </c>
      <c r="CM302" t="s">
        <v>125</v>
      </c>
      <c r="CN302" t="s">
        <v>125</v>
      </c>
      <c r="CO302" t="s">
        <v>125</v>
      </c>
      <c r="CP302" t="s">
        <v>125</v>
      </c>
      <c r="CQ302" t="s">
        <v>125</v>
      </c>
      <c r="CR302" t="s">
        <v>125</v>
      </c>
      <c r="CS302" t="s">
        <v>125</v>
      </c>
      <c r="CT302" t="s">
        <v>125</v>
      </c>
      <c r="CU302" t="s">
        <v>125</v>
      </c>
      <c r="CV302" t="s">
        <v>125</v>
      </c>
      <c r="CW302" t="s">
        <v>125</v>
      </c>
      <c r="CX302" t="s">
        <v>125</v>
      </c>
      <c r="CY302" t="s">
        <v>125</v>
      </c>
      <c r="CZ302" t="s">
        <v>125</v>
      </c>
      <c r="DA302">
        <v>15.314097</v>
      </c>
      <c r="DB302">
        <v>17.400950000000002</v>
      </c>
      <c r="DC302">
        <v>16.332519999999999</v>
      </c>
      <c r="DD302" t="s">
        <v>125</v>
      </c>
      <c r="DE302">
        <v>0</v>
      </c>
      <c r="DH302" t="s">
        <v>332</v>
      </c>
      <c r="DI302" t="s">
        <v>333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Q302" t="s">
        <v>126</v>
      </c>
    </row>
    <row r="303" spans="1:121" x14ac:dyDescent="0.15">
      <c r="A303">
        <v>2018</v>
      </c>
      <c r="B303" t="s">
        <v>228</v>
      </c>
      <c r="C303" t="str">
        <f>"0240011"</f>
        <v>0240011</v>
      </c>
      <c r="D303" t="s">
        <v>441</v>
      </c>
      <c r="E303" t="str">
        <f>"0240211"</f>
        <v>0240211</v>
      </c>
      <c r="F303" t="s">
        <v>328</v>
      </c>
      <c r="G303" t="s">
        <v>329</v>
      </c>
      <c r="H303">
        <v>6</v>
      </c>
      <c r="I303" t="s">
        <v>336</v>
      </c>
      <c r="J303" t="s">
        <v>331</v>
      </c>
      <c r="K303">
        <v>538.77419299999997</v>
      </c>
      <c r="L303">
        <v>750</v>
      </c>
      <c r="M303">
        <v>71.836558999999994</v>
      </c>
      <c r="N303">
        <v>2</v>
      </c>
      <c r="O303">
        <v>0</v>
      </c>
      <c r="P303">
        <v>71.663105999999999</v>
      </c>
      <c r="Q303">
        <v>47.775404000000002</v>
      </c>
      <c r="R303">
        <v>50</v>
      </c>
      <c r="S303">
        <v>67.994664</v>
      </c>
      <c r="T303">
        <v>75</v>
      </c>
      <c r="U303">
        <v>45.329776000000003</v>
      </c>
      <c r="V303">
        <v>50</v>
      </c>
      <c r="W303">
        <v>71.644735999999995</v>
      </c>
      <c r="X303">
        <v>47.763157</v>
      </c>
      <c r="Y303">
        <v>50</v>
      </c>
      <c r="Z303">
        <v>73.674267999999998</v>
      </c>
      <c r="AA303">
        <v>69.813205999999994</v>
      </c>
      <c r="AB303">
        <v>46.542138000000001</v>
      </c>
      <c r="AC303">
        <v>50</v>
      </c>
      <c r="AD303" t="s">
        <v>125</v>
      </c>
      <c r="AE303" t="s">
        <v>125</v>
      </c>
      <c r="AF303" t="s">
        <v>125</v>
      </c>
      <c r="AG303" t="s">
        <v>125</v>
      </c>
      <c r="AH303" t="s">
        <v>125</v>
      </c>
      <c r="AI303" t="s">
        <v>125</v>
      </c>
      <c r="AJ303" t="s">
        <v>125</v>
      </c>
      <c r="AK303">
        <v>7</v>
      </c>
      <c r="AL303">
        <v>3.86</v>
      </c>
      <c r="AM303" t="s">
        <v>125</v>
      </c>
      <c r="AN303">
        <v>0.48608099999999999</v>
      </c>
      <c r="AO303">
        <v>48.608100999999998</v>
      </c>
      <c r="AP303">
        <v>100</v>
      </c>
      <c r="AQ303">
        <v>0.709337</v>
      </c>
      <c r="AR303">
        <v>70.933656999999997</v>
      </c>
      <c r="AS303">
        <v>100</v>
      </c>
      <c r="AT303">
        <v>0.48213</v>
      </c>
      <c r="AU303">
        <v>0.49052600000000002</v>
      </c>
      <c r="AV303">
        <v>48.213011999999999</v>
      </c>
      <c r="AW303">
        <v>100</v>
      </c>
      <c r="AX303">
        <v>0.73474799999999996</v>
      </c>
      <c r="AY303">
        <v>0.68180799999999997</v>
      </c>
      <c r="AZ303">
        <v>73.474756999999997</v>
      </c>
      <c r="BA303">
        <v>100</v>
      </c>
      <c r="BB303" t="s">
        <v>125</v>
      </c>
      <c r="BC303" t="s">
        <v>125</v>
      </c>
      <c r="BD303" t="s">
        <v>125</v>
      </c>
      <c r="BE303" t="s">
        <v>125</v>
      </c>
      <c r="BF303" t="s">
        <v>125</v>
      </c>
      <c r="BG303" t="s">
        <v>125</v>
      </c>
      <c r="BH303">
        <v>0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 t="s">
        <v>125</v>
      </c>
      <c r="BP303" t="s">
        <v>125</v>
      </c>
      <c r="BQ303" t="s">
        <v>125</v>
      </c>
      <c r="BR303">
        <v>3.1746000000000003E-2</v>
      </c>
      <c r="BS303">
        <v>50</v>
      </c>
      <c r="BT303">
        <v>50</v>
      </c>
      <c r="BU303">
        <v>5.7971000000000002E-2</v>
      </c>
      <c r="BV303">
        <v>48.405797</v>
      </c>
      <c r="BW303">
        <v>50</v>
      </c>
      <c r="BX303" t="s">
        <v>125</v>
      </c>
      <c r="BY303" t="s">
        <v>125</v>
      </c>
      <c r="BZ303" t="s">
        <v>125</v>
      </c>
      <c r="CA303" t="s">
        <v>125</v>
      </c>
      <c r="CB303" t="s">
        <v>125</v>
      </c>
      <c r="CC303" t="s">
        <v>125</v>
      </c>
      <c r="CD303" t="s">
        <v>125</v>
      </c>
      <c r="CE303" t="s">
        <v>125</v>
      </c>
      <c r="CF303" t="s">
        <v>125</v>
      </c>
      <c r="CG303" t="s">
        <v>125</v>
      </c>
      <c r="CH303" t="s">
        <v>125</v>
      </c>
      <c r="CI303" t="s">
        <v>125</v>
      </c>
      <c r="CJ303" t="s">
        <v>125</v>
      </c>
      <c r="CK303" t="s">
        <v>125</v>
      </c>
      <c r="CL303" t="s">
        <v>125</v>
      </c>
      <c r="CM303" t="s">
        <v>125</v>
      </c>
      <c r="CN303" t="s">
        <v>125</v>
      </c>
      <c r="CO303" t="s">
        <v>125</v>
      </c>
      <c r="CP303" t="s">
        <v>125</v>
      </c>
      <c r="CQ303">
        <v>0.703704</v>
      </c>
      <c r="CR303">
        <v>0.61363599999999996</v>
      </c>
      <c r="CS303">
        <v>11.728395000000001</v>
      </c>
      <c r="CT303">
        <v>50</v>
      </c>
      <c r="CU303" t="s">
        <v>125</v>
      </c>
      <c r="CV303" t="s">
        <v>125</v>
      </c>
      <c r="CW303" t="s">
        <v>125</v>
      </c>
      <c r="CX303" t="s">
        <v>125</v>
      </c>
      <c r="CY303" t="s">
        <v>125</v>
      </c>
      <c r="CZ303" t="s">
        <v>125</v>
      </c>
      <c r="DA303">
        <v>15.314097</v>
      </c>
      <c r="DB303">
        <v>17.400950000000002</v>
      </c>
      <c r="DC303">
        <v>16.332519999999999</v>
      </c>
      <c r="DD303" t="s">
        <v>125</v>
      </c>
      <c r="DE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Q303" t="s">
        <v>126</v>
      </c>
    </row>
    <row r="304" spans="1:121" x14ac:dyDescent="0.15">
      <c r="A304">
        <v>2018</v>
      </c>
      <c r="B304" t="s">
        <v>203</v>
      </c>
      <c r="C304" t="str">
        <f t="shared" ref="C304:C310" si="4">"0250011"</f>
        <v>0250011</v>
      </c>
      <c r="D304" t="s">
        <v>442</v>
      </c>
      <c r="E304" t="str">
        <f>"0250111"</f>
        <v>0250111</v>
      </c>
      <c r="F304" t="s">
        <v>328</v>
      </c>
      <c r="G304" t="s">
        <v>339</v>
      </c>
      <c r="H304">
        <v>6</v>
      </c>
      <c r="J304" t="s">
        <v>331</v>
      </c>
      <c r="K304">
        <v>645.36546199999998</v>
      </c>
      <c r="L304">
        <v>800</v>
      </c>
      <c r="M304">
        <v>80.670682999999997</v>
      </c>
      <c r="N304">
        <v>3</v>
      </c>
      <c r="O304">
        <v>0</v>
      </c>
      <c r="P304">
        <v>84.413105000000002</v>
      </c>
      <c r="Q304">
        <v>50</v>
      </c>
      <c r="R304">
        <v>50</v>
      </c>
      <c r="S304">
        <v>71.375066000000004</v>
      </c>
      <c r="T304">
        <v>75</v>
      </c>
      <c r="U304">
        <v>47.583378000000003</v>
      </c>
      <c r="V304">
        <v>50</v>
      </c>
      <c r="W304">
        <v>80.102580000000003</v>
      </c>
      <c r="X304">
        <v>50</v>
      </c>
      <c r="Y304">
        <v>50</v>
      </c>
      <c r="Z304">
        <v>75</v>
      </c>
      <c r="AA304">
        <v>64.144195999999994</v>
      </c>
      <c r="AB304">
        <v>42.762797999999997</v>
      </c>
      <c r="AC304">
        <v>50</v>
      </c>
      <c r="AD304">
        <v>80.628045</v>
      </c>
      <c r="AE304">
        <v>50</v>
      </c>
      <c r="AF304">
        <v>50</v>
      </c>
      <c r="AG304" t="s">
        <v>125</v>
      </c>
      <c r="AH304">
        <v>75</v>
      </c>
      <c r="AI304" t="s">
        <v>125</v>
      </c>
      <c r="AJ304" t="s">
        <v>125</v>
      </c>
      <c r="AK304">
        <v>3.62</v>
      </c>
      <c r="AL304">
        <v>10.85</v>
      </c>
      <c r="AM304" t="s">
        <v>125</v>
      </c>
      <c r="AN304">
        <v>0.79921600000000004</v>
      </c>
      <c r="AO304">
        <v>79.921625000000006</v>
      </c>
      <c r="AP304">
        <v>100</v>
      </c>
      <c r="AQ304">
        <v>0.796624</v>
      </c>
      <c r="AR304">
        <v>79.662435000000002</v>
      </c>
      <c r="AS304">
        <v>100</v>
      </c>
      <c r="AT304">
        <v>0.67590899999999998</v>
      </c>
      <c r="AU304">
        <v>0.82784100000000005</v>
      </c>
      <c r="AV304">
        <v>67.590946000000002</v>
      </c>
      <c r="AW304">
        <v>100</v>
      </c>
      <c r="AX304">
        <v>0.67025000000000001</v>
      </c>
      <c r="AY304">
        <v>0.82596099999999995</v>
      </c>
      <c r="AZ304">
        <v>67.025029000000004</v>
      </c>
      <c r="BA304">
        <v>100</v>
      </c>
      <c r="BB304" t="s">
        <v>125</v>
      </c>
      <c r="BC304" t="s">
        <v>125</v>
      </c>
      <c r="BD304" t="s">
        <v>125</v>
      </c>
      <c r="BE304" t="s">
        <v>125</v>
      </c>
      <c r="BF304" t="s">
        <v>125</v>
      </c>
      <c r="BG304" t="s">
        <v>125</v>
      </c>
      <c r="BH304">
        <v>1</v>
      </c>
      <c r="BI304">
        <v>0.97326199999999996</v>
      </c>
      <c r="BJ304">
        <v>0.94285699999999995</v>
      </c>
      <c r="BK304">
        <v>0.980263</v>
      </c>
      <c r="BL304">
        <v>0.97326199999999996</v>
      </c>
      <c r="BM304">
        <v>0.94285699999999995</v>
      </c>
      <c r="BN304">
        <v>0.980263</v>
      </c>
      <c r="BO304">
        <v>0.94339600000000001</v>
      </c>
      <c r="BP304" t="s">
        <v>125</v>
      </c>
      <c r="BQ304">
        <v>0.93023299999999998</v>
      </c>
      <c r="BR304">
        <v>4.7771000000000001E-2</v>
      </c>
      <c r="BS304">
        <v>50</v>
      </c>
      <c r="BT304">
        <v>50</v>
      </c>
      <c r="BU304">
        <v>0.14285700000000001</v>
      </c>
      <c r="BV304">
        <v>31.428571000000002</v>
      </c>
      <c r="BW304">
        <v>50</v>
      </c>
      <c r="BX304" t="s">
        <v>125</v>
      </c>
      <c r="BY304" t="s">
        <v>125</v>
      </c>
      <c r="BZ304" t="s">
        <v>125</v>
      </c>
      <c r="CA304" t="s">
        <v>125</v>
      </c>
      <c r="CB304" t="s">
        <v>125</v>
      </c>
      <c r="CC304" t="s">
        <v>125</v>
      </c>
      <c r="CD304" t="s">
        <v>125</v>
      </c>
      <c r="CE304" t="s">
        <v>125</v>
      </c>
      <c r="CF304" t="s">
        <v>125</v>
      </c>
      <c r="CG304" t="s">
        <v>125</v>
      </c>
      <c r="CH304" t="s">
        <v>125</v>
      </c>
      <c r="CI304" t="s">
        <v>125</v>
      </c>
      <c r="CJ304" t="s">
        <v>125</v>
      </c>
      <c r="CK304" t="s">
        <v>125</v>
      </c>
      <c r="CL304" t="s">
        <v>125</v>
      </c>
      <c r="CM304" t="s">
        <v>125</v>
      </c>
      <c r="CN304" t="s">
        <v>125</v>
      </c>
      <c r="CO304" t="s">
        <v>125</v>
      </c>
      <c r="CP304" t="s">
        <v>125</v>
      </c>
      <c r="CQ304">
        <v>0.44085999999999997</v>
      </c>
      <c r="CR304">
        <v>1</v>
      </c>
      <c r="CS304">
        <v>29.390681000000001</v>
      </c>
      <c r="CT304">
        <v>50</v>
      </c>
      <c r="CU304" t="s">
        <v>125</v>
      </c>
      <c r="CV304" t="s">
        <v>125</v>
      </c>
      <c r="CW304" t="s">
        <v>125</v>
      </c>
      <c r="CX304" t="s">
        <v>125</v>
      </c>
      <c r="CY304" t="s">
        <v>125</v>
      </c>
      <c r="CZ304" t="s">
        <v>125</v>
      </c>
      <c r="DA304">
        <v>15.314097</v>
      </c>
      <c r="DB304">
        <v>17.400950000000002</v>
      </c>
      <c r="DC304">
        <v>16.332519999999999</v>
      </c>
      <c r="DD304" t="s">
        <v>125</v>
      </c>
      <c r="DE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Q304" t="s">
        <v>126</v>
      </c>
    </row>
    <row r="305" spans="1:121" x14ac:dyDescent="0.15">
      <c r="A305">
        <v>2018</v>
      </c>
      <c r="B305" t="s">
        <v>203</v>
      </c>
      <c r="C305" t="str">
        <f t="shared" si="4"/>
        <v>0250011</v>
      </c>
      <c r="D305" t="s">
        <v>443</v>
      </c>
      <c r="E305" t="str">
        <f>"0256111"</f>
        <v>0256111</v>
      </c>
      <c r="F305" t="s">
        <v>328</v>
      </c>
      <c r="G305">
        <v>9</v>
      </c>
      <c r="H305">
        <v>12</v>
      </c>
      <c r="J305" t="s">
        <v>331</v>
      </c>
      <c r="K305">
        <v>1244.9409949999999</v>
      </c>
      <c r="L305">
        <v>1450</v>
      </c>
      <c r="M305">
        <v>85.858000000000004</v>
      </c>
      <c r="N305">
        <v>2</v>
      </c>
      <c r="O305">
        <v>1</v>
      </c>
      <c r="P305">
        <v>67.907633000000004</v>
      </c>
      <c r="Q305">
        <v>135.81526500000001</v>
      </c>
      <c r="R305">
        <v>150</v>
      </c>
      <c r="S305">
        <v>54.427689999999998</v>
      </c>
      <c r="T305">
        <v>71.100251</v>
      </c>
      <c r="U305">
        <v>108.855379</v>
      </c>
      <c r="V305">
        <v>150</v>
      </c>
      <c r="W305">
        <v>66.397501000000005</v>
      </c>
      <c r="X305">
        <v>132.79500200000001</v>
      </c>
      <c r="Y305">
        <v>150</v>
      </c>
      <c r="Z305">
        <v>69.976816999999997</v>
      </c>
      <c r="AA305">
        <v>51.284832000000002</v>
      </c>
      <c r="AB305">
        <v>102.569665</v>
      </c>
      <c r="AC305">
        <v>150</v>
      </c>
      <c r="AD305">
        <v>69.477748000000005</v>
      </c>
      <c r="AE305">
        <v>92.636996999999994</v>
      </c>
      <c r="AF305">
        <v>100</v>
      </c>
      <c r="AG305">
        <v>58.290391999999997</v>
      </c>
      <c r="AH305">
        <v>72.181011999999996</v>
      </c>
      <c r="AI305">
        <v>77.720522000000003</v>
      </c>
      <c r="AJ305">
        <v>100</v>
      </c>
      <c r="AK305">
        <v>16.670000000000002</v>
      </c>
      <c r="AL305">
        <v>18.690000000000001</v>
      </c>
      <c r="AM305">
        <v>13.89</v>
      </c>
      <c r="AN305" t="s">
        <v>125</v>
      </c>
      <c r="AO305" t="s">
        <v>125</v>
      </c>
      <c r="AP305" t="s">
        <v>125</v>
      </c>
      <c r="AQ305" t="s">
        <v>125</v>
      </c>
      <c r="AR305" t="s">
        <v>125</v>
      </c>
      <c r="AS305" t="s">
        <v>125</v>
      </c>
      <c r="AT305" t="s">
        <v>125</v>
      </c>
      <c r="AU305" t="s">
        <v>125</v>
      </c>
      <c r="AV305" t="s">
        <v>125</v>
      </c>
      <c r="AW305" t="s">
        <v>125</v>
      </c>
      <c r="AX305" t="s">
        <v>125</v>
      </c>
      <c r="AY305" t="s">
        <v>125</v>
      </c>
      <c r="AZ305" t="s">
        <v>125</v>
      </c>
      <c r="BA305" t="s">
        <v>125</v>
      </c>
      <c r="BB305" t="s">
        <v>125</v>
      </c>
      <c r="BC305" t="s">
        <v>125</v>
      </c>
      <c r="BD305" t="s">
        <v>125</v>
      </c>
      <c r="BE305" t="s">
        <v>125</v>
      </c>
      <c r="BF305" t="s">
        <v>125</v>
      </c>
      <c r="BG305" t="s">
        <v>125</v>
      </c>
      <c r="BH305">
        <v>1</v>
      </c>
      <c r="BI305">
        <v>0.97647099999999998</v>
      </c>
      <c r="BJ305">
        <v>0.94202900000000001</v>
      </c>
      <c r="BK305">
        <v>0.98524</v>
      </c>
      <c r="BL305">
        <v>0.97647099999999998</v>
      </c>
      <c r="BM305">
        <v>0.94202900000000001</v>
      </c>
      <c r="BN305">
        <v>0.98524</v>
      </c>
      <c r="BO305">
        <v>0.99117599999999995</v>
      </c>
      <c r="BP305">
        <v>0.97101400000000004</v>
      </c>
      <c r="BQ305">
        <v>0.99631000000000003</v>
      </c>
      <c r="BR305">
        <v>8.3276000000000003E-2</v>
      </c>
      <c r="BS305">
        <v>43.344898999999998</v>
      </c>
      <c r="BT305">
        <v>50</v>
      </c>
      <c r="BU305">
        <v>0.207006</v>
      </c>
      <c r="BV305">
        <v>18.598725999999999</v>
      </c>
      <c r="BW305">
        <v>50</v>
      </c>
      <c r="BX305">
        <v>0.99433400000000005</v>
      </c>
      <c r="BY305">
        <v>50</v>
      </c>
      <c r="BZ305">
        <v>50</v>
      </c>
      <c r="CA305">
        <v>0.66430599999999995</v>
      </c>
      <c r="CB305">
        <v>44.287063000000003</v>
      </c>
      <c r="CC305">
        <v>50</v>
      </c>
      <c r="CD305">
        <v>0.98421099999999995</v>
      </c>
      <c r="CE305">
        <v>50</v>
      </c>
      <c r="CF305">
        <v>50</v>
      </c>
      <c r="CG305">
        <v>0.981873</v>
      </c>
      <c r="CH305">
        <v>100</v>
      </c>
      <c r="CI305">
        <v>100</v>
      </c>
      <c r="CJ305">
        <v>0</v>
      </c>
      <c r="CK305">
        <v>1</v>
      </c>
      <c r="CL305">
        <v>100</v>
      </c>
      <c r="CM305">
        <v>100</v>
      </c>
      <c r="CN305">
        <v>0.895706</v>
      </c>
      <c r="CO305">
        <v>100</v>
      </c>
      <c r="CP305">
        <v>100</v>
      </c>
      <c r="CQ305">
        <v>0.64207700000000001</v>
      </c>
      <c r="CR305">
        <v>1.02521</v>
      </c>
      <c r="CS305">
        <v>42.805100000000003</v>
      </c>
      <c r="CT305">
        <v>50</v>
      </c>
      <c r="CU305">
        <v>0.546149</v>
      </c>
      <c r="CV305">
        <v>45.512376000000003</v>
      </c>
      <c r="CW305">
        <v>50</v>
      </c>
      <c r="CX305">
        <v>1</v>
      </c>
      <c r="CY305">
        <v>0.94</v>
      </c>
      <c r="CZ305">
        <v>-0.06</v>
      </c>
      <c r="DA305">
        <v>15.314097</v>
      </c>
      <c r="DB305">
        <v>17.400950000000002</v>
      </c>
      <c r="DC305">
        <v>16.332519999999999</v>
      </c>
      <c r="DD305">
        <v>7.9891730000000001</v>
      </c>
      <c r="DE305">
        <v>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Q305" t="s">
        <v>126</v>
      </c>
    </row>
    <row r="306" spans="1:121" x14ac:dyDescent="0.15">
      <c r="A306">
        <v>2018</v>
      </c>
      <c r="B306" t="s">
        <v>203</v>
      </c>
      <c r="C306" t="str">
        <f t="shared" si="4"/>
        <v>0250011</v>
      </c>
      <c r="D306" t="s">
        <v>444</v>
      </c>
      <c r="E306" t="str">
        <f>"0250211"</f>
        <v>0250211</v>
      </c>
      <c r="F306" t="s">
        <v>328</v>
      </c>
      <c r="G306" t="s">
        <v>329</v>
      </c>
      <c r="H306" t="s">
        <v>339</v>
      </c>
      <c r="I306" t="s">
        <v>330</v>
      </c>
      <c r="J306" t="s">
        <v>331</v>
      </c>
      <c r="K306">
        <v>100</v>
      </c>
      <c r="L306">
        <v>100</v>
      </c>
      <c r="M306">
        <v>100</v>
      </c>
      <c r="N306" t="s">
        <v>125</v>
      </c>
      <c r="O306" t="s">
        <v>125</v>
      </c>
      <c r="P306" t="s">
        <v>125</v>
      </c>
      <c r="Q306" t="s">
        <v>125</v>
      </c>
      <c r="R306" t="s">
        <v>125</v>
      </c>
      <c r="S306" t="s">
        <v>125</v>
      </c>
      <c r="T306" t="s">
        <v>125</v>
      </c>
      <c r="U306" t="s">
        <v>125</v>
      </c>
      <c r="V306" t="s">
        <v>125</v>
      </c>
      <c r="W306" t="s">
        <v>125</v>
      </c>
      <c r="X306" t="s">
        <v>125</v>
      </c>
      <c r="Y306" t="s">
        <v>125</v>
      </c>
      <c r="Z306" t="s">
        <v>125</v>
      </c>
      <c r="AA306" t="s">
        <v>125</v>
      </c>
      <c r="AB306" t="s">
        <v>125</v>
      </c>
      <c r="AC306" t="s">
        <v>125</v>
      </c>
      <c r="AD306" t="s">
        <v>125</v>
      </c>
      <c r="AE306" t="s">
        <v>125</v>
      </c>
      <c r="AF306" t="s">
        <v>125</v>
      </c>
      <c r="AG306" t="s">
        <v>125</v>
      </c>
      <c r="AH306" t="s">
        <v>125</v>
      </c>
      <c r="AI306" t="s">
        <v>125</v>
      </c>
      <c r="AJ306" t="s">
        <v>125</v>
      </c>
      <c r="AK306" t="s">
        <v>125</v>
      </c>
      <c r="AL306" t="s">
        <v>125</v>
      </c>
      <c r="AM306" t="s">
        <v>125</v>
      </c>
      <c r="AN306" t="s">
        <v>125</v>
      </c>
      <c r="AO306" t="s">
        <v>125</v>
      </c>
      <c r="AP306" t="s">
        <v>125</v>
      </c>
      <c r="AQ306" t="s">
        <v>125</v>
      </c>
      <c r="AR306" t="s">
        <v>125</v>
      </c>
      <c r="AS306" t="s">
        <v>125</v>
      </c>
      <c r="AT306" t="s">
        <v>125</v>
      </c>
      <c r="AU306" t="s">
        <v>125</v>
      </c>
      <c r="AV306" t="s">
        <v>125</v>
      </c>
      <c r="AW306" t="s">
        <v>125</v>
      </c>
      <c r="AX306" t="s">
        <v>125</v>
      </c>
      <c r="AY306" t="s">
        <v>125</v>
      </c>
      <c r="AZ306" t="s">
        <v>125</v>
      </c>
      <c r="BA306" t="s">
        <v>125</v>
      </c>
      <c r="BB306" t="s">
        <v>125</v>
      </c>
      <c r="BC306" t="s">
        <v>125</v>
      </c>
      <c r="BD306" t="s">
        <v>125</v>
      </c>
      <c r="BE306" t="s">
        <v>125</v>
      </c>
      <c r="BF306" t="s">
        <v>125</v>
      </c>
      <c r="BG306" t="s">
        <v>125</v>
      </c>
      <c r="BH306" t="s">
        <v>125</v>
      </c>
      <c r="BI306" t="s">
        <v>125</v>
      </c>
      <c r="BJ306" t="s">
        <v>125</v>
      </c>
      <c r="BK306" t="s">
        <v>125</v>
      </c>
      <c r="BL306" t="s">
        <v>125</v>
      </c>
      <c r="BM306" t="s">
        <v>125</v>
      </c>
      <c r="BN306" t="s">
        <v>125</v>
      </c>
      <c r="BO306" t="s">
        <v>125</v>
      </c>
      <c r="BP306" t="s">
        <v>125</v>
      </c>
      <c r="BQ306" t="s">
        <v>125</v>
      </c>
      <c r="BR306">
        <v>3.8462000000000003E-2</v>
      </c>
      <c r="BS306">
        <v>50</v>
      </c>
      <c r="BT306">
        <v>50</v>
      </c>
      <c r="BU306">
        <v>0</v>
      </c>
      <c r="BV306">
        <v>50</v>
      </c>
      <c r="BW306">
        <v>50</v>
      </c>
      <c r="BX306" t="s">
        <v>125</v>
      </c>
      <c r="BY306" t="s">
        <v>125</v>
      </c>
      <c r="BZ306" t="s">
        <v>125</v>
      </c>
      <c r="CA306" t="s">
        <v>125</v>
      </c>
      <c r="CB306" t="s">
        <v>125</v>
      </c>
      <c r="CC306" t="s">
        <v>125</v>
      </c>
      <c r="CD306" t="s">
        <v>125</v>
      </c>
      <c r="CE306" t="s">
        <v>125</v>
      </c>
      <c r="CF306" t="s">
        <v>125</v>
      </c>
      <c r="CG306" t="s">
        <v>125</v>
      </c>
      <c r="CH306" t="s">
        <v>125</v>
      </c>
      <c r="CI306" t="s">
        <v>125</v>
      </c>
      <c r="CJ306" t="s">
        <v>125</v>
      </c>
      <c r="CK306" t="s">
        <v>125</v>
      </c>
      <c r="CL306" t="s">
        <v>125</v>
      </c>
      <c r="CM306" t="s">
        <v>125</v>
      </c>
      <c r="CN306" t="s">
        <v>125</v>
      </c>
      <c r="CO306" t="s">
        <v>125</v>
      </c>
      <c r="CP306" t="s">
        <v>125</v>
      </c>
      <c r="CQ306" t="s">
        <v>125</v>
      </c>
      <c r="CR306" t="s">
        <v>125</v>
      </c>
      <c r="CS306" t="s">
        <v>125</v>
      </c>
      <c r="CT306" t="s">
        <v>125</v>
      </c>
      <c r="CU306" t="s">
        <v>125</v>
      </c>
      <c r="CV306" t="s">
        <v>125</v>
      </c>
      <c r="CW306" t="s">
        <v>125</v>
      </c>
      <c r="CX306" t="s">
        <v>125</v>
      </c>
      <c r="CY306" t="s">
        <v>125</v>
      </c>
      <c r="CZ306" t="s">
        <v>125</v>
      </c>
      <c r="DA306" t="s">
        <v>125</v>
      </c>
      <c r="DB306" t="s">
        <v>125</v>
      </c>
      <c r="DC306" t="s">
        <v>125</v>
      </c>
      <c r="DD306" t="s">
        <v>125</v>
      </c>
      <c r="DE306" t="s">
        <v>125</v>
      </c>
      <c r="DJ306" t="s">
        <v>125</v>
      </c>
      <c r="DK306" t="s">
        <v>125</v>
      </c>
      <c r="DL306" t="s">
        <v>125</v>
      </c>
      <c r="DM306" t="s">
        <v>125</v>
      </c>
      <c r="DN306" t="s">
        <v>125</v>
      </c>
      <c r="DO306" t="s">
        <v>125</v>
      </c>
      <c r="DQ306" t="s">
        <v>126</v>
      </c>
    </row>
    <row r="307" spans="1:121" x14ac:dyDescent="0.15">
      <c r="A307">
        <v>2018</v>
      </c>
      <c r="B307" t="s">
        <v>203</v>
      </c>
      <c r="C307" t="str">
        <f t="shared" si="4"/>
        <v>0250011</v>
      </c>
      <c r="D307" t="s">
        <v>445</v>
      </c>
      <c r="E307" t="str">
        <f>"0255111"</f>
        <v>0255111</v>
      </c>
      <c r="F307" t="s">
        <v>328</v>
      </c>
      <c r="G307">
        <v>7</v>
      </c>
      <c r="H307">
        <v>8</v>
      </c>
      <c r="J307" t="s">
        <v>331</v>
      </c>
      <c r="K307">
        <v>686.60616800000003</v>
      </c>
      <c r="L307">
        <v>900</v>
      </c>
      <c r="M307">
        <v>76.289574000000002</v>
      </c>
      <c r="N307">
        <v>3</v>
      </c>
      <c r="O307">
        <v>1</v>
      </c>
      <c r="P307">
        <v>80.321458000000007</v>
      </c>
      <c r="Q307">
        <v>50</v>
      </c>
      <c r="R307">
        <v>50</v>
      </c>
      <c r="S307">
        <v>63.197361000000001</v>
      </c>
      <c r="T307">
        <v>75</v>
      </c>
      <c r="U307">
        <v>42.131574000000001</v>
      </c>
      <c r="V307">
        <v>50</v>
      </c>
      <c r="W307">
        <v>75.620878000000005</v>
      </c>
      <c r="X307">
        <v>50</v>
      </c>
      <c r="Y307">
        <v>50</v>
      </c>
      <c r="Z307">
        <v>75</v>
      </c>
      <c r="AA307">
        <v>56.854322000000003</v>
      </c>
      <c r="AB307">
        <v>37.902881999999998</v>
      </c>
      <c r="AC307">
        <v>50</v>
      </c>
      <c r="AD307">
        <v>75.319846999999996</v>
      </c>
      <c r="AE307">
        <v>50</v>
      </c>
      <c r="AF307">
        <v>50</v>
      </c>
      <c r="AG307">
        <v>62.832532999999998</v>
      </c>
      <c r="AH307">
        <v>75</v>
      </c>
      <c r="AI307">
        <v>41.888354999999997</v>
      </c>
      <c r="AJ307">
        <v>50</v>
      </c>
      <c r="AK307">
        <v>11.8</v>
      </c>
      <c r="AL307">
        <v>18.14</v>
      </c>
      <c r="AM307">
        <v>12.16</v>
      </c>
      <c r="AN307">
        <v>0.63538399999999995</v>
      </c>
      <c r="AO307">
        <v>63.538367999999998</v>
      </c>
      <c r="AP307">
        <v>100</v>
      </c>
      <c r="AQ307">
        <v>0.72422399999999998</v>
      </c>
      <c r="AR307">
        <v>72.422432000000001</v>
      </c>
      <c r="AS307">
        <v>100</v>
      </c>
      <c r="AT307">
        <v>0.49237599999999998</v>
      </c>
      <c r="AU307">
        <v>0.67408000000000001</v>
      </c>
      <c r="AV307">
        <v>49.237572999999998</v>
      </c>
      <c r="AW307">
        <v>100</v>
      </c>
      <c r="AX307">
        <v>0.57034399999999996</v>
      </c>
      <c r="AY307">
        <v>0.76564200000000004</v>
      </c>
      <c r="AZ307">
        <v>57.034377999999997</v>
      </c>
      <c r="BA307">
        <v>100</v>
      </c>
      <c r="BB307" t="s">
        <v>125</v>
      </c>
      <c r="BC307" t="s">
        <v>125</v>
      </c>
      <c r="BD307" t="s">
        <v>125</v>
      </c>
      <c r="BE307" t="s">
        <v>125</v>
      </c>
      <c r="BF307" t="s">
        <v>125</v>
      </c>
      <c r="BG307" t="s">
        <v>125</v>
      </c>
      <c r="BH307">
        <v>0</v>
      </c>
      <c r="BI307">
        <v>0.98398799999999997</v>
      </c>
      <c r="BJ307">
        <v>0.97530899999999998</v>
      </c>
      <c r="BK307">
        <v>0.98666699999999996</v>
      </c>
      <c r="BL307">
        <v>0.97962199999999999</v>
      </c>
      <c r="BM307">
        <v>0.96296300000000001</v>
      </c>
      <c r="BN307">
        <v>0.98476200000000003</v>
      </c>
      <c r="BO307">
        <v>0.98118300000000003</v>
      </c>
      <c r="BP307">
        <v>0.97647099999999998</v>
      </c>
      <c r="BQ307">
        <v>0.98257799999999995</v>
      </c>
      <c r="BR307">
        <v>5.9679999999999997E-2</v>
      </c>
      <c r="BS307">
        <v>48.064047000000002</v>
      </c>
      <c r="BT307">
        <v>50</v>
      </c>
      <c r="BU307">
        <v>0.15060200000000001</v>
      </c>
      <c r="BV307">
        <v>29.879518000000001</v>
      </c>
      <c r="BW307">
        <v>50</v>
      </c>
      <c r="BX307" t="s">
        <v>125</v>
      </c>
      <c r="BY307" t="s">
        <v>125</v>
      </c>
      <c r="BZ307" t="s">
        <v>125</v>
      </c>
      <c r="CA307" t="s">
        <v>125</v>
      </c>
      <c r="CB307" t="s">
        <v>125</v>
      </c>
      <c r="CC307" t="s">
        <v>125</v>
      </c>
      <c r="CD307">
        <v>0.97911199999999998</v>
      </c>
      <c r="CE307">
        <v>50</v>
      </c>
      <c r="CF307">
        <v>50</v>
      </c>
      <c r="CG307" t="s">
        <v>125</v>
      </c>
      <c r="CH307" t="s">
        <v>125</v>
      </c>
      <c r="CI307" t="s">
        <v>125</v>
      </c>
      <c r="CJ307" t="s">
        <v>125</v>
      </c>
      <c r="CK307" t="s">
        <v>125</v>
      </c>
      <c r="CL307" t="s">
        <v>125</v>
      </c>
      <c r="CM307" t="s">
        <v>125</v>
      </c>
      <c r="CN307" t="s">
        <v>125</v>
      </c>
      <c r="CO307" t="s">
        <v>125</v>
      </c>
      <c r="CP307" t="s">
        <v>125</v>
      </c>
      <c r="CQ307">
        <v>0.66760600000000003</v>
      </c>
      <c r="CR307">
        <v>0.95430099999999995</v>
      </c>
      <c r="CS307">
        <v>44.507041999999998</v>
      </c>
      <c r="CT307">
        <v>50</v>
      </c>
      <c r="CU307" t="s">
        <v>125</v>
      </c>
      <c r="CV307" t="s">
        <v>125</v>
      </c>
      <c r="CW307" t="s">
        <v>125</v>
      </c>
      <c r="CX307" t="s">
        <v>125</v>
      </c>
      <c r="CY307" t="s">
        <v>125</v>
      </c>
      <c r="CZ307" t="s">
        <v>125</v>
      </c>
      <c r="DA307">
        <v>15.314097</v>
      </c>
      <c r="DB307">
        <v>17.400950000000002</v>
      </c>
      <c r="DC307">
        <v>16.332519999999999</v>
      </c>
      <c r="DD307" t="s">
        <v>125</v>
      </c>
      <c r="DE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Q307" t="s">
        <v>126</v>
      </c>
    </row>
    <row r="308" spans="1:121" x14ac:dyDescent="0.15">
      <c r="A308">
        <v>2018</v>
      </c>
      <c r="B308" t="s">
        <v>203</v>
      </c>
      <c r="C308" t="str">
        <f t="shared" si="4"/>
        <v>0250011</v>
      </c>
      <c r="D308" t="s">
        <v>446</v>
      </c>
      <c r="E308" t="str">
        <f>"0250611"</f>
        <v>0250611</v>
      </c>
      <c r="F308" t="s">
        <v>328</v>
      </c>
      <c r="G308">
        <v>1</v>
      </c>
      <c r="H308">
        <v>6</v>
      </c>
      <c r="J308" t="s">
        <v>331</v>
      </c>
      <c r="K308">
        <v>675.14466300000004</v>
      </c>
      <c r="L308">
        <v>800</v>
      </c>
      <c r="M308">
        <v>84.393083000000004</v>
      </c>
      <c r="N308">
        <v>2</v>
      </c>
      <c r="O308">
        <v>0</v>
      </c>
      <c r="P308">
        <v>82.401015999999998</v>
      </c>
      <c r="Q308">
        <v>50</v>
      </c>
      <c r="R308">
        <v>50</v>
      </c>
      <c r="S308">
        <v>73.641548</v>
      </c>
      <c r="T308">
        <v>75</v>
      </c>
      <c r="U308">
        <v>49.094365000000003</v>
      </c>
      <c r="V308">
        <v>50</v>
      </c>
      <c r="W308">
        <v>77.347436999999999</v>
      </c>
      <c r="X308">
        <v>50</v>
      </c>
      <c r="Y308">
        <v>50</v>
      </c>
      <c r="Z308">
        <v>75</v>
      </c>
      <c r="AA308">
        <v>65.285325999999998</v>
      </c>
      <c r="AB308">
        <v>43.523550999999998</v>
      </c>
      <c r="AC308">
        <v>50</v>
      </c>
      <c r="AD308">
        <v>82.300743999999995</v>
      </c>
      <c r="AE308">
        <v>50</v>
      </c>
      <c r="AF308">
        <v>50</v>
      </c>
      <c r="AG308" t="s">
        <v>125</v>
      </c>
      <c r="AH308">
        <v>75</v>
      </c>
      <c r="AI308" t="s">
        <v>125</v>
      </c>
      <c r="AJ308" t="s">
        <v>125</v>
      </c>
      <c r="AK308">
        <v>1.35</v>
      </c>
      <c r="AL308">
        <v>9.7100000000000009</v>
      </c>
      <c r="AM308" t="s">
        <v>125</v>
      </c>
      <c r="AN308">
        <v>0.76320299999999996</v>
      </c>
      <c r="AO308">
        <v>76.320267999999999</v>
      </c>
      <c r="AP308">
        <v>100</v>
      </c>
      <c r="AQ308">
        <v>0.83228199999999997</v>
      </c>
      <c r="AR308">
        <v>83.228194000000002</v>
      </c>
      <c r="AS308">
        <v>100</v>
      </c>
      <c r="AT308">
        <v>0.69531399999999999</v>
      </c>
      <c r="AU308">
        <v>0.791601</v>
      </c>
      <c r="AV308">
        <v>69.531388000000007</v>
      </c>
      <c r="AW308">
        <v>100</v>
      </c>
      <c r="AX308">
        <v>0.76180899999999996</v>
      </c>
      <c r="AY308">
        <v>0.861761</v>
      </c>
      <c r="AZ308">
        <v>76.180902000000003</v>
      </c>
      <c r="BA308">
        <v>100</v>
      </c>
      <c r="BB308" t="s">
        <v>125</v>
      </c>
      <c r="BC308" t="s">
        <v>125</v>
      </c>
      <c r="BD308" t="s">
        <v>125</v>
      </c>
      <c r="BE308" t="s">
        <v>125</v>
      </c>
      <c r="BF308" t="s">
        <v>125</v>
      </c>
      <c r="BG308" t="s">
        <v>125</v>
      </c>
      <c r="BH308">
        <v>0</v>
      </c>
      <c r="BI308">
        <v>0.98653199999999996</v>
      </c>
      <c r="BJ308">
        <v>1</v>
      </c>
      <c r="BK308">
        <v>0.981132</v>
      </c>
      <c r="BL308">
        <v>0.98316499999999996</v>
      </c>
      <c r="BM308">
        <v>0.98823499999999997</v>
      </c>
      <c r="BN308">
        <v>0.981132</v>
      </c>
      <c r="BO308">
        <v>0.98507500000000003</v>
      </c>
      <c r="BP308" t="s">
        <v>125</v>
      </c>
      <c r="BQ308">
        <v>0.98</v>
      </c>
      <c r="BR308">
        <v>0.05</v>
      </c>
      <c r="BS308">
        <v>50</v>
      </c>
      <c r="BT308">
        <v>50</v>
      </c>
      <c r="BU308">
        <v>0.12598400000000001</v>
      </c>
      <c r="BV308">
        <v>34.803150000000002</v>
      </c>
      <c r="BW308">
        <v>50</v>
      </c>
      <c r="BX308" t="s">
        <v>125</v>
      </c>
      <c r="BY308" t="s">
        <v>125</v>
      </c>
      <c r="BZ308" t="s">
        <v>125</v>
      </c>
      <c r="CA308" t="s">
        <v>125</v>
      </c>
      <c r="CB308" t="s">
        <v>125</v>
      </c>
      <c r="CC308" t="s">
        <v>125</v>
      </c>
      <c r="CD308" t="s">
        <v>125</v>
      </c>
      <c r="CE308" t="s">
        <v>125</v>
      </c>
      <c r="CF308" t="s">
        <v>125</v>
      </c>
      <c r="CG308" t="s">
        <v>125</v>
      </c>
      <c r="CH308" t="s">
        <v>125</v>
      </c>
      <c r="CI308" t="s">
        <v>125</v>
      </c>
      <c r="CJ308" t="s">
        <v>125</v>
      </c>
      <c r="CK308" t="s">
        <v>125</v>
      </c>
      <c r="CL308" t="s">
        <v>125</v>
      </c>
      <c r="CM308" t="s">
        <v>125</v>
      </c>
      <c r="CN308" t="s">
        <v>125</v>
      </c>
      <c r="CO308" t="s">
        <v>125</v>
      </c>
      <c r="CP308" t="s">
        <v>125</v>
      </c>
      <c r="CQ308">
        <v>0.63694300000000004</v>
      </c>
      <c r="CR308">
        <v>1.00641</v>
      </c>
      <c r="CS308">
        <v>42.462845000000002</v>
      </c>
      <c r="CT308">
        <v>50</v>
      </c>
      <c r="CU308" t="s">
        <v>125</v>
      </c>
      <c r="CV308" t="s">
        <v>125</v>
      </c>
      <c r="CW308" t="s">
        <v>125</v>
      </c>
      <c r="CX308" t="s">
        <v>125</v>
      </c>
      <c r="CY308" t="s">
        <v>125</v>
      </c>
      <c r="CZ308" t="s">
        <v>125</v>
      </c>
      <c r="DA308">
        <v>15.314097</v>
      </c>
      <c r="DB308">
        <v>17.400950000000002</v>
      </c>
      <c r="DC308">
        <v>16.332519999999999</v>
      </c>
      <c r="DD308" t="s">
        <v>125</v>
      </c>
      <c r="DE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Q308" t="s">
        <v>126</v>
      </c>
    </row>
    <row r="309" spans="1:121" x14ac:dyDescent="0.15">
      <c r="A309">
        <v>2018</v>
      </c>
      <c r="B309" t="s">
        <v>203</v>
      </c>
      <c r="C309" t="str">
        <f t="shared" si="4"/>
        <v>0250011</v>
      </c>
      <c r="D309" t="s">
        <v>447</v>
      </c>
      <c r="E309" t="str">
        <f>"0250411"</f>
        <v>0250411</v>
      </c>
      <c r="F309" t="s">
        <v>328</v>
      </c>
      <c r="G309" t="s">
        <v>339</v>
      </c>
      <c r="H309">
        <v>6</v>
      </c>
      <c r="J309" t="s">
        <v>331</v>
      </c>
      <c r="K309">
        <v>700.70680500000003</v>
      </c>
      <c r="L309">
        <v>850</v>
      </c>
      <c r="M309">
        <v>82.436094999999995</v>
      </c>
      <c r="N309">
        <v>2</v>
      </c>
      <c r="O309">
        <v>0</v>
      </c>
      <c r="P309">
        <v>83.770932000000002</v>
      </c>
      <c r="Q309">
        <v>50</v>
      </c>
      <c r="R309">
        <v>50</v>
      </c>
      <c r="S309">
        <v>66.306269999999998</v>
      </c>
      <c r="T309">
        <v>75</v>
      </c>
      <c r="U309">
        <v>44.204180000000001</v>
      </c>
      <c r="V309">
        <v>50</v>
      </c>
      <c r="W309">
        <v>80.431195000000002</v>
      </c>
      <c r="X309">
        <v>50</v>
      </c>
      <c r="Y309">
        <v>50</v>
      </c>
      <c r="Z309">
        <v>75</v>
      </c>
      <c r="AA309">
        <v>63.099027</v>
      </c>
      <c r="AB309">
        <v>42.066018</v>
      </c>
      <c r="AC309">
        <v>50</v>
      </c>
      <c r="AD309">
        <v>83.119929999999997</v>
      </c>
      <c r="AE309">
        <v>50</v>
      </c>
      <c r="AF309">
        <v>50</v>
      </c>
      <c r="AG309">
        <v>69.000671999999994</v>
      </c>
      <c r="AH309">
        <v>75</v>
      </c>
      <c r="AI309">
        <v>46.000447999999999</v>
      </c>
      <c r="AJ309">
        <v>50</v>
      </c>
      <c r="AK309">
        <v>8.69</v>
      </c>
      <c r="AL309">
        <v>11.9</v>
      </c>
      <c r="AM309">
        <v>5.99</v>
      </c>
      <c r="AN309">
        <v>0.71735199999999999</v>
      </c>
      <c r="AO309">
        <v>71.735204999999993</v>
      </c>
      <c r="AP309">
        <v>100</v>
      </c>
      <c r="AQ309">
        <v>0.74976699999999996</v>
      </c>
      <c r="AR309">
        <v>74.976741000000004</v>
      </c>
      <c r="AS309">
        <v>100</v>
      </c>
      <c r="AT309">
        <v>0.67246399999999995</v>
      </c>
      <c r="AU309">
        <v>0.727738</v>
      </c>
      <c r="AV309">
        <v>67.246393999999995</v>
      </c>
      <c r="AW309">
        <v>100</v>
      </c>
      <c r="AX309">
        <v>0.68061099999999997</v>
      </c>
      <c r="AY309">
        <v>0.765768</v>
      </c>
      <c r="AZ309">
        <v>68.061098999999999</v>
      </c>
      <c r="BA309">
        <v>100</v>
      </c>
      <c r="BB309" t="s">
        <v>125</v>
      </c>
      <c r="BC309" t="s">
        <v>125</v>
      </c>
      <c r="BD309" t="s">
        <v>125</v>
      </c>
      <c r="BE309" t="s">
        <v>125</v>
      </c>
      <c r="BF309" t="s">
        <v>125</v>
      </c>
      <c r="BG309" t="s">
        <v>125</v>
      </c>
      <c r="BH309">
        <v>0</v>
      </c>
      <c r="BI309">
        <v>0.98687100000000005</v>
      </c>
      <c r="BJ309">
        <v>0.97196300000000002</v>
      </c>
      <c r="BK309">
        <v>0.991429</v>
      </c>
      <c r="BL309">
        <v>0.98687100000000005</v>
      </c>
      <c r="BM309">
        <v>0.97196300000000002</v>
      </c>
      <c r="BN309">
        <v>0.991429</v>
      </c>
      <c r="BO309">
        <v>0.99065400000000003</v>
      </c>
      <c r="BP309">
        <v>1</v>
      </c>
      <c r="BQ309">
        <v>0.98750000000000004</v>
      </c>
      <c r="BR309">
        <v>2.8112000000000002E-2</v>
      </c>
      <c r="BS309">
        <v>50</v>
      </c>
      <c r="BT309">
        <v>50</v>
      </c>
      <c r="BU309">
        <v>9.3407000000000004E-2</v>
      </c>
      <c r="BV309">
        <v>41.318680999999998</v>
      </c>
      <c r="BW309">
        <v>50</v>
      </c>
      <c r="BX309" t="s">
        <v>125</v>
      </c>
      <c r="BY309" t="s">
        <v>125</v>
      </c>
      <c r="BZ309" t="s">
        <v>125</v>
      </c>
      <c r="CA309" t="s">
        <v>125</v>
      </c>
      <c r="CB309" t="s">
        <v>125</v>
      </c>
      <c r="CC309" t="s">
        <v>125</v>
      </c>
      <c r="CD309" t="s">
        <v>125</v>
      </c>
      <c r="CE309" t="s">
        <v>125</v>
      </c>
      <c r="CF309" t="s">
        <v>125</v>
      </c>
      <c r="CG309" t="s">
        <v>125</v>
      </c>
      <c r="CH309" t="s">
        <v>125</v>
      </c>
      <c r="CI309" t="s">
        <v>125</v>
      </c>
      <c r="CJ309" t="s">
        <v>125</v>
      </c>
      <c r="CK309" t="s">
        <v>125</v>
      </c>
      <c r="CL309" t="s">
        <v>125</v>
      </c>
      <c r="CM309" t="s">
        <v>125</v>
      </c>
      <c r="CN309" t="s">
        <v>125</v>
      </c>
      <c r="CO309" t="s">
        <v>125</v>
      </c>
      <c r="CP309" t="s">
        <v>125</v>
      </c>
      <c r="CQ309">
        <v>0.67647100000000004</v>
      </c>
      <c r="CR309">
        <v>0.99166699999999997</v>
      </c>
      <c r="CS309">
        <v>45.098039</v>
      </c>
      <c r="CT309">
        <v>50</v>
      </c>
      <c r="CU309" t="s">
        <v>125</v>
      </c>
      <c r="CV309" t="s">
        <v>125</v>
      </c>
      <c r="CW309" t="s">
        <v>125</v>
      </c>
      <c r="CX309" t="s">
        <v>125</v>
      </c>
      <c r="CY309" t="s">
        <v>125</v>
      </c>
      <c r="CZ309" t="s">
        <v>125</v>
      </c>
      <c r="DA309">
        <v>15.314097</v>
      </c>
      <c r="DB309">
        <v>17.400950000000002</v>
      </c>
      <c r="DC309">
        <v>16.332519999999999</v>
      </c>
      <c r="DD309" t="s">
        <v>125</v>
      </c>
      <c r="DE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Q309" t="s">
        <v>126</v>
      </c>
    </row>
    <row r="310" spans="1:121" x14ac:dyDescent="0.15">
      <c r="A310">
        <v>2018</v>
      </c>
      <c r="B310" t="s">
        <v>203</v>
      </c>
      <c r="C310" t="str">
        <f t="shared" si="4"/>
        <v>0250011</v>
      </c>
      <c r="D310" t="s">
        <v>448</v>
      </c>
      <c r="E310" t="str">
        <f>"0250511"</f>
        <v>0250511</v>
      </c>
      <c r="F310" t="s">
        <v>328</v>
      </c>
      <c r="G310" t="s">
        <v>339</v>
      </c>
      <c r="H310">
        <v>6</v>
      </c>
      <c r="J310" t="s">
        <v>331</v>
      </c>
      <c r="K310">
        <v>703.337039</v>
      </c>
      <c r="L310">
        <v>800</v>
      </c>
      <c r="M310">
        <v>87.91713</v>
      </c>
      <c r="N310">
        <v>1</v>
      </c>
      <c r="O310">
        <v>0</v>
      </c>
      <c r="P310">
        <v>86.965665000000001</v>
      </c>
      <c r="Q310">
        <v>50</v>
      </c>
      <c r="R310">
        <v>50</v>
      </c>
      <c r="S310">
        <v>76.466453999999999</v>
      </c>
      <c r="T310">
        <v>75</v>
      </c>
      <c r="U310">
        <v>50</v>
      </c>
      <c r="V310">
        <v>50</v>
      </c>
      <c r="W310">
        <v>83.190875000000005</v>
      </c>
      <c r="X310">
        <v>50</v>
      </c>
      <c r="Y310">
        <v>50</v>
      </c>
      <c r="Z310">
        <v>75</v>
      </c>
      <c r="AA310">
        <v>70.612201999999996</v>
      </c>
      <c r="AB310">
        <v>47.074801000000001</v>
      </c>
      <c r="AC310">
        <v>50</v>
      </c>
      <c r="AD310">
        <v>87.257056000000006</v>
      </c>
      <c r="AE310">
        <v>50</v>
      </c>
      <c r="AF310">
        <v>50</v>
      </c>
      <c r="AG310" t="s">
        <v>125</v>
      </c>
      <c r="AH310">
        <v>75</v>
      </c>
      <c r="AI310" t="s">
        <v>125</v>
      </c>
      <c r="AJ310" t="s">
        <v>125</v>
      </c>
      <c r="AK310">
        <v>-1.46</v>
      </c>
      <c r="AL310">
        <v>4.38</v>
      </c>
      <c r="AM310" t="s">
        <v>125</v>
      </c>
      <c r="AN310">
        <v>0.79125999999999996</v>
      </c>
      <c r="AO310">
        <v>79.125957</v>
      </c>
      <c r="AP310">
        <v>100</v>
      </c>
      <c r="AQ310">
        <v>0.90442900000000004</v>
      </c>
      <c r="AR310">
        <v>90.442910999999995</v>
      </c>
      <c r="AS310">
        <v>100</v>
      </c>
      <c r="AT310">
        <v>0.75138700000000003</v>
      </c>
      <c r="AU310">
        <v>0.79820500000000005</v>
      </c>
      <c r="AV310">
        <v>75.138687000000004</v>
      </c>
      <c r="AW310">
        <v>100</v>
      </c>
      <c r="AX310">
        <v>0.76554699999999998</v>
      </c>
      <c r="AY310">
        <v>0.92862199999999995</v>
      </c>
      <c r="AZ310">
        <v>76.554682</v>
      </c>
      <c r="BA310">
        <v>100</v>
      </c>
      <c r="BB310" t="s">
        <v>125</v>
      </c>
      <c r="BC310" t="s">
        <v>125</v>
      </c>
      <c r="BD310" t="s">
        <v>125</v>
      </c>
      <c r="BE310" t="s">
        <v>125</v>
      </c>
      <c r="BF310" t="s">
        <v>125</v>
      </c>
      <c r="BG310" t="s">
        <v>125</v>
      </c>
      <c r="BH310">
        <v>0</v>
      </c>
      <c r="BI310">
        <v>0.99196799999999996</v>
      </c>
      <c r="BJ310">
        <v>0.95744700000000005</v>
      </c>
      <c r="BK310">
        <v>1</v>
      </c>
      <c r="BL310">
        <v>0.99196799999999996</v>
      </c>
      <c r="BM310">
        <v>0.95744700000000005</v>
      </c>
      <c r="BN310">
        <v>1</v>
      </c>
      <c r="BO310">
        <v>0.98461500000000002</v>
      </c>
      <c r="BP310" t="s">
        <v>125</v>
      </c>
      <c r="BQ310">
        <v>1</v>
      </c>
      <c r="BR310">
        <v>2.3640999999999999E-2</v>
      </c>
      <c r="BS310">
        <v>50</v>
      </c>
      <c r="BT310">
        <v>50</v>
      </c>
      <c r="BU310">
        <v>3.4883999999999998E-2</v>
      </c>
      <c r="BV310">
        <v>50</v>
      </c>
      <c r="BW310">
        <v>50</v>
      </c>
      <c r="BX310" t="s">
        <v>125</v>
      </c>
      <c r="BY310" t="s">
        <v>125</v>
      </c>
      <c r="BZ310" t="s">
        <v>125</v>
      </c>
      <c r="CA310" t="s">
        <v>125</v>
      </c>
      <c r="CB310" t="s">
        <v>125</v>
      </c>
      <c r="CC310" t="s">
        <v>125</v>
      </c>
      <c r="CD310" t="s">
        <v>125</v>
      </c>
      <c r="CE310" t="s">
        <v>125</v>
      </c>
      <c r="CF310" t="s">
        <v>125</v>
      </c>
      <c r="CG310" t="s">
        <v>125</v>
      </c>
      <c r="CH310" t="s">
        <v>125</v>
      </c>
      <c r="CI310" t="s">
        <v>125</v>
      </c>
      <c r="CJ310" t="s">
        <v>125</v>
      </c>
      <c r="CK310" t="s">
        <v>125</v>
      </c>
      <c r="CL310" t="s">
        <v>125</v>
      </c>
      <c r="CM310" t="s">
        <v>125</v>
      </c>
      <c r="CN310" t="s">
        <v>125</v>
      </c>
      <c r="CO310" t="s">
        <v>125</v>
      </c>
      <c r="CP310" t="s">
        <v>125</v>
      </c>
      <c r="CQ310">
        <v>0.52500000000000002</v>
      </c>
      <c r="CR310">
        <v>0.99173599999999995</v>
      </c>
      <c r="CS310">
        <v>35</v>
      </c>
      <c r="CT310">
        <v>50</v>
      </c>
      <c r="CU310" t="s">
        <v>125</v>
      </c>
      <c r="CV310" t="s">
        <v>125</v>
      </c>
      <c r="CW310" t="s">
        <v>125</v>
      </c>
      <c r="CX310" t="s">
        <v>125</v>
      </c>
      <c r="CY310" t="s">
        <v>125</v>
      </c>
      <c r="CZ310" t="s">
        <v>125</v>
      </c>
      <c r="DA310">
        <v>15.314097</v>
      </c>
      <c r="DB310">
        <v>17.400950000000002</v>
      </c>
      <c r="DC310">
        <v>16.332519999999999</v>
      </c>
      <c r="DD310" t="s">
        <v>125</v>
      </c>
      <c r="DE310">
        <v>0</v>
      </c>
      <c r="DH310" t="s">
        <v>332</v>
      </c>
      <c r="DI310" t="s">
        <v>449</v>
      </c>
      <c r="DJ310">
        <v>1</v>
      </c>
      <c r="DK310">
        <v>1</v>
      </c>
      <c r="DL310">
        <v>1</v>
      </c>
      <c r="DM310">
        <v>1</v>
      </c>
      <c r="DN310">
        <v>0</v>
      </c>
      <c r="DO310">
        <v>0</v>
      </c>
      <c r="DQ310" t="s">
        <v>126</v>
      </c>
    </row>
    <row r="311" spans="1:121" x14ac:dyDescent="0.15">
      <c r="A311">
        <v>2018</v>
      </c>
      <c r="B311" t="s">
        <v>219</v>
      </c>
      <c r="C311" t="str">
        <f>"0260011"</f>
        <v>0260011</v>
      </c>
      <c r="D311" t="s">
        <v>450</v>
      </c>
      <c r="E311" t="str">
        <f>"0260111"</f>
        <v>0260111</v>
      </c>
      <c r="F311" t="s">
        <v>328</v>
      </c>
      <c r="G311" t="s">
        <v>329</v>
      </c>
      <c r="H311">
        <v>6</v>
      </c>
      <c r="I311" t="s">
        <v>330</v>
      </c>
      <c r="J311" t="s">
        <v>331</v>
      </c>
      <c r="K311">
        <v>696.01475600000003</v>
      </c>
      <c r="L311">
        <v>800</v>
      </c>
      <c r="M311">
        <v>87.001844000000006</v>
      </c>
      <c r="N311">
        <v>1</v>
      </c>
      <c r="O311">
        <v>0</v>
      </c>
      <c r="P311">
        <v>82.664631</v>
      </c>
      <c r="Q311">
        <v>50</v>
      </c>
      <c r="R311">
        <v>50</v>
      </c>
      <c r="S311">
        <v>74.818884999999995</v>
      </c>
      <c r="T311">
        <v>75</v>
      </c>
      <c r="U311">
        <v>49.879257000000003</v>
      </c>
      <c r="V311">
        <v>50</v>
      </c>
      <c r="W311">
        <v>78.795942999999994</v>
      </c>
      <c r="X311">
        <v>50</v>
      </c>
      <c r="Y311">
        <v>50</v>
      </c>
      <c r="Z311">
        <v>75</v>
      </c>
      <c r="AA311">
        <v>67.313090000000003</v>
      </c>
      <c r="AB311">
        <v>44.875393000000003</v>
      </c>
      <c r="AC311">
        <v>50</v>
      </c>
      <c r="AD311">
        <v>75.225806000000006</v>
      </c>
      <c r="AE311">
        <v>50</v>
      </c>
      <c r="AF311">
        <v>50</v>
      </c>
      <c r="AG311" t="s">
        <v>125</v>
      </c>
      <c r="AH311" t="s">
        <v>125</v>
      </c>
      <c r="AI311" t="s">
        <v>125</v>
      </c>
      <c r="AJ311" t="s">
        <v>125</v>
      </c>
      <c r="AK311">
        <v>0.18</v>
      </c>
      <c r="AL311">
        <v>7.68</v>
      </c>
      <c r="AM311" t="s">
        <v>125</v>
      </c>
      <c r="AN311">
        <v>0.78450200000000003</v>
      </c>
      <c r="AO311">
        <v>78.450205999999994</v>
      </c>
      <c r="AP311">
        <v>100</v>
      </c>
      <c r="AQ311">
        <v>0.83210200000000001</v>
      </c>
      <c r="AR311">
        <v>83.210223999999997</v>
      </c>
      <c r="AS311">
        <v>100</v>
      </c>
      <c r="AT311">
        <v>0.73007</v>
      </c>
      <c r="AU311">
        <v>0.81758799999999998</v>
      </c>
      <c r="AV311">
        <v>73.006983000000005</v>
      </c>
      <c r="AW311">
        <v>100</v>
      </c>
      <c r="AX311">
        <v>0.77307000000000003</v>
      </c>
      <c r="AY311">
        <v>0.86798500000000001</v>
      </c>
      <c r="AZ311">
        <v>77.306977000000003</v>
      </c>
      <c r="BA311">
        <v>100</v>
      </c>
      <c r="BB311" t="s">
        <v>125</v>
      </c>
      <c r="BC311" t="s">
        <v>125</v>
      </c>
      <c r="BD311" t="s">
        <v>125</v>
      </c>
      <c r="BE311" t="s">
        <v>125</v>
      </c>
      <c r="BF311" t="s">
        <v>125</v>
      </c>
      <c r="BG311" t="s">
        <v>125</v>
      </c>
      <c r="BH311">
        <v>0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0.96</v>
      </c>
      <c r="BP311" t="s">
        <v>125</v>
      </c>
      <c r="BQ311" t="s">
        <v>125</v>
      </c>
      <c r="BR311">
        <v>1.5706999999999999E-2</v>
      </c>
      <c r="BS311">
        <v>50</v>
      </c>
      <c r="BT311">
        <v>50</v>
      </c>
      <c r="BU311">
        <v>1.4925000000000001E-2</v>
      </c>
      <c r="BV311">
        <v>50</v>
      </c>
      <c r="BW311">
        <v>50</v>
      </c>
      <c r="BX311" t="s">
        <v>125</v>
      </c>
      <c r="BY311" t="s">
        <v>125</v>
      </c>
      <c r="BZ311" t="s">
        <v>125</v>
      </c>
      <c r="CA311" t="s">
        <v>125</v>
      </c>
      <c r="CB311" t="s">
        <v>125</v>
      </c>
      <c r="CC311" t="s">
        <v>125</v>
      </c>
      <c r="CD311" t="s">
        <v>125</v>
      </c>
      <c r="CE311" t="s">
        <v>125</v>
      </c>
      <c r="CF311" t="s">
        <v>125</v>
      </c>
      <c r="CG311" t="s">
        <v>125</v>
      </c>
      <c r="CH311" t="s">
        <v>125</v>
      </c>
      <c r="CI311" t="s">
        <v>125</v>
      </c>
      <c r="CJ311" t="s">
        <v>125</v>
      </c>
      <c r="CK311" t="s">
        <v>125</v>
      </c>
      <c r="CL311" t="s">
        <v>125</v>
      </c>
      <c r="CM311" t="s">
        <v>125</v>
      </c>
      <c r="CN311" t="s">
        <v>125</v>
      </c>
      <c r="CO311" t="s">
        <v>125</v>
      </c>
      <c r="CP311" t="s">
        <v>125</v>
      </c>
      <c r="CQ311">
        <v>0.58928599999999998</v>
      </c>
      <c r="CR311">
        <v>0.982456</v>
      </c>
      <c r="CS311">
        <v>39.285713999999999</v>
      </c>
      <c r="CT311">
        <v>50</v>
      </c>
      <c r="CU311" t="s">
        <v>125</v>
      </c>
      <c r="CV311" t="s">
        <v>125</v>
      </c>
      <c r="CW311" t="s">
        <v>125</v>
      </c>
      <c r="CX311" t="s">
        <v>125</v>
      </c>
      <c r="CY311" t="s">
        <v>125</v>
      </c>
      <c r="CZ311" t="s">
        <v>125</v>
      </c>
      <c r="DA311">
        <v>15.314097</v>
      </c>
      <c r="DB311">
        <v>17.400950000000002</v>
      </c>
      <c r="DC311">
        <v>16.332519999999999</v>
      </c>
      <c r="DD311" t="s">
        <v>125</v>
      </c>
      <c r="DE311">
        <v>0</v>
      </c>
      <c r="DH311" t="s">
        <v>332</v>
      </c>
      <c r="DI311" t="s">
        <v>451</v>
      </c>
      <c r="DJ311">
        <v>1</v>
      </c>
      <c r="DK311">
        <v>1</v>
      </c>
      <c r="DL311">
        <v>0</v>
      </c>
      <c r="DM311">
        <v>1</v>
      </c>
      <c r="DN311">
        <v>0</v>
      </c>
      <c r="DO311">
        <v>0</v>
      </c>
      <c r="DQ311" t="s">
        <v>126</v>
      </c>
    </row>
    <row r="312" spans="1:121" x14ac:dyDescent="0.15">
      <c r="A312">
        <v>2018</v>
      </c>
      <c r="B312" t="s">
        <v>220</v>
      </c>
      <c r="C312" t="str">
        <f>"0270011"</f>
        <v>0270011</v>
      </c>
      <c r="D312" t="s">
        <v>452</v>
      </c>
      <c r="E312" t="str">
        <f>"0270111"</f>
        <v>0270111</v>
      </c>
      <c r="F312" t="s">
        <v>328</v>
      </c>
      <c r="G312">
        <v>4</v>
      </c>
      <c r="H312">
        <v>5</v>
      </c>
      <c r="I312" t="s">
        <v>330</v>
      </c>
      <c r="J312" t="s">
        <v>331</v>
      </c>
      <c r="K312">
        <v>751.80488700000001</v>
      </c>
      <c r="L312">
        <v>950</v>
      </c>
      <c r="M312">
        <v>79.137356999999994</v>
      </c>
      <c r="N312">
        <v>2</v>
      </c>
      <c r="O312">
        <v>0</v>
      </c>
      <c r="P312">
        <v>73.603904999999997</v>
      </c>
      <c r="Q312">
        <v>49.069270000000003</v>
      </c>
      <c r="R312">
        <v>50</v>
      </c>
      <c r="S312">
        <v>66.148864000000003</v>
      </c>
      <c r="T312">
        <v>75</v>
      </c>
      <c r="U312">
        <v>44.099243000000001</v>
      </c>
      <c r="V312">
        <v>50</v>
      </c>
      <c r="W312">
        <v>71.268170999999995</v>
      </c>
      <c r="X312">
        <v>47.512113999999997</v>
      </c>
      <c r="Y312">
        <v>50</v>
      </c>
      <c r="Z312">
        <v>75</v>
      </c>
      <c r="AA312">
        <v>63.840606000000001</v>
      </c>
      <c r="AB312">
        <v>42.560403999999998</v>
      </c>
      <c r="AC312">
        <v>50</v>
      </c>
      <c r="AD312">
        <v>70.973078000000001</v>
      </c>
      <c r="AE312">
        <v>47.315384999999999</v>
      </c>
      <c r="AF312">
        <v>50</v>
      </c>
      <c r="AG312">
        <v>65.354838999999998</v>
      </c>
      <c r="AH312">
        <v>75</v>
      </c>
      <c r="AI312">
        <v>43.569892000000003</v>
      </c>
      <c r="AJ312">
        <v>50</v>
      </c>
      <c r="AK312">
        <v>8.85</v>
      </c>
      <c r="AL312">
        <v>11.15</v>
      </c>
      <c r="AM312">
        <v>9.64</v>
      </c>
      <c r="AN312">
        <v>0.67323900000000003</v>
      </c>
      <c r="AO312">
        <v>67.323868000000004</v>
      </c>
      <c r="AP312">
        <v>100</v>
      </c>
      <c r="AQ312">
        <v>0.85626400000000003</v>
      </c>
      <c r="AR312">
        <v>85.626429999999999</v>
      </c>
      <c r="AS312">
        <v>100</v>
      </c>
      <c r="AT312">
        <v>0.62393600000000005</v>
      </c>
      <c r="AU312">
        <v>0.72213700000000003</v>
      </c>
      <c r="AV312">
        <v>62.393577999999998</v>
      </c>
      <c r="AW312">
        <v>100</v>
      </c>
      <c r="AX312">
        <v>0.80354800000000004</v>
      </c>
      <c r="AY312">
        <v>0.90854900000000005</v>
      </c>
      <c r="AZ312">
        <v>80.354760999999996</v>
      </c>
      <c r="BA312">
        <v>100</v>
      </c>
      <c r="BB312">
        <v>0.781586</v>
      </c>
      <c r="BC312">
        <v>39.079278000000002</v>
      </c>
      <c r="BD312">
        <v>50</v>
      </c>
      <c r="BE312">
        <v>0.53597799999999995</v>
      </c>
      <c r="BF312">
        <v>26.798901999999998</v>
      </c>
      <c r="BG312">
        <v>50</v>
      </c>
      <c r="BH312">
        <v>0</v>
      </c>
      <c r="BI312">
        <v>0.99199999999999999</v>
      </c>
      <c r="BJ312">
        <v>0.99206300000000003</v>
      </c>
      <c r="BK312">
        <v>0.99193500000000001</v>
      </c>
      <c r="BL312">
        <v>0.99199999999999999</v>
      </c>
      <c r="BM312">
        <v>0.99206300000000003</v>
      </c>
      <c r="BN312">
        <v>0.99193500000000001</v>
      </c>
      <c r="BO312">
        <v>0.99285699999999999</v>
      </c>
      <c r="BP312">
        <v>1</v>
      </c>
      <c r="BQ312">
        <v>0.98550700000000002</v>
      </c>
      <c r="BR312">
        <v>3.5999999999999997E-2</v>
      </c>
      <c r="BS312">
        <v>50</v>
      </c>
      <c r="BT312">
        <v>50</v>
      </c>
      <c r="BU312">
        <v>5.5118E-2</v>
      </c>
      <c r="BV312">
        <v>48.976377999999997</v>
      </c>
      <c r="BW312">
        <v>50</v>
      </c>
      <c r="BX312" t="s">
        <v>125</v>
      </c>
      <c r="BY312" t="s">
        <v>125</v>
      </c>
      <c r="BZ312" t="s">
        <v>125</v>
      </c>
      <c r="CA312" t="s">
        <v>125</v>
      </c>
      <c r="CB312" t="s">
        <v>125</v>
      </c>
      <c r="CC312" t="s">
        <v>125</v>
      </c>
      <c r="CD312" t="s">
        <v>125</v>
      </c>
      <c r="CE312" t="s">
        <v>125</v>
      </c>
      <c r="CF312" t="s">
        <v>125</v>
      </c>
      <c r="CG312" t="s">
        <v>125</v>
      </c>
      <c r="CH312" t="s">
        <v>125</v>
      </c>
      <c r="CI312" t="s">
        <v>125</v>
      </c>
      <c r="CJ312" t="s">
        <v>125</v>
      </c>
      <c r="CK312" t="s">
        <v>125</v>
      </c>
      <c r="CL312" t="s">
        <v>125</v>
      </c>
      <c r="CM312" t="s">
        <v>125</v>
      </c>
      <c r="CN312" t="s">
        <v>125</v>
      </c>
      <c r="CO312" t="s">
        <v>125</v>
      </c>
      <c r="CP312" t="s">
        <v>125</v>
      </c>
      <c r="CQ312">
        <v>0.25688100000000003</v>
      </c>
      <c r="CR312">
        <v>0.99090900000000004</v>
      </c>
      <c r="CS312">
        <v>17.125381999999998</v>
      </c>
      <c r="CT312">
        <v>50</v>
      </c>
      <c r="CU312" t="s">
        <v>125</v>
      </c>
      <c r="CV312" t="s">
        <v>125</v>
      </c>
      <c r="CW312" t="s">
        <v>125</v>
      </c>
      <c r="CX312" t="s">
        <v>125</v>
      </c>
      <c r="CY312" t="s">
        <v>125</v>
      </c>
      <c r="CZ312" t="s">
        <v>125</v>
      </c>
      <c r="DA312">
        <v>15.314097</v>
      </c>
      <c r="DB312">
        <v>17.400950000000002</v>
      </c>
      <c r="DC312">
        <v>16.332519999999999</v>
      </c>
      <c r="DD312" t="s">
        <v>125</v>
      </c>
      <c r="DE312">
        <v>0</v>
      </c>
      <c r="DH312" t="s">
        <v>332</v>
      </c>
      <c r="DI312" t="s">
        <v>453</v>
      </c>
      <c r="DJ312">
        <v>0</v>
      </c>
      <c r="DK312">
        <v>0</v>
      </c>
      <c r="DL312">
        <v>1</v>
      </c>
      <c r="DM312">
        <v>0</v>
      </c>
      <c r="DN312">
        <v>1</v>
      </c>
      <c r="DO312">
        <v>0</v>
      </c>
      <c r="DQ312" t="s">
        <v>126</v>
      </c>
    </row>
    <row r="313" spans="1:121" x14ac:dyDescent="0.15">
      <c r="A313">
        <v>2018</v>
      </c>
      <c r="B313" t="s">
        <v>220</v>
      </c>
      <c r="C313" t="str">
        <f>"0270011"</f>
        <v>0270011</v>
      </c>
      <c r="D313" t="s">
        <v>454</v>
      </c>
      <c r="E313" t="str">
        <f>"0275111"</f>
        <v>0275111</v>
      </c>
      <c r="F313" t="s">
        <v>328</v>
      </c>
      <c r="G313">
        <v>6</v>
      </c>
      <c r="H313">
        <v>8</v>
      </c>
      <c r="J313" t="s">
        <v>331</v>
      </c>
      <c r="K313">
        <v>674.01605099999995</v>
      </c>
      <c r="L313">
        <v>900</v>
      </c>
      <c r="M313">
        <v>74.890671999999995</v>
      </c>
      <c r="N313">
        <v>3</v>
      </c>
      <c r="O313">
        <v>0</v>
      </c>
      <c r="P313">
        <v>70.650414999999995</v>
      </c>
      <c r="Q313">
        <v>47.100276999999998</v>
      </c>
      <c r="R313">
        <v>50</v>
      </c>
      <c r="S313">
        <v>60.386150000000001</v>
      </c>
      <c r="T313">
        <v>75</v>
      </c>
      <c r="U313">
        <v>40.257432999999999</v>
      </c>
      <c r="V313">
        <v>50</v>
      </c>
      <c r="W313">
        <v>67.262195000000006</v>
      </c>
      <c r="X313">
        <v>44.841462999999997</v>
      </c>
      <c r="Y313">
        <v>50</v>
      </c>
      <c r="Z313">
        <v>73.675483</v>
      </c>
      <c r="AA313">
        <v>56.532268999999999</v>
      </c>
      <c r="AB313">
        <v>37.688178999999998</v>
      </c>
      <c r="AC313">
        <v>50</v>
      </c>
      <c r="AD313">
        <v>66.667394000000002</v>
      </c>
      <c r="AE313">
        <v>44.444929000000002</v>
      </c>
      <c r="AF313">
        <v>50</v>
      </c>
      <c r="AG313">
        <v>55.729443000000003</v>
      </c>
      <c r="AH313">
        <v>72.033181999999996</v>
      </c>
      <c r="AI313">
        <v>37.152962000000002</v>
      </c>
      <c r="AJ313">
        <v>50</v>
      </c>
      <c r="AK313">
        <v>14.61</v>
      </c>
      <c r="AL313">
        <v>17.14</v>
      </c>
      <c r="AM313">
        <v>16.3</v>
      </c>
      <c r="AN313">
        <v>0.58581499999999997</v>
      </c>
      <c r="AO313">
        <v>58.581451999999999</v>
      </c>
      <c r="AP313">
        <v>100</v>
      </c>
      <c r="AQ313">
        <v>0.67488700000000001</v>
      </c>
      <c r="AR313">
        <v>67.488737999999998</v>
      </c>
      <c r="AS313">
        <v>100</v>
      </c>
      <c r="AT313">
        <v>0.58666099999999999</v>
      </c>
      <c r="AU313">
        <v>0.58531500000000003</v>
      </c>
      <c r="AV313">
        <v>58.666120999999997</v>
      </c>
      <c r="AW313">
        <v>100</v>
      </c>
      <c r="AX313">
        <v>0.67483899999999997</v>
      </c>
      <c r="AY313">
        <v>0.67491599999999996</v>
      </c>
      <c r="AZ313">
        <v>67.483907000000002</v>
      </c>
      <c r="BA313">
        <v>100</v>
      </c>
      <c r="BB313" t="s">
        <v>125</v>
      </c>
      <c r="BC313" t="s">
        <v>125</v>
      </c>
      <c r="BD313" t="s">
        <v>125</v>
      </c>
      <c r="BE313" t="s">
        <v>125</v>
      </c>
      <c r="BF313" t="s">
        <v>125</v>
      </c>
      <c r="BG313" t="s">
        <v>125</v>
      </c>
      <c r="BH313">
        <v>1</v>
      </c>
      <c r="BI313">
        <v>0.96363600000000005</v>
      </c>
      <c r="BJ313">
        <v>0.94736799999999999</v>
      </c>
      <c r="BK313">
        <v>0.97397800000000001</v>
      </c>
      <c r="BL313">
        <v>0.96363600000000005</v>
      </c>
      <c r="BM313">
        <v>0.94736799999999999</v>
      </c>
      <c r="BN313">
        <v>0.97397800000000001</v>
      </c>
      <c r="BO313">
        <v>0.95857999999999999</v>
      </c>
      <c r="BP313">
        <v>0.93333299999999997</v>
      </c>
      <c r="BQ313">
        <v>0.97247700000000004</v>
      </c>
      <c r="BR313">
        <v>5.6561E-2</v>
      </c>
      <c r="BS313">
        <v>48.687783000000003</v>
      </c>
      <c r="BT313">
        <v>50</v>
      </c>
      <c r="BU313">
        <v>8.7719000000000005E-2</v>
      </c>
      <c r="BV313">
        <v>42.456139999999998</v>
      </c>
      <c r="BW313">
        <v>50</v>
      </c>
      <c r="BX313" t="s">
        <v>125</v>
      </c>
      <c r="BY313" t="s">
        <v>125</v>
      </c>
      <c r="BZ313" t="s">
        <v>125</v>
      </c>
      <c r="CA313" t="s">
        <v>125</v>
      </c>
      <c r="CB313" t="s">
        <v>125</v>
      </c>
      <c r="CC313" t="s">
        <v>125</v>
      </c>
      <c r="CD313">
        <v>0.94814799999999999</v>
      </c>
      <c r="CE313">
        <v>50</v>
      </c>
      <c r="CF313">
        <v>50</v>
      </c>
      <c r="CG313" t="s">
        <v>125</v>
      </c>
      <c r="CH313" t="s">
        <v>125</v>
      </c>
      <c r="CI313" t="s">
        <v>125</v>
      </c>
      <c r="CJ313" t="s">
        <v>125</v>
      </c>
      <c r="CK313" t="s">
        <v>125</v>
      </c>
      <c r="CL313" t="s">
        <v>125</v>
      </c>
      <c r="CM313" t="s">
        <v>125</v>
      </c>
      <c r="CN313" t="s">
        <v>125</v>
      </c>
      <c r="CO313" t="s">
        <v>125</v>
      </c>
      <c r="CP313" t="s">
        <v>125</v>
      </c>
      <c r="CQ313">
        <v>0.4375</v>
      </c>
      <c r="CR313">
        <v>1.0201340000000001</v>
      </c>
      <c r="CS313">
        <v>29.166667</v>
      </c>
      <c r="CT313">
        <v>50</v>
      </c>
      <c r="CU313" t="s">
        <v>125</v>
      </c>
      <c r="CV313" t="s">
        <v>125</v>
      </c>
      <c r="CW313" t="s">
        <v>125</v>
      </c>
      <c r="CX313" t="s">
        <v>125</v>
      </c>
      <c r="CY313" t="s">
        <v>125</v>
      </c>
      <c r="CZ313" t="s">
        <v>125</v>
      </c>
      <c r="DA313">
        <v>15.314097</v>
      </c>
      <c r="DB313">
        <v>17.400950000000002</v>
      </c>
      <c r="DC313">
        <v>16.332519999999999</v>
      </c>
      <c r="DD313" t="s">
        <v>125</v>
      </c>
      <c r="DE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Q313" t="s">
        <v>126</v>
      </c>
    </row>
    <row r="314" spans="1:121" x14ac:dyDescent="0.15">
      <c r="A314">
        <v>2018</v>
      </c>
      <c r="B314" t="s">
        <v>220</v>
      </c>
      <c r="C314" t="str">
        <f>"0270011"</f>
        <v>0270011</v>
      </c>
      <c r="D314" t="s">
        <v>455</v>
      </c>
      <c r="E314" t="str">
        <f>"0270311"</f>
        <v>0270311</v>
      </c>
      <c r="F314" t="s">
        <v>328</v>
      </c>
      <c r="G314" t="s">
        <v>329</v>
      </c>
      <c r="H314">
        <v>3</v>
      </c>
      <c r="I314" t="s">
        <v>330</v>
      </c>
      <c r="J314" t="s">
        <v>331</v>
      </c>
      <c r="K314">
        <v>496.291067</v>
      </c>
      <c r="L314">
        <v>600</v>
      </c>
      <c r="M314">
        <v>82.715177999999995</v>
      </c>
      <c r="N314">
        <v>2</v>
      </c>
      <c r="O314">
        <v>0</v>
      </c>
      <c r="P314">
        <v>70.229640000000003</v>
      </c>
      <c r="Q314">
        <v>93.639520000000005</v>
      </c>
      <c r="R314">
        <v>100</v>
      </c>
      <c r="S314">
        <v>66.417812999999995</v>
      </c>
      <c r="T314">
        <v>74.188075999999995</v>
      </c>
      <c r="U314">
        <v>88.557084000000003</v>
      </c>
      <c r="V314">
        <v>100</v>
      </c>
      <c r="W314">
        <v>63.551712000000002</v>
      </c>
      <c r="X314">
        <v>84.735615999999993</v>
      </c>
      <c r="Y314">
        <v>100</v>
      </c>
      <c r="Z314">
        <v>69.278846000000001</v>
      </c>
      <c r="AA314">
        <v>58.036693999999997</v>
      </c>
      <c r="AB314">
        <v>77.382259000000005</v>
      </c>
      <c r="AC314">
        <v>100</v>
      </c>
      <c r="AD314" t="s">
        <v>125</v>
      </c>
      <c r="AE314" t="s">
        <v>125</v>
      </c>
      <c r="AF314" t="s">
        <v>125</v>
      </c>
      <c r="AG314" t="s">
        <v>125</v>
      </c>
      <c r="AH314" t="s">
        <v>125</v>
      </c>
      <c r="AI314" t="s">
        <v>125</v>
      </c>
      <c r="AJ314" t="s">
        <v>125</v>
      </c>
      <c r="AK314">
        <v>7.77</v>
      </c>
      <c r="AL314">
        <v>11.24</v>
      </c>
      <c r="AM314" t="s">
        <v>125</v>
      </c>
      <c r="AN314" t="s">
        <v>125</v>
      </c>
      <c r="AO314" t="s">
        <v>125</v>
      </c>
      <c r="AP314" t="s">
        <v>125</v>
      </c>
      <c r="AQ314" t="s">
        <v>125</v>
      </c>
      <c r="AR314" t="s">
        <v>125</v>
      </c>
      <c r="AS314" t="s">
        <v>125</v>
      </c>
      <c r="AT314" t="s">
        <v>125</v>
      </c>
      <c r="AU314" t="s">
        <v>125</v>
      </c>
      <c r="AV314" t="s">
        <v>125</v>
      </c>
      <c r="AW314" t="s">
        <v>125</v>
      </c>
      <c r="AX314" t="s">
        <v>125</v>
      </c>
      <c r="AY314" t="s">
        <v>125</v>
      </c>
      <c r="AZ314" t="s">
        <v>125</v>
      </c>
      <c r="BA314" t="s">
        <v>125</v>
      </c>
      <c r="BB314">
        <v>0.50792999999999999</v>
      </c>
      <c r="BC314">
        <v>25.396512000000001</v>
      </c>
      <c r="BD314">
        <v>50</v>
      </c>
      <c r="BE314">
        <v>0.59030800000000005</v>
      </c>
      <c r="BF314">
        <v>29.5154</v>
      </c>
      <c r="BG314">
        <v>50</v>
      </c>
      <c r="BH314">
        <v>0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 t="s">
        <v>125</v>
      </c>
      <c r="BP314" t="s">
        <v>125</v>
      </c>
      <c r="BQ314" t="s">
        <v>125</v>
      </c>
      <c r="BR314">
        <v>4.4226000000000001E-2</v>
      </c>
      <c r="BS314">
        <v>50</v>
      </c>
      <c r="BT314">
        <v>50</v>
      </c>
      <c r="BU314">
        <v>6.4676999999999998E-2</v>
      </c>
      <c r="BV314">
        <v>47.064677000000003</v>
      </c>
      <c r="BW314">
        <v>50</v>
      </c>
      <c r="BX314" t="s">
        <v>125</v>
      </c>
      <c r="BY314" t="s">
        <v>125</v>
      </c>
      <c r="BZ314" t="s">
        <v>125</v>
      </c>
      <c r="CA314" t="s">
        <v>125</v>
      </c>
      <c r="CB314" t="s">
        <v>125</v>
      </c>
      <c r="CC314" t="s">
        <v>125</v>
      </c>
      <c r="CD314" t="s">
        <v>125</v>
      </c>
      <c r="CE314" t="s">
        <v>125</v>
      </c>
      <c r="CF314" t="s">
        <v>125</v>
      </c>
      <c r="CG314" t="s">
        <v>125</v>
      </c>
      <c r="CH314" t="s">
        <v>125</v>
      </c>
      <c r="CI314" t="s">
        <v>125</v>
      </c>
      <c r="CJ314" t="s">
        <v>125</v>
      </c>
      <c r="CK314" t="s">
        <v>125</v>
      </c>
      <c r="CL314" t="s">
        <v>125</v>
      </c>
      <c r="CM314" t="s">
        <v>125</v>
      </c>
      <c r="CN314" t="s">
        <v>125</v>
      </c>
      <c r="CO314" t="s">
        <v>125</v>
      </c>
      <c r="CP314" t="s">
        <v>125</v>
      </c>
      <c r="CQ314" t="s">
        <v>125</v>
      </c>
      <c r="CR314" t="s">
        <v>125</v>
      </c>
      <c r="CS314" t="s">
        <v>125</v>
      </c>
      <c r="CT314" t="s">
        <v>125</v>
      </c>
      <c r="CU314" t="s">
        <v>125</v>
      </c>
      <c r="CV314" t="s">
        <v>125</v>
      </c>
      <c r="CW314" t="s">
        <v>125</v>
      </c>
      <c r="CX314" t="s">
        <v>125</v>
      </c>
      <c r="CY314" t="s">
        <v>125</v>
      </c>
      <c r="CZ314" t="s">
        <v>125</v>
      </c>
      <c r="DA314">
        <v>15.314097</v>
      </c>
      <c r="DB314">
        <v>17.400950000000002</v>
      </c>
      <c r="DC314">
        <v>16.332519999999999</v>
      </c>
      <c r="DD314" t="s">
        <v>125</v>
      </c>
      <c r="DE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Q314" t="s">
        <v>126</v>
      </c>
    </row>
    <row r="315" spans="1:121" x14ac:dyDescent="0.15">
      <c r="A315">
        <v>2018</v>
      </c>
      <c r="B315" t="s">
        <v>220</v>
      </c>
      <c r="C315" t="str">
        <f>"0270011"</f>
        <v>0270011</v>
      </c>
      <c r="D315" t="s">
        <v>456</v>
      </c>
      <c r="E315" t="str">
        <f>"0276111"</f>
        <v>0276111</v>
      </c>
      <c r="F315" t="s">
        <v>328</v>
      </c>
      <c r="G315">
        <v>9</v>
      </c>
      <c r="H315">
        <v>12</v>
      </c>
      <c r="J315" t="s">
        <v>331</v>
      </c>
      <c r="K315">
        <v>1116.5686679999999</v>
      </c>
      <c r="L315">
        <v>1450</v>
      </c>
      <c r="M315">
        <v>77.004735999999994</v>
      </c>
      <c r="N315">
        <v>3</v>
      </c>
      <c r="O315">
        <v>0</v>
      </c>
      <c r="P315">
        <v>61.983015000000002</v>
      </c>
      <c r="Q315">
        <v>123.96603</v>
      </c>
      <c r="R315">
        <v>150</v>
      </c>
      <c r="S315">
        <v>53.919643000000001</v>
      </c>
      <c r="T315">
        <v>66.453795</v>
      </c>
      <c r="U315">
        <v>107.839286</v>
      </c>
      <c r="V315">
        <v>150</v>
      </c>
      <c r="W315">
        <v>53.587049</v>
      </c>
      <c r="X315">
        <v>107.174098</v>
      </c>
      <c r="Y315">
        <v>150</v>
      </c>
      <c r="Z315">
        <v>57.632013000000001</v>
      </c>
      <c r="AA315">
        <v>46.291666999999997</v>
      </c>
      <c r="AB315">
        <v>92.583332999999996</v>
      </c>
      <c r="AC315">
        <v>150</v>
      </c>
      <c r="AD315">
        <v>59.865385000000003</v>
      </c>
      <c r="AE315">
        <v>79.820513000000005</v>
      </c>
      <c r="AF315">
        <v>100</v>
      </c>
      <c r="AG315">
        <v>56.541209000000002</v>
      </c>
      <c r="AH315">
        <v>61.726922999999999</v>
      </c>
      <c r="AI315">
        <v>75.388278</v>
      </c>
      <c r="AJ315">
        <v>100</v>
      </c>
      <c r="AK315">
        <v>12.53</v>
      </c>
      <c r="AL315">
        <v>11.34</v>
      </c>
      <c r="AM315">
        <v>5.18</v>
      </c>
      <c r="AN315" t="s">
        <v>125</v>
      </c>
      <c r="AO315" t="s">
        <v>125</v>
      </c>
      <c r="AP315" t="s">
        <v>125</v>
      </c>
      <c r="AQ315" t="s">
        <v>125</v>
      </c>
      <c r="AR315" t="s">
        <v>125</v>
      </c>
      <c r="AS315" t="s">
        <v>125</v>
      </c>
      <c r="AT315" t="s">
        <v>125</v>
      </c>
      <c r="AU315" t="s">
        <v>125</v>
      </c>
      <c r="AV315" t="s">
        <v>125</v>
      </c>
      <c r="AW315" t="s">
        <v>125</v>
      </c>
      <c r="AX315" t="s">
        <v>125</v>
      </c>
      <c r="AY315" t="s">
        <v>125</v>
      </c>
      <c r="AZ315" t="s">
        <v>125</v>
      </c>
      <c r="BA315" t="s">
        <v>125</v>
      </c>
      <c r="BB315" t="s">
        <v>125</v>
      </c>
      <c r="BC315" t="s">
        <v>125</v>
      </c>
      <c r="BD315" t="s">
        <v>125</v>
      </c>
      <c r="BE315" t="s">
        <v>125</v>
      </c>
      <c r="BF315" t="s">
        <v>125</v>
      </c>
      <c r="BG315" t="s">
        <v>125</v>
      </c>
      <c r="BH315">
        <v>0</v>
      </c>
      <c r="BI315">
        <v>0.99382700000000002</v>
      </c>
      <c r="BJ315">
        <v>1</v>
      </c>
      <c r="BK315">
        <v>0.99019599999999997</v>
      </c>
      <c r="BL315">
        <v>0.99382700000000002</v>
      </c>
      <c r="BM315">
        <v>1</v>
      </c>
      <c r="BN315">
        <v>0.99019599999999997</v>
      </c>
      <c r="BO315">
        <v>0.981595</v>
      </c>
      <c r="BP315">
        <v>1</v>
      </c>
      <c r="BQ315">
        <v>0.97087400000000001</v>
      </c>
      <c r="BR315">
        <v>0.13253000000000001</v>
      </c>
      <c r="BS315">
        <v>33.493976000000004</v>
      </c>
      <c r="BT315">
        <v>50</v>
      </c>
      <c r="BU315">
        <v>0.19905200000000001</v>
      </c>
      <c r="BV315">
        <v>20.189572999999999</v>
      </c>
      <c r="BW315">
        <v>50</v>
      </c>
      <c r="BX315">
        <v>0.87171100000000001</v>
      </c>
      <c r="BY315">
        <v>50</v>
      </c>
      <c r="BZ315">
        <v>50</v>
      </c>
      <c r="CA315">
        <v>0.49013200000000001</v>
      </c>
      <c r="CB315">
        <v>32.675438999999997</v>
      </c>
      <c r="CC315">
        <v>50</v>
      </c>
      <c r="CD315">
        <v>0.93478300000000003</v>
      </c>
      <c r="CE315">
        <v>49.722479</v>
      </c>
      <c r="CF315">
        <v>50</v>
      </c>
      <c r="CG315">
        <v>0.91603100000000004</v>
      </c>
      <c r="CH315">
        <v>97.450057000000001</v>
      </c>
      <c r="CI315">
        <v>100</v>
      </c>
      <c r="CJ315">
        <v>1</v>
      </c>
      <c r="CK315">
        <v>0.72340400000000005</v>
      </c>
      <c r="CL315">
        <v>76.957899999999995</v>
      </c>
      <c r="CM315">
        <v>100</v>
      </c>
      <c r="CN315">
        <v>0.73809499999999995</v>
      </c>
      <c r="CO315">
        <v>98.412698000000006</v>
      </c>
      <c r="CP315">
        <v>100</v>
      </c>
      <c r="CQ315">
        <v>0.56428599999999995</v>
      </c>
      <c r="CR315">
        <v>1</v>
      </c>
      <c r="CS315">
        <v>37.619047999999999</v>
      </c>
      <c r="CT315">
        <v>50</v>
      </c>
      <c r="CU315">
        <v>0.399312</v>
      </c>
      <c r="CV315">
        <v>33.275961000000002</v>
      </c>
      <c r="CW315">
        <v>50</v>
      </c>
      <c r="CX315">
        <v>0.72340400000000005</v>
      </c>
      <c r="CY315">
        <v>0.94</v>
      </c>
      <c r="CZ315">
        <v>0.21659600000000001</v>
      </c>
      <c r="DA315">
        <v>15.314097</v>
      </c>
      <c r="DB315">
        <v>17.400950000000002</v>
      </c>
      <c r="DC315">
        <v>16.332519999999999</v>
      </c>
      <c r="DD315">
        <v>7.9891730000000001</v>
      </c>
      <c r="DE315">
        <v>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Q315" t="s">
        <v>126</v>
      </c>
    </row>
    <row r="316" spans="1:121" x14ac:dyDescent="0.15">
      <c r="A316">
        <v>2018</v>
      </c>
      <c r="B316" t="s">
        <v>221</v>
      </c>
      <c r="C316" t="str">
        <f>"0280011"</f>
        <v>0280011</v>
      </c>
      <c r="D316" t="s">
        <v>457</v>
      </c>
      <c r="E316" t="str">
        <f>"0286111"</f>
        <v>0286111</v>
      </c>
      <c r="F316" t="s">
        <v>328</v>
      </c>
      <c r="G316">
        <v>9</v>
      </c>
      <c r="H316">
        <v>12</v>
      </c>
      <c r="I316" t="s">
        <v>330</v>
      </c>
      <c r="J316" t="s">
        <v>331</v>
      </c>
      <c r="K316">
        <v>1154.3150450000001</v>
      </c>
      <c r="L316">
        <v>1450</v>
      </c>
      <c r="M316">
        <v>79.607934</v>
      </c>
      <c r="N316">
        <v>3</v>
      </c>
      <c r="O316">
        <v>1</v>
      </c>
      <c r="P316">
        <v>61.282651000000001</v>
      </c>
      <c r="Q316">
        <v>122.565302</v>
      </c>
      <c r="R316">
        <v>150</v>
      </c>
      <c r="S316">
        <v>48.873984</v>
      </c>
      <c r="T316">
        <v>65.196154000000007</v>
      </c>
      <c r="U316">
        <v>97.747967000000003</v>
      </c>
      <c r="V316">
        <v>150</v>
      </c>
      <c r="W316">
        <v>57.069201</v>
      </c>
      <c r="X316">
        <v>114.138402</v>
      </c>
      <c r="Y316">
        <v>150</v>
      </c>
      <c r="Z316">
        <v>60.358974000000003</v>
      </c>
      <c r="AA316">
        <v>46.638210999999998</v>
      </c>
      <c r="AB316">
        <v>93.276422999999994</v>
      </c>
      <c r="AC316">
        <v>150</v>
      </c>
      <c r="AD316">
        <v>64.516741999999994</v>
      </c>
      <c r="AE316">
        <v>86.022323</v>
      </c>
      <c r="AF316">
        <v>100</v>
      </c>
      <c r="AG316">
        <v>53.225141000000001</v>
      </c>
      <c r="AH316">
        <v>68.105546000000004</v>
      </c>
      <c r="AI316">
        <v>70.966853999999998</v>
      </c>
      <c r="AJ316">
        <v>100</v>
      </c>
      <c r="AK316">
        <v>16.32</v>
      </c>
      <c r="AL316">
        <v>13.72</v>
      </c>
      <c r="AM316">
        <v>14.88</v>
      </c>
      <c r="AN316" t="s">
        <v>125</v>
      </c>
      <c r="AO316" t="s">
        <v>125</v>
      </c>
      <c r="AP316" t="s">
        <v>125</v>
      </c>
      <c r="AQ316" t="s">
        <v>125</v>
      </c>
      <c r="AR316" t="s">
        <v>125</v>
      </c>
      <c r="AS316" t="s">
        <v>125</v>
      </c>
      <c r="AT316" t="s">
        <v>125</v>
      </c>
      <c r="AU316" t="s">
        <v>125</v>
      </c>
      <c r="AV316" t="s">
        <v>125</v>
      </c>
      <c r="AW316" t="s">
        <v>125</v>
      </c>
      <c r="AX316" t="s">
        <v>125</v>
      </c>
      <c r="AY316" t="s">
        <v>125</v>
      </c>
      <c r="AZ316" t="s">
        <v>125</v>
      </c>
      <c r="BA316" t="s">
        <v>125</v>
      </c>
      <c r="BB316" t="s">
        <v>125</v>
      </c>
      <c r="BC316" t="s">
        <v>125</v>
      </c>
      <c r="BD316" t="s">
        <v>125</v>
      </c>
      <c r="BE316" t="s">
        <v>125</v>
      </c>
      <c r="BF316" t="s">
        <v>125</v>
      </c>
      <c r="BG316" t="s">
        <v>125</v>
      </c>
      <c r="BH316">
        <v>0</v>
      </c>
      <c r="BI316">
        <v>0.99438199999999999</v>
      </c>
      <c r="BJ316">
        <v>0.97674399999999995</v>
      </c>
      <c r="BK316">
        <v>1</v>
      </c>
      <c r="BL316">
        <v>0.99438199999999999</v>
      </c>
      <c r="BM316">
        <v>0.97674399999999995</v>
      </c>
      <c r="BN316">
        <v>1</v>
      </c>
      <c r="BO316">
        <v>0.97191000000000005</v>
      </c>
      <c r="BP316">
        <v>0.953488</v>
      </c>
      <c r="BQ316">
        <v>0.97777800000000004</v>
      </c>
      <c r="BR316">
        <v>8.5751999999999995E-2</v>
      </c>
      <c r="BS316">
        <v>42.849603999999999</v>
      </c>
      <c r="BT316">
        <v>50</v>
      </c>
      <c r="BU316">
        <v>0.16317999999999999</v>
      </c>
      <c r="BV316">
        <v>27.364017</v>
      </c>
      <c r="BW316">
        <v>50</v>
      </c>
      <c r="BX316">
        <v>0.96100300000000005</v>
      </c>
      <c r="BY316">
        <v>50</v>
      </c>
      <c r="BZ316">
        <v>50</v>
      </c>
      <c r="CA316">
        <v>0.48746499999999998</v>
      </c>
      <c r="CB316">
        <v>32.497678999999998</v>
      </c>
      <c r="CC316">
        <v>50</v>
      </c>
      <c r="CD316">
        <v>0.92307700000000004</v>
      </c>
      <c r="CE316">
        <v>49.099836000000003</v>
      </c>
      <c r="CF316">
        <v>50</v>
      </c>
      <c r="CG316">
        <v>0.98557700000000004</v>
      </c>
      <c r="CH316">
        <v>100</v>
      </c>
      <c r="CI316">
        <v>100</v>
      </c>
      <c r="CJ316">
        <v>0</v>
      </c>
      <c r="CK316">
        <v>0.93103400000000003</v>
      </c>
      <c r="CL316">
        <v>99.046222</v>
      </c>
      <c r="CM316">
        <v>100</v>
      </c>
      <c r="CN316">
        <v>0.79126200000000002</v>
      </c>
      <c r="CO316">
        <v>100</v>
      </c>
      <c r="CP316">
        <v>100</v>
      </c>
      <c r="CQ316">
        <v>0.48691099999999998</v>
      </c>
      <c r="CR316">
        <v>0.93627499999999997</v>
      </c>
      <c r="CS316">
        <v>32.460732999999998</v>
      </c>
      <c r="CT316">
        <v>50</v>
      </c>
      <c r="CU316">
        <v>0.43535600000000002</v>
      </c>
      <c r="CV316">
        <v>36.279682999999999</v>
      </c>
      <c r="CW316">
        <v>50</v>
      </c>
      <c r="CX316">
        <v>0.93103400000000003</v>
      </c>
      <c r="CY316">
        <v>0.94</v>
      </c>
      <c r="CZ316">
        <v>8.966E-3</v>
      </c>
      <c r="DA316">
        <v>15.314097</v>
      </c>
      <c r="DB316">
        <v>17.400950000000002</v>
      </c>
      <c r="DC316">
        <v>16.332519999999999</v>
      </c>
      <c r="DD316">
        <v>7.9891730000000001</v>
      </c>
      <c r="DE316">
        <v>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Q316" t="s">
        <v>126</v>
      </c>
    </row>
    <row r="317" spans="1:121" x14ac:dyDescent="0.15">
      <c r="A317">
        <v>2018</v>
      </c>
      <c r="B317" t="s">
        <v>221</v>
      </c>
      <c r="C317" t="str">
        <f>"0280011"</f>
        <v>0280011</v>
      </c>
      <c r="D317" t="s">
        <v>458</v>
      </c>
      <c r="E317" t="str">
        <f>"0280411"</f>
        <v>0280411</v>
      </c>
      <c r="F317" t="s">
        <v>328</v>
      </c>
      <c r="G317" t="s">
        <v>329</v>
      </c>
      <c r="H317">
        <v>2</v>
      </c>
      <c r="I317" t="s">
        <v>330</v>
      </c>
      <c r="J317" t="s">
        <v>331</v>
      </c>
      <c r="K317">
        <v>96.842105000000004</v>
      </c>
      <c r="L317">
        <v>100</v>
      </c>
      <c r="M317">
        <v>96.842105000000004</v>
      </c>
      <c r="N317" t="s">
        <v>125</v>
      </c>
      <c r="O317" t="s">
        <v>125</v>
      </c>
      <c r="P317" t="s">
        <v>125</v>
      </c>
      <c r="Q317" t="s">
        <v>125</v>
      </c>
      <c r="R317" t="s">
        <v>125</v>
      </c>
      <c r="S317" t="s">
        <v>125</v>
      </c>
      <c r="T317" t="s">
        <v>125</v>
      </c>
      <c r="U317" t="s">
        <v>125</v>
      </c>
      <c r="V317" t="s">
        <v>125</v>
      </c>
      <c r="W317" t="s">
        <v>125</v>
      </c>
      <c r="X317" t="s">
        <v>125</v>
      </c>
      <c r="Y317" t="s">
        <v>125</v>
      </c>
      <c r="Z317" t="s">
        <v>125</v>
      </c>
      <c r="AA317" t="s">
        <v>125</v>
      </c>
      <c r="AB317" t="s">
        <v>125</v>
      </c>
      <c r="AC317" t="s">
        <v>125</v>
      </c>
      <c r="AD317" t="s">
        <v>125</v>
      </c>
      <c r="AE317" t="s">
        <v>125</v>
      </c>
      <c r="AF317" t="s">
        <v>125</v>
      </c>
      <c r="AG317" t="s">
        <v>125</v>
      </c>
      <c r="AH317" t="s">
        <v>125</v>
      </c>
      <c r="AI317" t="s">
        <v>125</v>
      </c>
      <c r="AJ317" t="s">
        <v>125</v>
      </c>
      <c r="AK317" t="s">
        <v>125</v>
      </c>
      <c r="AL317" t="s">
        <v>125</v>
      </c>
      <c r="AM317" t="s">
        <v>125</v>
      </c>
      <c r="AN317" t="s">
        <v>125</v>
      </c>
      <c r="AO317" t="s">
        <v>125</v>
      </c>
      <c r="AP317" t="s">
        <v>125</v>
      </c>
      <c r="AQ317" t="s">
        <v>125</v>
      </c>
      <c r="AR317" t="s">
        <v>125</v>
      </c>
      <c r="AS317" t="s">
        <v>125</v>
      </c>
      <c r="AT317" t="s">
        <v>125</v>
      </c>
      <c r="AU317" t="s">
        <v>125</v>
      </c>
      <c r="AV317" t="s">
        <v>125</v>
      </c>
      <c r="AW317" t="s">
        <v>125</v>
      </c>
      <c r="AX317" t="s">
        <v>125</v>
      </c>
      <c r="AY317" t="s">
        <v>125</v>
      </c>
      <c r="AZ317" t="s">
        <v>125</v>
      </c>
      <c r="BA317" t="s">
        <v>125</v>
      </c>
      <c r="BB317" t="s">
        <v>125</v>
      </c>
      <c r="BC317" t="s">
        <v>125</v>
      </c>
      <c r="BD317" t="s">
        <v>125</v>
      </c>
      <c r="BE317" t="s">
        <v>125</v>
      </c>
      <c r="BF317" t="s">
        <v>125</v>
      </c>
      <c r="BG317" t="s">
        <v>125</v>
      </c>
      <c r="BH317" t="s">
        <v>125</v>
      </c>
      <c r="BI317" t="s">
        <v>125</v>
      </c>
      <c r="BJ317" t="s">
        <v>125</v>
      </c>
      <c r="BK317" t="s">
        <v>125</v>
      </c>
      <c r="BL317" t="s">
        <v>125</v>
      </c>
      <c r="BM317" t="s">
        <v>125</v>
      </c>
      <c r="BN317" t="s">
        <v>125</v>
      </c>
      <c r="BO317" t="s">
        <v>125</v>
      </c>
      <c r="BP317" t="s">
        <v>125</v>
      </c>
      <c r="BQ317" t="s">
        <v>125</v>
      </c>
      <c r="BR317">
        <v>3.8901999999999999E-2</v>
      </c>
      <c r="BS317">
        <v>50</v>
      </c>
      <c r="BT317">
        <v>50</v>
      </c>
      <c r="BU317">
        <v>6.5789E-2</v>
      </c>
      <c r="BV317">
        <v>46.842104999999997</v>
      </c>
      <c r="BW317">
        <v>50</v>
      </c>
      <c r="BX317" t="s">
        <v>125</v>
      </c>
      <c r="BY317" t="s">
        <v>125</v>
      </c>
      <c r="BZ317" t="s">
        <v>125</v>
      </c>
      <c r="CA317" t="s">
        <v>125</v>
      </c>
      <c r="CB317" t="s">
        <v>125</v>
      </c>
      <c r="CC317" t="s">
        <v>125</v>
      </c>
      <c r="CD317" t="s">
        <v>125</v>
      </c>
      <c r="CE317" t="s">
        <v>125</v>
      </c>
      <c r="CF317" t="s">
        <v>125</v>
      </c>
      <c r="CG317" t="s">
        <v>125</v>
      </c>
      <c r="CH317" t="s">
        <v>125</v>
      </c>
      <c r="CI317" t="s">
        <v>125</v>
      </c>
      <c r="CJ317" t="s">
        <v>125</v>
      </c>
      <c r="CK317" t="s">
        <v>125</v>
      </c>
      <c r="CL317" t="s">
        <v>125</v>
      </c>
      <c r="CM317" t="s">
        <v>125</v>
      </c>
      <c r="CN317" t="s">
        <v>125</v>
      </c>
      <c r="CO317" t="s">
        <v>125</v>
      </c>
      <c r="CP317" t="s">
        <v>125</v>
      </c>
      <c r="CQ317" t="s">
        <v>125</v>
      </c>
      <c r="CR317" t="s">
        <v>125</v>
      </c>
      <c r="CS317" t="s">
        <v>125</v>
      </c>
      <c r="CT317" t="s">
        <v>125</v>
      </c>
      <c r="CU317" t="s">
        <v>125</v>
      </c>
      <c r="CV317" t="s">
        <v>125</v>
      </c>
      <c r="CW317" t="s">
        <v>125</v>
      </c>
      <c r="CX317" t="s">
        <v>125</v>
      </c>
      <c r="CY317" t="s">
        <v>125</v>
      </c>
      <c r="CZ317" t="s">
        <v>125</v>
      </c>
      <c r="DA317" t="s">
        <v>125</v>
      </c>
      <c r="DB317" t="s">
        <v>125</v>
      </c>
      <c r="DC317" t="s">
        <v>125</v>
      </c>
      <c r="DD317" t="s">
        <v>125</v>
      </c>
      <c r="DE317" t="s">
        <v>125</v>
      </c>
      <c r="DJ317" t="s">
        <v>125</v>
      </c>
      <c r="DK317" t="s">
        <v>125</v>
      </c>
      <c r="DL317" t="s">
        <v>125</v>
      </c>
      <c r="DM317" t="s">
        <v>125</v>
      </c>
      <c r="DN317" t="s">
        <v>125</v>
      </c>
      <c r="DO317" t="s">
        <v>125</v>
      </c>
      <c r="DQ317" t="s">
        <v>126</v>
      </c>
    </row>
    <row r="318" spans="1:121" x14ac:dyDescent="0.15">
      <c r="A318">
        <v>2018</v>
      </c>
      <c r="B318" t="s">
        <v>221</v>
      </c>
      <c r="C318" t="str">
        <f>"0280011"</f>
        <v>0280011</v>
      </c>
      <c r="D318" t="s">
        <v>459</v>
      </c>
      <c r="E318" t="str">
        <f>"0280211"</f>
        <v>0280211</v>
      </c>
      <c r="F318" t="s">
        <v>328</v>
      </c>
      <c r="G318">
        <v>3</v>
      </c>
      <c r="H318">
        <v>5</v>
      </c>
      <c r="I318" t="s">
        <v>330</v>
      </c>
      <c r="J318" t="s">
        <v>331</v>
      </c>
      <c r="K318">
        <v>712.74373400000002</v>
      </c>
      <c r="L318">
        <v>850</v>
      </c>
      <c r="M318">
        <v>83.852204</v>
      </c>
      <c r="N318">
        <v>2</v>
      </c>
      <c r="O318">
        <v>0</v>
      </c>
      <c r="P318">
        <v>76.947002999999995</v>
      </c>
      <c r="Q318">
        <v>50</v>
      </c>
      <c r="R318">
        <v>50</v>
      </c>
      <c r="S318">
        <v>66.371671000000006</v>
      </c>
      <c r="T318">
        <v>75</v>
      </c>
      <c r="U318">
        <v>44.247779999999999</v>
      </c>
      <c r="V318">
        <v>50</v>
      </c>
      <c r="W318">
        <v>74.818147999999994</v>
      </c>
      <c r="X318">
        <v>49.878765000000001</v>
      </c>
      <c r="Y318">
        <v>50</v>
      </c>
      <c r="Z318">
        <v>75</v>
      </c>
      <c r="AA318">
        <v>64.292669000000004</v>
      </c>
      <c r="AB318">
        <v>42.861780000000003</v>
      </c>
      <c r="AC318">
        <v>50</v>
      </c>
      <c r="AD318">
        <v>75.433909</v>
      </c>
      <c r="AE318">
        <v>50</v>
      </c>
      <c r="AF318">
        <v>50</v>
      </c>
      <c r="AG318">
        <v>63.953125</v>
      </c>
      <c r="AH318">
        <v>75</v>
      </c>
      <c r="AI318">
        <v>42.635416999999997</v>
      </c>
      <c r="AJ318">
        <v>50</v>
      </c>
      <c r="AK318">
        <v>8.6199999999999992</v>
      </c>
      <c r="AL318">
        <v>10.7</v>
      </c>
      <c r="AM318">
        <v>11.04</v>
      </c>
      <c r="AN318">
        <v>0.70048600000000005</v>
      </c>
      <c r="AO318">
        <v>70.048621999999995</v>
      </c>
      <c r="AP318">
        <v>100</v>
      </c>
      <c r="AQ318">
        <v>0.80706</v>
      </c>
      <c r="AR318">
        <v>80.706025999999994</v>
      </c>
      <c r="AS318">
        <v>100</v>
      </c>
      <c r="AT318">
        <v>0.65010800000000002</v>
      </c>
      <c r="AU318">
        <v>0.72442200000000001</v>
      </c>
      <c r="AV318">
        <v>65.010802999999996</v>
      </c>
      <c r="AW318">
        <v>100</v>
      </c>
      <c r="AX318">
        <v>0.72710600000000003</v>
      </c>
      <c r="AY318">
        <v>0.84468600000000005</v>
      </c>
      <c r="AZ318">
        <v>72.710576000000003</v>
      </c>
      <c r="BA318">
        <v>100</v>
      </c>
      <c r="BB318" t="s">
        <v>125</v>
      </c>
      <c r="BC318" t="s">
        <v>125</v>
      </c>
      <c r="BD318" t="s">
        <v>125</v>
      </c>
      <c r="BE318" t="s">
        <v>125</v>
      </c>
      <c r="BF318" t="s">
        <v>125</v>
      </c>
      <c r="BG318" t="s">
        <v>125</v>
      </c>
      <c r="BH318">
        <v>0</v>
      </c>
      <c r="BI318">
        <v>0.99588500000000002</v>
      </c>
      <c r="BJ318">
        <v>0.99375000000000002</v>
      </c>
      <c r="BK318">
        <v>0.99693299999999996</v>
      </c>
      <c r="BL318">
        <v>0.99177000000000004</v>
      </c>
      <c r="BM318">
        <v>0.98124999999999996</v>
      </c>
      <c r="BN318">
        <v>0.99693299999999996</v>
      </c>
      <c r="BO318">
        <v>0.99418600000000001</v>
      </c>
      <c r="BP318">
        <v>1</v>
      </c>
      <c r="BQ318">
        <v>0.99193500000000001</v>
      </c>
      <c r="BR318">
        <v>3.2922E-2</v>
      </c>
      <c r="BS318">
        <v>50</v>
      </c>
      <c r="BT318">
        <v>50</v>
      </c>
      <c r="BU318">
        <v>7.2289000000000006E-2</v>
      </c>
      <c r="BV318">
        <v>45.542169000000001</v>
      </c>
      <c r="BW318">
        <v>50</v>
      </c>
      <c r="BX318" t="s">
        <v>125</v>
      </c>
      <c r="BY318" t="s">
        <v>125</v>
      </c>
      <c r="BZ318" t="s">
        <v>125</v>
      </c>
      <c r="CA318" t="s">
        <v>125</v>
      </c>
      <c r="CB318" t="s">
        <v>125</v>
      </c>
      <c r="CC318" t="s">
        <v>125</v>
      </c>
      <c r="CD318" t="s">
        <v>125</v>
      </c>
      <c r="CE318" t="s">
        <v>125</v>
      </c>
      <c r="CF318" t="s">
        <v>125</v>
      </c>
      <c r="CG318" t="s">
        <v>125</v>
      </c>
      <c r="CH318" t="s">
        <v>125</v>
      </c>
      <c r="CI318" t="s">
        <v>125</v>
      </c>
      <c r="CJ318" t="s">
        <v>125</v>
      </c>
      <c r="CK318" t="s">
        <v>125</v>
      </c>
      <c r="CL318" t="s">
        <v>125</v>
      </c>
      <c r="CM318" t="s">
        <v>125</v>
      </c>
      <c r="CN318" t="s">
        <v>125</v>
      </c>
      <c r="CO318" t="s">
        <v>125</v>
      </c>
      <c r="CP318" t="s">
        <v>125</v>
      </c>
      <c r="CQ318">
        <v>0.73652700000000004</v>
      </c>
      <c r="CR318">
        <v>1.030864</v>
      </c>
      <c r="CS318">
        <v>49.101796</v>
      </c>
      <c r="CT318">
        <v>50</v>
      </c>
      <c r="CU318" t="s">
        <v>125</v>
      </c>
      <c r="CV318" t="s">
        <v>125</v>
      </c>
      <c r="CW318" t="s">
        <v>125</v>
      </c>
      <c r="CX318" t="s">
        <v>125</v>
      </c>
      <c r="CY318" t="s">
        <v>125</v>
      </c>
      <c r="CZ318" t="s">
        <v>125</v>
      </c>
      <c r="DA318">
        <v>15.314097</v>
      </c>
      <c r="DB318">
        <v>17.400950000000002</v>
      </c>
      <c r="DC318">
        <v>16.332519999999999</v>
      </c>
      <c r="DD318" t="s">
        <v>125</v>
      </c>
      <c r="DE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Q318" t="s">
        <v>126</v>
      </c>
    </row>
    <row r="319" spans="1:121" x14ac:dyDescent="0.15">
      <c r="A319">
        <v>2018</v>
      </c>
      <c r="B319" t="s">
        <v>221</v>
      </c>
      <c r="C319" t="str">
        <f>"0280011"</f>
        <v>0280011</v>
      </c>
      <c r="D319" t="s">
        <v>460</v>
      </c>
      <c r="E319" t="str">
        <f>"0285111"</f>
        <v>0285111</v>
      </c>
      <c r="F319" t="s">
        <v>328</v>
      </c>
      <c r="G319">
        <v>6</v>
      </c>
      <c r="H319">
        <v>8</v>
      </c>
      <c r="I319" t="s">
        <v>330</v>
      </c>
      <c r="J319" t="s">
        <v>331</v>
      </c>
      <c r="K319">
        <v>706.09917700000005</v>
      </c>
      <c r="L319">
        <v>900</v>
      </c>
      <c r="M319">
        <v>78.455464000000006</v>
      </c>
      <c r="N319">
        <v>2</v>
      </c>
      <c r="O319">
        <v>0</v>
      </c>
      <c r="P319">
        <v>74.330725999999999</v>
      </c>
      <c r="Q319">
        <v>49.553817000000002</v>
      </c>
      <c r="R319">
        <v>50</v>
      </c>
      <c r="S319">
        <v>64.193676999999994</v>
      </c>
      <c r="T319">
        <v>75</v>
      </c>
      <c r="U319">
        <v>42.795785000000002</v>
      </c>
      <c r="V319">
        <v>50</v>
      </c>
      <c r="W319">
        <v>74.308120000000002</v>
      </c>
      <c r="X319">
        <v>49.538747000000001</v>
      </c>
      <c r="Y319">
        <v>50</v>
      </c>
      <c r="Z319">
        <v>75</v>
      </c>
      <c r="AA319">
        <v>61.059342000000001</v>
      </c>
      <c r="AB319">
        <v>40.706228000000003</v>
      </c>
      <c r="AC319">
        <v>50</v>
      </c>
      <c r="AD319">
        <v>72.939003999999997</v>
      </c>
      <c r="AE319">
        <v>48.626002</v>
      </c>
      <c r="AF319">
        <v>50</v>
      </c>
      <c r="AG319">
        <v>64.234326999999993</v>
      </c>
      <c r="AH319">
        <v>75</v>
      </c>
      <c r="AI319">
        <v>42.822884000000002</v>
      </c>
      <c r="AJ319">
        <v>50</v>
      </c>
      <c r="AK319">
        <v>10.8</v>
      </c>
      <c r="AL319">
        <v>13.94</v>
      </c>
      <c r="AM319">
        <v>10.76</v>
      </c>
      <c r="AN319">
        <v>0.53992899999999999</v>
      </c>
      <c r="AO319">
        <v>53.992859000000003</v>
      </c>
      <c r="AP319">
        <v>100</v>
      </c>
      <c r="AQ319">
        <v>0.73092500000000005</v>
      </c>
      <c r="AR319">
        <v>73.092506999999998</v>
      </c>
      <c r="AS319">
        <v>100</v>
      </c>
      <c r="AT319">
        <v>0.505108</v>
      </c>
      <c r="AU319">
        <v>0.55718199999999996</v>
      </c>
      <c r="AV319">
        <v>50.510776999999997</v>
      </c>
      <c r="AW319">
        <v>100</v>
      </c>
      <c r="AX319">
        <v>0.62479499999999999</v>
      </c>
      <c r="AY319">
        <v>0.78351199999999999</v>
      </c>
      <c r="AZ319">
        <v>62.479472000000001</v>
      </c>
      <c r="BA319">
        <v>100</v>
      </c>
      <c r="BB319" t="s">
        <v>125</v>
      </c>
      <c r="BC319" t="s">
        <v>125</v>
      </c>
      <c r="BD319" t="s">
        <v>125</v>
      </c>
      <c r="BE319" t="s">
        <v>125</v>
      </c>
      <c r="BF319" t="s">
        <v>125</v>
      </c>
      <c r="BG319" t="s">
        <v>125</v>
      </c>
      <c r="BH319">
        <v>0</v>
      </c>
      <c r="BI319">
        <v>0.99429699999999999</v>
      </c>
      <c r="BJ319">
        <v>0.99438199999999999</v>
      </c>
      <c r="BK319">
        <v>0.99425300000000005</v>
      </c>
      <c r="BL319">
        <v>0.99429699999999999</v>
      </c>
      <c r="BM319">
        <v>0.99438199999999999</v>
      </c>
      <c r="BN319">
        <v>0.99425300000000005</v>
      </c>
      <c r="BO319">
        <v>0.98947399999999996</v>
      </c>
      <c r="BP319">
        <v>0.98412699999999997</v>
      </c>
      <c r="BQ319">
        <v>0.99212599999999995</v>
      </c>
      <c r="BR319">
        <v>4.5627000000000001E-2</v>
      </c>
      <c r="BS319">
        <v>50</v>
      </c>
      <c r="BT319">
        <v>50</v>
      </c>
      <c r="BU319">
        <v>7.9786999999999997E-2</v>
      </c>
      <c r="BV319">
        <v>44.042552999999998</v>
      </c>
      <c r="BW319">
        <v>50</v>
      </c>
      <c r="BX319" t="s">
        <v>125</v>
      </c>
      <c r="BY319" t="s">
        <v>125</v>
      </c>
      <c r="BZ319" t="s">
        <v>125</v>
      </c>
      <c r="CA319" t="s">
        <v>125</v>
      </c>
      <c r="CB319" t="s">
        <v>125</v>
      </c>
      <c r="CC319" t="s">
        <v>125</v>
      </c>
      <c r="CD319">
        <v>0.93939399999999995</v>
      </c>
      <c r="CE319">
        <v>49.967762999999998</v>
      </c>
      <c r="CF319">
        <v>50</v>
      </c>
      <c r="CG319" t="s">
        <v>125</v>
      </c>
      <c r="CH319" t="s">
        <v>125</v>
      </c>
      <c r="CI319" t="s">
        <v>125</v>
      </c>
      <c r="CJ319" t="s">
        <v>125</v>
      </c>
      <c r="CK319" t="s">
        <v>125</v>
      </c>
      <c r="CL319" t="s">
        <v>125</v>
      </c>
      <c r="CM319" t="s">
        <v>125</v>
      </c>
      <c r="CN319" t="s">
        <v>125</v>
      </c>
      <c r="CO319" t="s">
        <v>125</v>
      </c>
      <c r="CP319" t="s">
        <v>125</v>
      </c>
      <c r="CQ319">
        <v>0.71954700000000005</v>
      </c>
      <c r="CR319">
        <v>0.99157300000000004</v>
      </c>
      <c r="CS319">
        <v>47.969783</v>
      </c>
      <c r="CT319">
        <v>50</v>
      </c>
      <c r="CU319" t="s">
        <v>125</v>
      </c>
      <c r="CV319" t="s">
        <v>125</v>
      </c>
      <c r="CW319" t="s">
        <v>125</v>
      </c>
      <c r="CX319" t="s">
        <v>125</v>
      </c>
      <c r="CY319" t="s">
        <v>125</v>
      </c>
      <c r="CZ319" t="s">
        <v>125</v>
      </c>
      <c r="DA319">
        <v>15.314097</v>
      </c>
      <c r="DB319">
        <v>17.400950000000002</v>
      </c>
      <c r="DC319">
        <v>16.332519999999999</v>
      </c>
      <c r="DD319" t="s">
        <v>125</v>
      </c>
      <c r="DE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Q319" t="s">
        <v>126</v>
      </c>
    </row>
    <row r="320" spans="1:121" x14ac:dyDescent="0.15">
      <c r="A320">
        <v>2018</v>
      </c>
      <c r="B320" t="s">
        <v>188</v>
      </c>
      <c r="C320" t="str">
        <f>"0290011"</f>
        <v>0290011</v>
      </c>
      <c r="D320" t="s">
        <v>461</v>
      </c>
      <c r="E320" t="str">
        <f>"0290111"</f>
        <v>0290111</v>
      </c>
      <c r="F320" t="s">
        <v>328</v>
      </c>
      <c r="G320" t="s">
        <v>339</v>
      </c>
      <c r="H320">
        <v>6</v>
      </c>
      <c r="J320" t="s">
        <v>331</v>
      </c>
      <c r="K320">
        <v>483.00836700000002</v>
      </c>
      <c r="L320">
        <v>550</v>
      </c>
      <c r="M320">
        <v>87.819703000000004</v>
      </c>
      <c r="N320">
        <v>2</v>
      </c>
      <c r="O320">
        <v>0</v>
      </c>
      <c r="P320">
        <v>81.921363999999997</v>
      </c>
      <c r="Q320">
        <v>50</v>
      </c>
      <c r="R320">
        <v>50</v>
      </c>
      <c r="S320">
        <v>70.447902999999997</v>
      </c>
      <c r="T320">
        <v>75</v>
      </c>
      <c r="U320">
        <v>46.965268000000002</v>
      </c>
      <c r="V320">
        <v>50</v>
      </c>
      <c r="W320">
        <v>74.679205999999994</v>
      </c>
      <c r="X320">
        <v>49.786136999999997</v>
      </c>
      <c r="Y320">
        <v>50</v>
      </c>
      <c r="Z320">
        <v>75</v>
      </c>
      <c r="AA320">
        <v>64.281739000000002</v>
      </c>
      <c r="AB320">
        <v>42.854492</v>
      </c>
      <c r="AC320">
        <v>50</v>
      </c>
      <c r="AD320" t="s">
        <v>125</v>
      </c>
      <c r="AE320" t="s">
        <v>125</v>
      </c>
      <c r="AF320" t="s">
        <v>125</v>
      </c>
      <c r="AG320" t="s">
        <v>125</v>
      </c>
      <c r="AH320" t="s">
        <v>125</v>
      </c>
      <c r="AI320" t="s">
        <v>125</v>
      </c>
      <c r="AJ320" t="s">
        <v>125</v>
      </c>
      <c r="AK320">
        <v>4.55</v>
      </c>
      <c r="AL320">
        <v>10.71</v>
      </c>
      <c r="AM320" t="s">
        <v>125</v>
      </c>
      <c r="AN320">
        <v>0.772567</v>
      </c>
      <c r="AO320">
        <v>77.256707000000006</v>
      </c>
      <c r="AP320">
        <v>100</v>
      </c>
      <c r="AQ320">
        <v>0.66145799999999999</v>
      </c>
      <c r="AR320">
        <v>66.145760999999993</v>
      </c>
      <c r="AS320">
        <v>100</v>
      </c>
      <c r="AT320" t="s">
        <v>125</v>
      </c>
      <c r="AU320">
        <v>0.90915199999999996</v>
      </c>
      <c r="AV320" t="s">
        <v>125</v>
      </c>
      <c r="AW320" t="s">
        <v>125</v>
      </c>
      <c r="AX320" t="s">
        <v>125</v>
      </c>
      <c r="AY320">
        <v>0.77750300000000006</v>
      </c>
      <c r="AZ320" t="s">
        <v>125</v>
      </c>
      <c r="BA320" t="s">
        <v>125</v>
      </c>
      <c r="BB320" t="s">
        <v>125</v>
      </c>
      <c r="BC320" t="s">
        <v>125</v>
      </c>
      <c r="BD320" t="s">
        <v>125</v>
      </c>
      <c r="BE320" t="s">
        <v>125</v>
      </c>
      <c r="BF320" t="s">
        <v>125</v>
      </c>
      <c r="BG320" t="s">
        <v>125</v>
      </c>
      <c r="BH320">
        <v>1</v>
      </c>
      <c r="BI320">
        <v>0.94545500000000005</v>
      </c>
      <c r="BJ320">
        <v>0.88888900000000004</v>
      </c>
      <c r="BK320">
        <v>1</v>
      </c>
      <c r="BL320">
        <v>0.94545500000000005</v>
      </c>
      <c r="BM320">
        <v>0.88888900000000004</v>
      </c>
      <c r="BN320">
        <v>1</v>
      </c>
      <c r="BO320" t="s">
        <v>125</v>
      </c>
      <c r="BP320" t="s">
        <v>125</v>
      </c>
      <c r="BQ320" t="s">
        <v>125</v>
      </c>
      <c r="BR320">
        <v>1.1494000000000001E-2</v>
      </c>
      <c r="BS320">
        <v>50</v>
      </c>
      <c r="BT320">
        <v>50</v>
      </c>
      <c r="BU320">
        <v>2.3810000000000001E-2</v>
      </c>
      <c r="BV320">
        <v>50</v>
      </c>
      <c r="BW320">
        <v>50</v>
      </c>
      <c r="BX320" t="s">
        <v>125</v>
      </c>
      <c r="BY320" t="s">
        <v>125</v>
      </c>
      <c r="BZ320" t="s">
        <v>125</v>
      </c>
      <c r="CA320" t="s">
        <v>125</v>
      </c>
      <c r="CB320" t="s">
        <v>125</v>
      </c>
      <c r="CC320" t="s">
        <v>125</v>
      </c>
      <c r="CD320" t="s">
        <v>125</v>
      </c>
      <c r="CE320" t="s">
        <v>125</v>
      </c>
      <c r="CF320" t="s">
        <v>125</v>
      </c>
      <c r="CG320" t="s">
        <v>125</v>
      </c>
      <c r="CH320" t="s">
        <v>125</v>
      </c>
      <c r="CI320" t="s">
        <v>125</v>
      </c>
      <c r="CJ320" t="s">
        <v>125</v>
      </c>
      <c r="CK320" t="s">
        <v>125</v>
      </c>
      <c r="CL320" t="s">
        <v>125</v>
      </c>
      <c r="CM320" t="s">
        <v>125</v>
      </c>
      <c r="CN320" t="s">
        <v>125</v>
      </c>
      <c r="CO320" t="s">
        <v>125</v>
      </c>
      <c r="CP320" t="s">
        <v>125</v>
      </c>
      <c r="CQ320">
        <v>0.76666699999999999</v>
      </c>
      <c r="CR320">
        <v>1</v>
      </c>
      <c r="CS320">
        <v>50</v>
      </c>
      <c r="CT320">
        <v>50</v>
      </c>
      <c r="CU320" t="s">
        <v>125</v>
      </c>
      <c r="CV320" t="s">
        <v>125</v>
      </c>
      <c r="CW320" t="s">
        <v>125</v>
      </c>
      <c r="CX320" t="s">
        <v>125</v>
      </c>
      <c r="CY320" t="s">
        <v>125</v>
      </c>
      <c r="CZ320" t="s">
        <v>125</v>
      </c>
      <c r="DA320">
        <v>15.314097</v>
      </c>
      <c r="DB320">
        <v>17.400950000000002</v>
      </c>
      <c r="DC320">
        <v>16.332519999999999</v>
      </c>
      <c r="DD320" t="s">
        <v>125</v>
      </c>
      <c r="DE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Q320" t="s">
        <v>126</v>
      </c>
    </row>
    <row r="321" spans="1:121" x14ac:dyDescent="0.15">
      <c r="A321">
        <v>2018</v>
      </c>
      <c r="B321" t="s">
        <v>189</v>
      </c>
      <c r="C321" t="str">
        <f>"0300011"</f>
        <v>0300011</v>
      </c>
      <c r="D321" t="s">
        <v>462</v>
      </c>
      <c r="E321" t="str">
        <f>"0300111"</f>
        <v>0300111</v>
      </c>
      <c r="F321" t="s">
        <v>328</v>
      </c>
      <c r="G321" t="s">
        <v>329</v>
      </c>
      <c r="H321">
        <v>8</v>
      </c>
      <c r="I321" t="s">
        <v>330</v>
      </c>
      <c r="J321" t="s">
        <v>331</v>
      </c>
      <c r="K321">
        <v>691.30042100000003</v>
      </c>
      <c r="L321">
        <v>900</v>
      </c>
      <c r="M321">
        <v>76.811158000000006</v>
      </c>
      <c r="N321">
        <v>3</v>
      </c>
      <c r="O321">
        <v>1</v>
      </c>
      <c r="P321">
        <v>72.971266</v>
      </c>
      <c r="Q321">
        <v>48.647509999999997</v>
      </c>
      <c r="R321">
        <v>50</v>
      </c>
      <c r="S321">
        <v>63.291722</v>
      </c>
      <c r="T321">
        <v>75</v>
      </c>
      <c r="U321">
        <v>42.194481000000003</v>
      </c>
      <c r="V321">
        <v>50</v>
      </c>
      <c r="W321">
        <v>65.315486000000007</v>
      </c>
      <c r="X321">
        <v>43.543657000000003</v>
      </c>
      <c r="Y321">
        <v>50</v>
      </c>
      <c r="Z321">
        <v>69.538141999999993</v>
      </c>
      <c r="AA321">
        <v>55.181111999999999</v>
      </c>
      <c r="AB321">
        <v>36.787407999999999</v>
      </c>
      <c r="AC321">
        <v>50</v>
      </c>
      <c r="AD321">
        <v>71.104836000000006</v>
      </c>
      <c r="AE321">
        <v>47.403224000000002</v>
      </c>
      <c r="AF321">
        <v>50</v>
      </c>
      <c r="AG321">
        <v>58.645332000000003</v>
      </c>
      <c r="AH321">
        <v>75</v>
      </c>
      <c r="AI321">
        <v>39.096888</v>
      </c>
      <c r="AJ321">
        <v>50</v>
      </c>
      <c r="AK321">
        <v>11.7</v>
      </c>
      <c r="AL321">
        <v>14.35</v>
      </c>
      <c r="AM321">
        <v>16.350000000000001</v>
      </c>
      <c r="AN321">
        <v>0.66169999999999995</v>
      </c>
      <c r="AO321">
        <v>66.170043000000007</v>
      </c>
      <c r="AP321">
        <v>100</v>
      </c>
      <c r="AQ321">
        <v>0.53859999999999997</v>
      </c>
      <c r="AR321">
        <v>53.859983</v>
      </c>
      <c r="AS321">
        <v>100</v>
      </c>
      <c r="AT321">
        <v>0.65073099999999995</v>
      </c>
      <c r="AU321">
        <v>0.66694299999999995</v>
      </c>
      <c r="AV321">
        <v>65.073091000000005</v>
      </c>
      <c r="AW321">
        <v>100</v>
      </c>
      <c r="AX321">
        <v>0.50319000000000003</v>
      </c>
      <c r="AY321">
        <v>0.55512399999999995</v>
      </c>
      <c r="AZ321">
        <v>50.319006999999999</v>
      </c>
      <c r="BA321">
        <v>100</v>
      </c>
      <c r="BB321" t="s">
        <v>125</v>
      </c>
      <c r="BC321" t="s">
        <v>125</v>
      </c>
      <c r="BD321" t="s">
        <v>125</v>
      </c>
      <c r="BE321" t="s">
        <v>125</v>
      </c>
      <c r="BF321" t="s">
        <v>125</v>
      </c>
      <c r="BG321" t="s">
        <v>125</v>
      </c>
      <c r="BH321">
        <v>1</v>
      </c>
      <c r="BI321">
        <v>0.97590399999999999</v>
      </c>
      <c r="BJ321">
        <v>0.93670900000000001</v>
      </c>
      <c r="BK321">
        <v>0.99411799999999995</v>
      </c>
      <c r="BL321">
        <v>0.96385500000000002</v>
      </c>
      <c r="BM321">
        <v>0.91139199999999998</v>
      </c>
      <c r="BN321">
        <v>0.98823499999999997</v>
      </c>
      <c r="BO321">
        <v>0.94898000000000005</v>
      </c>
      <c r="BP321">
        <v>0.89655200000000002</v>
      </c>
      <c r="BQ321">
        <v>0.97101400000000004</v>
      </c>
      <c r="BR321">
        <v>2.8132999999999998E-2</v>
      </c>
      <c r="BS321">
        <v>50</v>
      </c>
      <c r="BT321">
        <v>50</v>
      </c>
      <c r="BU321">
        <v>3.3897999999999998E-2</v>
      </c>
      <c r="BV321">
        <v>50</v>
      </c>
      <c r="BW321">
        <v>50</v>
      </c>
      <c r="BX321" t="s">
        <v>125</v>
      </c>
      <c r="BY321" t="s">
        <v>125</v>
      </c>
      <c r="BZ321" t="s">
        <v>125</v>
      </c>
      <c r="CA321" t="s">
        <v>125</v>
      </c>
      <c r="CB321" t="s">
        <v>125</v>
      </c>
      <c r="CC321" t="s">
        <v>125</v>
      </c>
      <c r="CD321">
        <v>0.95454499999999998</v>
      </c>
      <c r="CE321">
        <v>50</v>
      </c>
      <c r="CF321">
        <v>50</v>
      </c>
      <c r="CG321" t="s">
        <v>125</v>
      </c>
      <c r="CH321" t="s">
        <v>125</v>
      </c>
      <c r="CI321" t="s">
        <v>125</v>
      </c>
      <c r="CJ321" t="s">
        <v>125</v>
      </c>
      <c r="CK321" t="s">
        <v>125</v>
      </c>
      <c r="CL321" t="s">
        <v>125</v>
      </c>
      <c r="CM321" t="s">
        <v>125</v>
      </c>
      <c r="CN321" t="s">
        <v>125</v>
      </c>
      <c r="CO321" t="s">
        <v>125</v>
      </c>
      <c r="CP321" t="s">
        <v>125</v>
      </c>
      <c r="CQ321">
        <v>0.72307699999999997</v>
      </c>
      <c r="CR321">
        <v>1.007752</v>
      </c>
      <c r="CS321">
        <v>48.205128000000002</v>
      </c>
      <c r="CT321">
        <v>50</v>
      </c>
      <c r="CU321" t="s">
        <v>125</v>
      </c>
      <c r="CV321" t="s">
        <v>125</v>
      </c>
      <c r="CW321" t="s">
        <v>125</v>
      </c>
      <c r="CX321" t="s">
        <v>125</v>
      </c>
      <c r="CY321" t="s">
        <v>125</v>
      </c>
      <c r="CZ321" t="s">
        <v>125</v>
      </c>
      <c r="DA321">
        <v>15.314097</v>
      </c>
      <c r="DB321">
        <v>17.400950000000002</v>
      </c>
      <c r="DC321">
        <v>16.332519999999999</v>
      </c>
      <c r="DD321" t="s">
        <v>125</v>
      </c>
      <c r="DE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Q321" t="s">
        <v>126</v>
      </c>
    </row>
    <row r="322" spans="1:121" x14ac:dyDescent="0.15">
      <c r="A322">
        <v>2018</v>
      </c>
      <c r="B322" t="s">
        <v>201</v>
      </c>
      <c r="C322" t="str">
        <f>"0310011"</f>
        <v>0310011</v>
      </c>
      <c r="D322" t="s">
        <v>463</v>
      </c>
      <c r="E322" t="str">
        <f>"0310111"</f>
        <v>0310111</v>
      </c>
      <c r="F322" t="s">
        <v>328</v>
      </c>
      <c r="G322" t="s">
        <v>339</v>
      </c>
      <c r="H322">
        <v>8</v>
      </c>
      <c r="I322" t="s">
        <v>330</v>
      </c>
      <c r="J322" t="s">
        <v>331</v>
      </c>
      <c r="K322">
        <v>456.07795800000002</v>
      </c>
      <c r="L322">
        <v>500</v>
      </c>
      <c r="M322">
        <v>91.215592000000001</v>
      </c>
      <c r="N322">
        <v>1</v>
      </c>
      <c r="O322">
        <v>0</v>
      </c>
      <c r="P322">
        <v>76.665791999999996</v>
      </c>
      <c r="Q322">
        <v>50</v>
      </c>
      <c r="R322">
        <v>50</v>
      </c>
      <c r="S322" t="s">
        <v>125</v>
      </c>
      <c r="T322">
        <v>75</v>
      </c>
      <c r="U322" t="s">
        <v>125</v>
      </c>
      <c r="V322" t="s">
        <v>125</v>
      </c>
      <c r="W322">
        <v>70.289567000000005</v>
      </c>
      <c r="X322">
        <v>46.859712000000002</v>
      </c>
      <c r="Y322">
        <v>50</v>
      </c>
      <c r="Z322">
        <v>75</v>
      </c>
      <c r="AA322" t="s">
        <v>125</v>
      </c>
      <c r="AB322" t="s">
        <v>125</v>
      </c>
      <c r="AC322" t="s">
        <v>125</v>
      </c>
      <c r="AD322">
        <v>75.881101999999998</v>
      </c>
      <c r="AE322">
        <v>50</v>
      </c>
      <c r="AF322">
        <v>50</v>
      </c>
      <c r="AG322" t="s">
        <v>125</v>
      </c>
      <c r="AH322">
        <v>75</v>
      </c>
      <c r="AI322" t="s">
        <v>125</v>
      </c>
      <c r="AJ322" t="s">
        <v>125</v>
      </c>
      <c r="AK322" t="s">
        <v>125</v>
      </c>
      <c r="AL322" t="s">
        <v>125</v>
      </c>
      <c r="AM322" t="s">
        <v>125</v>
      </c>
      <c r="AN322">
        <v>0.73205200000000004</v>
      </c>
      <c r="AO322">
        <v>73.205241999999998</v>
      </c>
      <c r="AP322">
        <v>100</v>
      </c>
      <c r="AQ322">
        <v>0.86012999999999995</v>
      </c>
      <c r="AR322">
        <v>86.013005000000007</v>
      </c>
      <c r="AS322">
        <v>100</v>
      </c>
      <c r="AT322" t="s">
        <v>125</v>
      </c>
      <c r="AU322">
        <v>0.73979300000000003</v>
      </c>
      <c r="AV322" t="s">
        <v>125</v>
      </c>
      <c r="AW322" t="s">
        <v>125</v>
      </c>
      <c r="AX322" t="s">
        <v>125</v>
      </c>
      <c r="AY322">
        <v>0.89185199999999998</v>
      </c>
      <c r="AZ322" t="s">
        <v>125</v>
      </c>
      <c r="BA322" t="s">
        <v>125</v>
      </c>
      <c r="BB322" t="s">
        <v>125</v>
      </c>
      <c r="BC322" t="s">
        <v>125</v>
      </c>
      <c r="BD322" t="s">
        <v>125</v>
      </c>
      <c r="BE322" t="s">
        <v>125</v>
      </c>
      <c r="BF322" t="s">
        <v>125</v>
      </c>
      <c r="BG322" t="s">
        <v>125</v>
      </c>
      <c r="BH322">
        <v>0</v>
      </c>
      <c r="BI322">
        <v>0.95522399999999996</v>
      </c>
      <c r="BJ322" t="s">
        <v>125</v>
      </c>
      <c r="BK322">
        <v>0.9375</v>
      </c>
      <c r="BL322">
        <v>0.95522399999999996</v>
      </c>
      <c r="BM322" t="s">
        <v>125</v>
      </c>
      <c r="BN322">
        <v>0.9375</v>
      </c>
      <c r="BO322">
        <v>0.96551699999999996</v>
      </c>
      <c r="BP322" t="s">
        <v>125</v>
      </c>
      <c r="BQ322">
        <v>0.95454499999999998</v>
      </c>
      <c r="BR322">
        <v>3.2608999999999999E-2</v>
      </c>
      <c r="BS322">
        <v>50</v>
      </c>
      <c r="BT322">
        <v>50</v>
      </c>
      <c r="BU322">
        <v>0</v>
      </c>
      <c r="BV322">
        <v>50</v>
      </c>
      <c r="BW322">
        <v>50</v>
      </c>
      <c r="BX322" t="s">
        <v>125</v>
      </c>
      <c r="BY322" t="s">
        <v>125</v>
      </c>
      <c r="BZ322" t="s">
        <v>125</v>
      </c>
      <c r="CA322" t="s">
        <v>125</v>
      </c>
      <c r="CB322" t="s">
        <v>125</v>
      </c>
      <c r="CC322" t="s">
        <v>125</v>
      </c>
      <c r="CD322" t="s">
        <v>125</v>
      </c>
      <c r="CE322" t="s">
        <v>125</v>
      </c>
      <c r="CF322" t="s">
        <v>125</v>
      </c>
      <c r="CG322" t="s">
        <v>125</v>
      </c>
      <c r="CH322" t="s">
        <v>125</v>
      </c>
      <c r="CI322" t="s">
        <v>125</v>
      </c>
      <c r="CJ322" t="s">
        <v>125</v>
      </c>
      <c r="CK322" t="s">
        <v>125</v>
      </c>
      <c r="CL322" t="s">
        <v>125</v>
      </c>
      <c r="CM322" t="s">
        <v>125</v>
      </c>
      <c r="CN322" t="s">
        <v>125</v>
      </c>
      <c r="CO322" t="s">
        <v>125</v>
      </c>
      <c r="CP322" t="s">
        <v>125</v>
      </c>
      <c r="CQ322">
        <v>0.86666699999999997</v>
      </c>
      <c r="CR322">
        <v>1</v>
      </c>
      <c r="CS322">
        <v>50</v>
      </c>
      <c r="CT322">
        <v>50</v>
      </c>
      <c r="CU322" t="s">
        <v>125</v>
      </c>
      <c r="CV322" t="s">
        <v>125</v>
      </c>
      <c r="CW322" t="s">
        <v>125</v>
      </c>
      <c r="CX322" t="s">
        <v>125</v>
      </c>
      <c r="CY322" t="s">
        <v>125</v>
      </c>
      <c r="CZ322" t="s">
        <v>125</v>
      </c>
      <c r="DA322">
        <v>15.314097</v>
      </c>
      <c r="DB322">
        <v>17.400950000000002</v>
      </c>
      <c r="DC322">
        <v>16.332519999999999</v>
      </c>
      <c r="DD322" t="s">
        <v>125</v>
      </c>
      <c r="DE322">
        <v>0</v>
      </c>
      <c r="DH322" t="s">
        <v>332</v>
      </c>
      <c r="DI322" t="s">
        <v>333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Q322" t="s">
        <v>126</v>
      </c>
    </row>
    <row r="323" spans="1:121" x14ac:dyDescent="0.15">
      <c r="A323">
        <v>2018</v>
      </c>
      <c r="B323" t="s">
        <v>229</v>
      </c>
      <c r="C323" t="str">
        <f>"0320011"</f>
        <v>0320011</v>
      </c>
      <c r="D323" t="s">
        <v>464</v>
      </c>
      <c r="E323" t="str">
        <f>"0325111"</f>
        <v>0325111</v>
      </c>
      <c r="F323" t="s">
        <v>328</v>
      </c>
      <c r="G323">
        <v>6</v>
      </c>
      <c r="H323">
        <v>8</v>
      </c>
      <c r="J323" t="s">
        <v>331</v>
      </c>
      <c r="K323">
        <v>685.34669199999996</v>
      </c>
      <c r="L323">
        <v>900</v>
      </c>
      <c r="M323">
        <v>76.149631999999997</v>
      </c>
      <c r="N323">
        <v>2</v>
      </c>
      <c r="O323">
        <v>0</v>
      </c>
      <c r="P323">
        <v>80.129835999999997</v>
      </c>
      <c r="Q323">
        <v>50</v>
      </c>
      <c r="R323">
        <v>50</v>
      </c>
      <c r="S323">
        <v>70.694010000000006</v>
      </c>
      <c r="T323">
        <v>75</v>
      </c>
      <c r="U323">
        <v>47.129339999999999</v>
      </c>
      <c r="V323">
        <v>50</v>
      </c>
      <c r="W323">
        <v>69.943111999999999</v>
      </c>
      <c r="X323">
        <v>46.628740999999998</v>
      </c>
      <c r="Y323">
        <v>50</v>
      </c>
      <c r="Z323">
        <v>75</v>
      </c>
      <c r="AA323">
        <v>59.166859000000002</v>
      </c>
      <c r="AB323">
        <v>39.444572999999998</v>
      </c>
      <c r="AC323">
        <v>50</v>
      </c>
      <c r="AD323">
        <v>74.105262999999994</v>
      </c>
      <c r="AE323">
        <v>49.403509</v>
      </c>
      <c r="AF323">
        <v>50</v>
      </c>
      <c r="AG323">
        <v>63.724138000000004</v>
      </c>
      <c r="AH323">
        <v>75</v>
      </c>
      <c r="AI323">
        <v>42.482759000000001</v>
      </c>
      <c r="AJ323">
        <v>50</v>
      </c>
      <c r="AK323">
        <v>4.3</v>
      </c>
      <c r="AL323">
        <v>15.83</v>
      </c>
      <c r="AM323">
        <v>11.27</v>
      </c>
      <c r="AN323">
        <v>0.67647999999999997</v>
      </c>
      <c r="AO323">
        <v>67.648008000000004</v>
      </c>
      <c r="AP323">
        <v>100</v>
      </c>
      <c r="AQ323">
        <v>0.57382</v>
      </c>
      <c r="AR323">
        <v>57.382043000000003</v>
      </c>
      <c r="AS323">
        <v>100</v>
      </c>
      <c r="AT323">
        <v>0.62180299999999999</v>
      </c>
      <c r="AU323">
        <v>0.701627</v>
      </c>
      <c r="AV323">
        <v>62.18027</v>
      </c>
      <c r="AW323">
        <v>100</v>
      </c>
      <c r="AX323">
        <v>0.50846599999999997</v>
      </c>
      <c r="AY323">
        <v>0.60413399999999995</v>
      </c>
      <c r="AZ323">
        <v>50.846555000000002</v>
      </c>
      <c r="BA323">
        <v>100</v>
      </c>
      <c r="BB323" t="s">
        <v>125</v>
      </c>
      <c r="BC323" t="s">
        <v>125</v>
      </c>
      <c r="BD323" t="s">
        <v>125</v>
      </c>
      <c r="BE323" t="s">
        <v>125</v>
      </c>
      <c r="BF323" t="s">
        <v>125</v>
      </c>
      <c r="BG323" t="s">
        <v>125</v>
      </c>
      <c r="BH323">
        <v>0</v>
      </c>
      <c r="BI323">
        <v>0.988981</v>
      </c>
      <c r="BJ323">
        <v>0.966387</v>
      </c>
      <c r="BK323">
        <v>1</v>
      </c>
      <c r="BL323">
        <v>0.98622600000000005</v>
      </c>
      <c r="BM323">
        <v>0.95798300000000003</v>
      </c>
      <c r="BN323">
        <v>1</v>
      </c>
      <c r="BO323">
        <v>0.99137900000000001</v>
      </c>
      <c r="BP323">
        <v>1</v>
      </c>
      <c r="BQ323">
        <v>0.98765400000000003</v>
      </c>
      <c r="BR323">
        <v>7.1624999999999994E-2</v>
      </c>
      <c r="BS323">
        <v>45.674931000000001</v>
      </c>
      <c r="BT323">
        <v>50</v>
      </c>
      <c r="BU323">
        <v>0.12605</v>
      </c>
      <c r="BV323">
        <v>34.789915999999998</v>
      </c>
      <c r="BW323">
        <v>50</v>
      </c>
      <c r="BX323" t="s">
        <v>125</v>
      </c>
      <c r="BY323" t="s">
        <v>125</v>
      </c>
      <c r="BZ323" t="s">
        <v>125</v>
      </c>
      <c r="CA323" t="s">
        <v>125</v>
      </c>
      <c r="CB323" t="s">
        <v>125</v>
      </c>
      <c r="CC323" t="s">
        <v>125</v>
      </c>
      <c r="CD323">
        <v>0.88</v>
      </c>
      <c r="CE323">
        <v>46.808511000000003</v>
      </c>
      <c r="CF323">
        <v>50</v>
      </c>
      <c r="CG323" t="s">
        <v>125</v>
      </c>
      <c r="CH323" t="s">
        <v>125</v>
      </c>
      <c r="CI323" t="s">
        <v>125</v>
      </c>
      <c r="CJ323" t="s">
        <v>125</v>
      </c>
      <c r="CK323" t="s">
        <v>125</v>
      </c>
      <c r="CL323" t="s">
        <v>125</v>
      </c>
      <c r="CM323" t="s">
        <v>125</v>
      </c>
      <c r="CN323" t="s">
        <v>125</v>
      </c>
      <c r="CO323" t="s">
        <v>125</v>
      </c>
      <c r="CP323" t="s">
        <v>125</v>
      </c>
      <c r="CQ323">
        <v>0.67391299999999998</v>
      </c>
      <c r="CR323">
        <v>0.974576</v>
      </c>
      <c r="CS323">
        <v>44.927536000000003</v>
      </c>
      <c r="CT323">
        <v>50</v>
      </c>
      <c r="CU323" t="s">
        <v>125</v>
      </c>
      <c r="CV323" t="s">
        <v>125</v>
      </c>
      <c r="CW323" t="s">
        <v>125</v>
      </c>
      <c r="CX323" t="s">
        <v>125</v>
      </c>
      <c r="CY323" t="s">
        <v>125</v>
      </c>
      <c r="CZ323" t="s">
        <v>125</v>
      </c>
      <c r="DA323">
        <v>15.314097</v>
      </c>
      <c r="DB323">
        <v>17.400950000000002</v>
      </c>
      <c r="DC323">
        <v>16.332519999999999</v>
      </c>
      <c r="DD323" t="s">
        <v>125</v>
      </c>
      <c r="DE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Q323" t="s">
        <v>126</v>
      </c>
    </row>
    <row r="324" spans="1:121" x14ac:dyDescent="0.15">
      <c r="A324">
        <v>2018</v>
      </c>
      <c r="B324" t="s">
        <v>229</v>
      </c>
      <c r="C324" t="str">
        <f>"0320011"</f>
        <v>0320011</v>
      </c>
      <c r="D324" t="s">
        <v>465</v>
      </c>
      <c r="E324" t="str">
        <f>"0320111"</f>
        <v>0320111</v>
      </c>
      <c r="F324" t="s">
        <v>328</v>
      </c>
      <c r="G324">
        <v>8</v>
      </c>
      <c r="H324">
        <v>12</v>
      </c>
      <c r="J324" t="s">
        <v>331</v>
      </c>
      <c r="K324">
        <v>15.873016</v>
      </c>
      <c r="L324">
        <v>100</v>
      </c>
      <c r="M324">
        <v>15.873016</v>
      </c>
      <c r="N324" t="s">
        <v>125</v>
      </c>
      <c r="O324" t="s">
        <v>125</v>
      </c>
      <c r="P324" t="s">
        <v>125</v>
      </c>
      <c r="Q324" t="s">
        <v>125</v>
      </c>
      <c r="R324" t="s">
        <v>125</v>
      </c>
      <c r="S324" t="s">
        <v>125</v>
      </c>
      <c r="T324" t="s">
        <v>125</v>
      </c>
      <c r="U324" t="s">
        <v>125</v>
      </c>
      <c r="V324" t="s">
        <v>125</v>
      </c>
      <c r="W324" t="s">
        <v>125</v>
      </c>
      <c r="X324" t="s">
        <v>125</v>
      </c>
      <c r="Y324" t="s">
        <v>125</v>
      </c>
      <c r="Z324" t="s">
        <v>125</v>
      </c>
      <c r="AA324" t="s">
        <v>125</v>
      </c>
      <c r="AB324" t="s">
        <v>125</v>
      </c>
      <c r="AC324" t="s">
        <v>125</v>
      </c>
      <c r="AD324" t="s">
        <v>125</v>
      </c>
      <c r="AE324" t="s">
        <v>125</v>
      </c>
      <c r="AF324" t="s">
        <v>125</v>
      </c>
      <c r="AG324" t="s">
        <v>125</v>
      </c>
      <c r="AH324" t="s">
        <v>125</v>
      </c>
      <c r="AI324" t="s">
        <v>125</v>
      </c>
      <c r="AJ324" t="s">
        <v>125</v>
      </c>
      <c r="AK324" t="s">
        <v>125</v>
      </c>
      <c r="AL324" t="s">
        <v>125</v>
      </c>
      <c r="AM324" t="s">
        <v>125</v>
      </c>
      <c r="AN324" t="s">
        <v>125</v>
      </c>
      <c r="AO324" t="s">
        <v>125</v>
      </c>
      <c r="AP324" t="s">
        <v>125</v>
      </c>
      <c r="AQ324" t="s">
        <v>125</v>
      </c>
      <c r="AR324" t="s">
        <v>125</v>
      </c>
      <c r="AS324" t="s">
        <v>125</v>
      </c>
      <c r="AT324" t="s">
        <v>125</v>
      </c>
      <c r="AU324" t="s">
        <v>125</v>
      </c>
      <c r="AV324" t="s">
        <v>125</v>
      </c>
      <c r="AW324" t="s">
        <v>125</v>
      </c>
      <c r="AX324" t="s">
        <v>125</v>
      </c>
      <c r="AY324" t="s">
        <v>125</v>
      </c>
      <c r="AZ324" t="s">
        <v>125</v>
      </c>
      <c r="BA324" t="s">
        <v>125</v>
      </c>
      <c r="BB324" t="s">
        <v>125</v>
      </c>
      <c r="BC324" t="s">
        <v>125</v>
      </c>
      <c r="BD324" t="s">
        <v>125</v>
      </c>
      <c r="BE324" t="s">
        <v>125</v>
      </c>
      <c r="BF324" t="s">
        <v>125</v>
      </c>
      <c r="BG324" t="s">
        <v>125</v>
      </c>
      <c r="BH324">
        <v>0</v>
      </c>
      <c r="BI324" t="s">
        <v>125</v>
      </c>
      <c r="BJ324" t="s">
        <v>125</v>
      </c>
      <c r="BK324" t="s">
        <v>125</v>
      </c>
      <c r="BL324" t="s">
        <v>125</v>
      </c>
      <c r="BM324" t="s">
        <v>125</v>
      </c>
      <c r="BN324" t="s">
        <v>125</v>
      </c>
      <c r="BO324" t="s">
        <v>125</v>
      </c>
      <c r="BP324" t="s">
        <v>125</v>
      </c>
      <c r="BQ324" t="s">
        <v>125</v>
      </c>
      <c r="BR324">
        <v>0.36363600000000001</v>
      </c>
      <c r="BS324">
        <v>0</v>
      </c>
      <c r="BT324">
        <v>50</v>
      </c>
      <c r="BU324" t="s">
        <v>125</v>
      </c>
      <c r="BV324" t="s">
        <v>125</v>
      </c>
      <c r="BW324" t="s">
        <v>125</v>
      </c>
      <c r="BX324" t="s">
        <v>125</v>
      </c>
      <c r="BY324" t="s">
        <v>125</v>
      </c>
      <c r="BZ324" t="s">
        <v>125</v>
      </c>
      <c r="CA324" t="s">
        <v>125</v>
      </c>
      <c r="CB324" t="s">
        <v>125</v>
      </c>
      <c r="CC324" t="s">
        <v>125</v>
      </c>
      <c r="CD324" t="s">
        <v>125</v>
      </c>
      <c r="CE324" t="s">
        <v>125</v>
      </c>
      <c r="CF324" t="s">
        <v>125</v>
      </c>
      <c r="CG324" t="s">
        <v>125</v>
      </c>
      <c r="CH324" t="s">
        <v>125</v>
      </c>
      <c r="CI324" t="s">
        <v>125</v>
      </c>
      <c r="CJ324" t="s">
        <v>125</v>
      </c>
      <c r="CK324" t="s">
        <v>125</v>
      </c>
      <c r="CL324" t="s">
        <v>125</v>
      </c>
      <c r="CM324" t="s">
        <v>125</v>
      </c>
      <c r="CN324" t="s">
        <v>125</v>
      </c>
      <c r="CO324" t="s">
        <v>125</v>
      </c>
      <c r="CP324" t="s">
        <v>125</v>
      </c>
      <c r="CQ324" t="s">
        <v>125</v>
      </c>
      <c r="CR324" t="s">
        <v>125</v>
      </c>
      <c r="CS324" t="s">
        <v>125</v>
      </c>
      <c r="CT324" t="s">
        <v>125</v>
      </c>
      <c r="CU324">
        <v>0.19047600000000001</v>
      </c>
      <c r="CV324">
        <v>15.873016</v>
      </c>
      <c r="CW324">
        <v>50</v>
      </c>
      <c r="CX324" t="s">
        <v>125</v>
      </c>
      <c r="CY324" t="s">
        <v>125</v>
      </c>
      <c r="CZ324" t="s">
        <v>125</v>
      </c>
      <c r="DA324" t="s">
        <v>125</v>
      </c>
      <c r="DB324" t="s">
        <v>125</v>
      </c>
      <c r="DC324" t="s">
        <v>125</v>
      </c>
      <c r="DD324" t="s">
        <v>125</v>
      </c>
      <c r="DE324" t="s">
        <v>125</v>
      </c>
      <c r="DJ324" t="s">
        <v>125</v>
      </c>
      <c r="DK324" t="s">
        <v>125</v>
      </c>
      <c r="DL324" t="s">
        <v>125</v>
      </c>
      <c r="DM324" t="s">
        <v>125</v>
      </c>
      <c r="DN324" t="s">
        <v>125</v>
      </c>
      <c r="DO324" t="s">
        <v>125</v>
      </c>
      <c r="DQ324" t="s">
        <v>126</v>
      </c>
    </row>
    <row r="325" spans="1:121" x14ac:dyDescent="0.15">
      <c r="A325">
        <v>2018</v>
      </c>
      <c r="B325" t="s">
        <v>229</v>
      </c>
      <c r="C325" t="str">
        <f>"0320011"</f>
        <v>0320011</v>
      </c>
      <c r="D325" t="s">
        <v>466</v>
      </c>
      <c r="E325" t="str">
        <f>"0320211"</f>
        <v>0320211</v>
      </c>
      <c r="F325" t="s">
        <v>328</v>
      </c>
      <c r="G325" t="s">
        <v>339</v>
      </c>
      <c r="H325">
        <v>2</v>
      </c>
      <c r="I325" t="s">
        <v>330</v>
      </c>
      <c r="J325" t="s">
        <v>331</v>
      </c>
      <c r="K325">
        <v>70.717162999999999</v>
      </c>
      <c r="L325">
        <v>100</v>
      </c>
      <c r="M325">
        <v>70.717162999999999</v>
      </c>
      <c r="N325" t="s">
        <v>125</v>
      </c>
      <c r="O325" t="s">
        <v>125</v>
      </c>
      <c r="P325" t="s">
        <v>125</v>
      </c>
      <c r="Q325" t="s">
        <v>125</v>
      </c>
      <c r="R325" t="s">
        <v>125</v>
      </c>
      <c r="S325" t="s">
        <v>125</v>
      </c>
      <c r="T325" t="s">
        <v>125</v>
      </c>
      <c r="U325" t="s">
        <v>125</v>
      </c>
      <c r="V325" t="s">
        <v>125</v>
      </c>
      <c r="W325" t="s">
        <v>125</v>
      </c>
      <c r="X325" t="s">
        <v>125</v>
      </c>
      <c r="Y325" t="s">
        <v>125</v>
      </c>
      <c r="Z325" t="s">
        <v>125</v>
      </c>
      <c r="AA325" t="s">
        <v>125</v>
      </c>
      <c r="AB325" t="s">
        <v>125</v>
      </c>
      <c r="AC325" t="s">
        <v>125</v>
      </c>
      <c r="AD325" t="s">
        <v>125</v>
      </c>
      <c r="AE325" t="s">
        <v>125</v>
      </c>
      <c r="AF325" t="s">
        <v>125</v>
      </c>
      <c r="AG325" t="s">
        <v>125</v>
      </c>
      <c r="AH325" t="s">
        <v>125</v>
      </c>
      <c r="AI325" t="s">
        <v>125</v>
      </c>
      <c r="AJ325" t="s">
        <v>125</v>
      </c>
      <c r="AK325" t="s">
        <v>125</v>
      </c>
      <c r="AL325" t="s">
        <v>125</v>
      </c>
      <c r="AM325" t="s">
        <v>125</v>
      </c>
      <c r="AN325" t="s">
        <v>125</v>
      </c>
      <c r="AO325" t="s">
        <v>125</v>
      </c>
      <c r="AP325" t="s">
        <v>125</v>
      </c>
      <c r="AQ325" t="s">
        <v>125</v>
      </c>
      <c r="AR325" t="s">
        <v>125</v>
      </c>
      <c r="AS325" t="s">
        <v>125</v>
      </c>
      <c r="AT325" t="s">
        <v>125</v>
      </c>
      <c r="AU325" t="s">
        <v>125</v>
      </c>
      <c r="AV325" t="s">
        <v>125</v>
      </c>
      <c r="AW325" t="s">
        <v>125</v>
      </c>
      <c r="AX325" t="s">
        <v>125</v>
      </c>
      <c r="AY325" t="s">
        <v>125</v>
      </c>
      <c r="AZ325" t="s">
        <v>125</v>
      </c>
      <c r="BA325" t="s">
        <v>125</v>
      </c>
      <c r="BB325" t="s">
        <v>125</v>
      </c>
      <c r="BC325" t="s">
        <v>125</v>
      </c>
      <c r="BD325" t="s">
        <v>125</v>
      </c>
      <c r="BE325" t="s">
        <v>125</v>
      </c>
      <c r="BF325" t="s">
        <v>125</v>
      </c>
      <c r="BG325" t="s">
        <v>125</v>
      </c>
      <c r="BH325" t="s">
        <v>125</v>
      </c>
      <c r="BI325" t="s">
        <v>125</v>
      </c>
      <c r="BJ325" t="s">
        <v>125</v>
      </c>
      <c r="BK325" t="s">
        <v>125</v>
      </c>
      <c r="BL325" t="s">
        <v>125</v>
      </c>
      <c r="BM325" t="s">
        <v>125</v>
      </c>
      <c r="BN325" t="s">
        <v>125</v>
      </c>
      <c r="BO325" t="s">
        <v>125</v>
      </c>
      <c r="BP325" t="s">
        <v>125</v>
      </c>
      <c r="BQ325" t="s">
        <v>125</v>
      </c>
      <c r="BR325">
        <v>8.2621E-2</v>
      </c>
      <c r="BS325">
        <v>43.475783</v>
      </c>
      <c r="BT325">
        <v>50</v>
      </c>
      <c r="BU325">
        <v>0.16379299999999999</v>
      </c>
      <c r="BV325">
        <v>27.241378999999998</v>
      </c>
      <c r="BW325">
        <v>50</v>
      </c>
      <c r="BX325" t="s">
        <v>125</v>
      </c>
      <c r="BY325" t="s">
        <v>125</v>
      </c>
      <c r="BZ325" t="s">
        <v>125</v>
      </c>
      <c r="CA325" t="s">
        <v>125</v>
      </c>
      <c r="CB325" t="s">
        <v>125</v>
      </c>
      <c r="CC325" t="s">
        <v>125</v>
      </c>
      <c r="CD325" t="s">
        <v>125</v>
      </c>
      <c r="CE325" t="s">
        <v>125</v>
      </c>
      <c r="CF325" t="s">
        <v>125</v>
      </c>
      <c r="CG325" t="s">
        <v>125</v>
      </c>
      <c r="CH325" t="s">
        <v>125</v>
      </c>
      <c r="CI325" t="s">
        <v>125</v>
      </c>
      <c r="CJ325" t="s">
        <v>125</v>
      </c>
      <c r="CK325" t="s">
        <v>125</v>
      </c>
      <c r="CL325" t="s">
        <v>125</v>
      </c>
      <c r="CM325" t="s">
        <v>125</v>
      </c>
      <c r="CN325" t="s">
        <v>125</v>
      </c>
      <c r="CO325" t="s">
        <v>125</v>
      </c>
      <c r="CP325" t="s">
        <v>125</v>
      </c>
      <c r="CQ325" t="s">
        <v>125</v>
      </c>
      <c r="CR325" t="s">
        <v>125</v>
      </c>
      <c r="CS325" t="s">
        <v>125</v>
      </c>
      <c r="CT325" t="s">
        <v>125</v>
      </c>
      <c r="CU325" t="s">
        <v>125</v>
      </c>
      <c r="CV325" t="s">
        <v>125</v>
      </c>
      <c r="CW325" t="s">
        <v>125</v>
      </c>
      <c r="CX325" t="s">
        <v>125</v>
      </c>
      <c r="CY325" t="s">
        <v>125</v>
      </c>
      <c r="CZ325" t="s">
        <v>125</v>
      </c>
      <c r="DA325" t="s">
        <v>125</v>
      </c>
      <c r="DB325" t="s">
        <v>125</v>
      </c>
      <c r="DC325" t="s">
        <v>125</v>
      </c>
      <c r="DD325" t="s">
        <v>125</v>
      </c>
      <c r="DE325" t="s">
        <v>125</v>
      </c>
      <c r="DJ325" t="s">
        <v>125</v>
      </c>
      <c r="DK325" t="s">
        <v>125</v>
      </c>
      <c r="DL325" t="s">
        <v>125</v>
      </c>
      <c r="DM325" t="s">
        <v>125</v>
      </c>
      <c r="DN325" t="s">
        <v>125</v>
      </c>
      <c r="DO325" t="s">
        <v>125</v>
      </c>
      <c r="DQ325" t="s">
        <v>126</v>
      </c>
    </row>
    <row r="326" spans="1:121" x14ac:dyDescent="0.15">
      <c r="A326">
        <v>2018</v>
      </c>
      <c r="B326" t="s">
        <v>229</v>
      </c>
      <c r="C326" t="str">
        <f>"0320011"</f>
        <v>0320011</v>
      </c>
      <c r="D326" t="s">
        <v>467</v>
      </c>
      <c r="E326" t="str">
        <f>"0326111"</f>
        <v>0326111</v>
      </c>
      <c r="F326" t="s">
        <v>328</v>
      </c>
      <c r="G326">
        <v>9</v>
      </c>
      <c r="H326">
        <v>12</v>
      </c>
      <c r="J326" t="s">
        <v>331</v>
      </c>
      <c r="K326">
        <v>1204.322782</v>
      </c>
      <c r="L326">
        <v>1450</v>
      </c>
      <c r="M326">
        <v>83.056743999999995</v>
      </c>
      <c r="N326">
        <v>2</v>
      </c>
      <c r="O326">
        <v>0</v>
      </c>
      <c r="P326">
        <v>63.893275000000003</v>
      </c>
      <c r="Q326">
        <v>127.78655000000001</v>
      </c>
      <c r="R326">
        <v>150</v>
      </c>
      <c r="S326">
        <v>56.594203</v>
      </c>
      <c r="T326">
        <v>65.738095000000001</v>
      </c>
      <c r="U326">
        <v>113.188406</v>
      </c>
      <c r="V326">
        <v>150</v>
      </c>
      <c r="W326">
        <v>61.834795</v>
      </c>
      <c r="X326">
        <v>123.669591</v>
      </c>
      <c r="Y326">
        <v>150</v>
      </c>
      <c r="Z326">
        <v>63.743589999999998</v>
      </c>
      <c r="AA326">
        <v>54.282609000000001</v>
      </c>
      <c r="AB326">
        <v>108.565217</v>
      </c>
      <c r="AC326">
        <v>150</v>
      </c>
      <c r="AD326">
        <v>62.845478999999997</v>
      </c>
      <c r="AE326">
        <v>83.793971999999997</v>
      </c>
      <c r="AF326">
        <v>100</v>
      </c>
      <c r="AG326">
        <v>59.195512999999998</v>
      </c>
      <c r="AH326">
        <v>63.818803000000003</v>
      </c>
      <c r="AI326">
        <v>78.927350000000004</v>
      </c>
      <c r="AJ326">
        <v>100</v>
      </c>
      <c r="AK326">
        <v>9.14</v>
      </c>
      <c r="AL326">
        <v>9.4600000000000009</v>
      </c>
      <c r="AM326">
        <v>4.62</v>
      </c>
      <c r="AN326" t="s">
        <v>125</v>
      </c>
      <c r="AO326" t="s">
        <v>125</v>
      </c>
      <c r="AP326" t="s">
        <v>125</v>
      </c>
      <c r="AQ326" t="s">
        <v>125</v>
      </c>
      <c r="AR326" t="s">
        <v>125</v>
      </c>
      <c r="AS326" t="s">
        <v>125</v>
      </c>
      <c r="AT326" t="s">
        <v>125</v>
      </c>
      <c r="AU326" t="s">
        <v>125</v>
      </c>
      <c r="AV326" t="s">
        <v>125</v>
      </c>
      <c r="AW326" t="s">
        <v>125</v>
      </c>
      <c r="AX326" t="s">
        <v>125</v>
      </c>
      <c r="AY326" t="s">
        <v>125</v>
      </c>
      <c r="AZ326" t="s">
        <v>125</v>
      </c>
      <c r="BA326" t="s">
        <v>125</v>
      </c>
      <c r="BB326" t="s">
        <v>125</v>
      </c>
      <c r="BC326" t="s">
        <v>125</v>
      </c>
      <c r="BD326" t="s">
        <v>125</v>
      </c>
      <c r="BE326" t="s">
        <v>125</v>
      </c>
      <c r="BF326" t="s">
        <v>125</v>
      </c>
      <c r="BG326" t="s">
        <v>125</v>
      </c>
      <c r="BH326">
        <v>0</v>
      </c>
      <c r="BI326">
        <v>0.98290599999999995</v>
      </c>
      <c r="BJ326">
        <v>0.96</v>
      </c>
      <c r="BK326">
        <v>0.98912999999999995</v>
      </c>
      <c r="BL326">
        <v>0.98290599999999995</v>
      </c>
      <c r="BM326">
        <v>0.96</v>
      </c>
      <c r="BN326">
        <v>0.98912999999999995</v>
      </c>
      <c r="BO326">
        <v>0.99137900000000001</v>
      </c>
      <c r="BP326">
        <v>1</v>
      </c>
      <c r="BQ326">
        <v>0.98901099999999997</v>
      </c>
      <c r="BR326">
        <v>0.104784</v>
      </c>
      <c r="BS326">
        <v>39.043280000000003</v>
      </c>
      <c r="BT326">
        <v>50</v>
      </c>
      <c r="BU326">
        <v>0.24444399999999999</v>
      </c>
      <c r="BV326">
        <v>11.111110999999999</v>
      </c>
      <c r="BW326">
        <v>50</v>
      </c>
      <c r="BX326">
        <v>0.97209299999999998</v>
      </c>
      <c r="BY326">
        <v>50</v>
      </c>
      <c r="BZ326">
        <v>50</v>
      </c>
      <c r="CA326">
        <v>0.62325600000000003</v>
      </c>
      <c r="CB326">
        <v>41.550387999999998</v>
      </c>
      <c r="CC326">
        <v>50</v>
      </c>
      <c r="CD326">
        <v>0.87850499999999998</v>
      </c>
      <c r="CE326">
        <v>46.728971999999999</v>
      </c>
      <c r="CF326">
        <v>50</v>
      </c>
      <c r="CG326">
        <v>0.97321400000000002</v>
      </c>
      <c r="CH326">
        <v>100</v>
      </c>
      <c r="CI326">
        <v>100</v>
      </c>
      <c r="CJ326">
        <v>0</v>
      </c>
      <c r="CK326">
        <v>0.91891900000000004</v>
      </c>
      <c r="CL326">
        <v>97.757332000000005</v>
      </c>
      <c r="CM326">
        <v>100</v>
      </c>
      <c r="CN326">
        <v>0.74774799999999997</v>
      </c>
      <c r="CO326">
        <v>99.699700000000007</v>
      </c>
      <c r="CP326">
        <v>100</v>
      </c>
      <c r="CQ326">
        <v>0.57407399999999997</v>
      </c>
      <c r="CR326">
        <v>0.92307700000000004</v>
      </c>
      <c r="CS326">
        <v>38.271605000000001</v>
      </c>
      <c r="CT326">
        <v>50</v>
      </c>
      <c r="CU326">
        <v>0.530752</v>
      </c>
      <c r="CV326">
        <v>44.229309000000001</v>
      </c>
      <c r="CW326">
        <v>50</v>
      </c>
      <c r="CX326">
        <v>0.91891900000000004</v>
      </c>
      <c r="CY326">
        <v>0.94</v>
      </c>
      <c r="CZ326">
        <v>2.1080999999999999E-2</v>
      </c>
      <c r="DA326">
        <v>15.314097</v>
      </c>
      <c r="DB326">
        <v>17.400950000000002</v>
      </c>
      <c r="DC326">
        <v>16.332519999999999</v>
      </c>
      <c r="DD326">
        <v>7.9891730000000001</v>
      </c>
      <c r="DE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Q326" t="s">
        <v>126</v>
      </c>
    </row>
    <row r="327" spans="1:121" x14ac:dyDescent="0.15">
      <c r="A327">
        <v>2018</v>
      </c>
      <c r="B327" t="s">
        <v>229</v>
      </c>
      <c r="C327" t="str">
        <f>"0320011"</f>
        <v>0320011</v>
      </c>
      <c r="D327" t="s">
        <v>468</v>
      </c>
      <c r="E327" t="str">
        <f>"0320411"</f>
        <v>0320411</v>
      </c>
      <c r="F327" t="s">
        <v>328</v>
      </c>
      <c r="G327">
        <v>3</v>
      </c>
      <c r="H327">
        <v>5</v>
      </c>
      <c r="I327" t="s">
        <v>330</v>
      </c>
      <c r="J327" t="s">
        <v>331</v>
      </c>
      <c r="K327">
        <v>739.64722099999994</v>
      </c>
      <c r="L327">
        <v>850</v>
      </c>
      <c r="M327">
        <v>87.017319999999998</v>
      </c>
      <c r="N327">
        <v>1</v>
      </c>
      <c r="O327">
        <v>0</v>
      </c>
      <c r="P327">
        <v>80.284507000000005</v>
      </c>
      <c r="Q327">
        <v>50</v>
      </c>
      <c r="R327">
        <v>50</v>
      </c>
      <c r="S327">
        <v>69.471165999999997</v>
      </c>
      <c r="T327">
        <v>75</v>
      </c>
      <c r="U327">
        <v>46.314109999999999</v>
      </c>
      <c r="V327">
        <v>50</v>
      </c>
      <c r="W327">
        <v>77.333056999999997</v>
      </c>
      <c r="X327">
        <v>50</v>
      </c>
      <c r="Y327">
        <v>50</v>
      </c>
      <c r="Z327">
        <v>75</v>
      </c>
      <c r="AA327">
        <v>65.614177999999995</v>
      </c>
      <c r="AB327">
        <v>43.742784999999998</v>
      </c>
      <c r="AC327">
        <v>50</v>
      </c>
      <c r="AD327">
        <v>77.703052999999997</v>
      </c>
      <c r="AE327">
        <v>50</v>
      </c>
      <c r="AF327">
        <v>50</v>
      </c>
      <c r="AG327">
        <v>72.419573</v>
      </c>
      <c r="AH327">
        <v>75</v>
      </c>
      <c r="AI327">
        <v>48.279715000000003</v>
      </c>
      <c r="AJ327">
        <v>50</v>
      </c>
      <c r="AK327">
        <v>5.52</v>
      </c>
      <c r="AL327">
        <v>9.3800000000000008</v>
      </c>
      <c r="AM327">
        <v>2.58</v>
      </c>
      <c r="AN327">
        <v>0.78609099999999998</v>
      </c>
      <c r="AO327">
        <v>78.609065999999999</v>
      </c>
      <c r="AP327">
        <v>100</v>
      </c>
      <c r="AQ327">
        <v>0.90646199999999999</v>
      </c>
      <c r="AR327">
        <v>90.646248</v>
      </c>
      <c r="AS327">
        <v>100</v>
      </c>
      <c r="AT327">
        <v>0.71318599999999999</v>
      </c>
      <c r="AU327">
        <v>0.81347999999999998</v>
      </c>
      <c r="AV327">
        <v>71.318585999999996</v>
      </c>
      <c r="AW327">
        <v>100</v>
      </c>
      <c r="AX327">
        <v>0.834762</v>
      </c>
      <c r="AY327">
        <v>0.93340000000000001</v>
      </c>
      <c r="AZ327">
        <v>83.476174</v>
      </c>
      <c r="BA327">
        <v>100</v>
      </c>
      <c r="BB327" t="s">
        <v>125</v>
      </c>
      <c r="BC327" t="s">
        <v>125</v>
      </c>
      <c r="BD327" t="s">
        <v>125</v>
      </c>
      <c r="BE327" t="s">
        <v>125</v>
      </c>
      <c r="BF327" t="s">
        <v>125</v>
      </c>
      <c r="BG327" t="s">
        <v>125</v>
      </c>
      <c r="BH327">
        <v>0</v>
      </c>
      <c r="BI327">
        <v>0.99465199999999998</v>
      </c>
      <c r="BJ327">
        <v>0.99152499999999999</v>
      </c>
      <c r="BK327">
        <v>0.99609400000000003</v>
      </c>
      <c r="BL327">
        <v>0.99465199999999998</v>
      </c>
      <c r="BM327">
        <v>0.99152499999999999</v>
      </c>
      <c r="BN327">
        <v>0.99609400000000003</v>
      </c>
      <c r="BO327">
        <v>0.99290800000000001</v>
      </c>
      <c r="BP327">
        <v>1</v>
      </c>
      <c r="BQ327">
        <v>0.99038499999999996</v>
      </c>
      <c r="BR327">
        <v>3.2086000000000003E-2</v>
      </c>
      <c r="BS327">
        <v>50</v>
      </c>
      <c r="BT327">
        <v>50</v>
      </c>
      <c r="BU327">
        <v>7.7586000000000002E-2</v>
      </c>
      <c r="BV327">
        <v>44.482759000000001</v>
      </c>
      <c r="BW327">
        <v>50</v>
      </c>
      <c r="BX327" t="s">
        <v>125</v>
      </c>
      <c r="BY327" t="s">
        <v>125</v>
      </c>
      <c r="BZ327" t="s">
        <v>125</v>
      </c>
      <c r="CA327" t="s">
        <v>125</v>
      </c>
      <c r="CB327" t="s">
        <v>125</v>
      </c>
      <c r="CC327" t="s">
        <v>125</v>
      </c>
      <c r="CD327" t="s">
        <v>125</v>
      </c>
      <c r="CE327" t="s">
        <v>125</v>
      </c>
      <c r="CF327" t="s">
        <v>125</v>
      </c>
      <c r="CG327" t="s">
        <v>125</v>
      </c>
      <c r="CH327" t="s">
        <v>125</v>
      </c>
      <c r="CI327" t="s">
        <v>125</v>
      </c>
      <c r="CJ327" t="s">
        <v>125</v>
      </c>
      <c r="CK327" t="s">
        <v>125</v>
      </c>
      <c r="CL327" t="s">
        <v>125</v>
      </c>
      <c r="CM327" t="s">
        <v>125</v>
      </c>
      <c r="CN327" t="s">
        <v>125</v>
      </c>
      <c r="CO327" t="s">
        <v>125</v>
      </c>
      <c r="CP327" t="s">
        <v>125</v>
      </c>
      <c r="CQ327">
        <v>0.49166700000000002</v>
      </c>
      <c r="CR327">
        <v>1</v>
      </c>
      <c r="CS327">
        <v>32.777777999999998</v>
      </c>
      <c r="CT327">
        <v>50</v>
      </c>
      <c r="CU327" t="s">
        <v>125</v>
      </c>
      <c r="CV327" t="s">
        <v>125</v>
      </c>
      <c r="CW327" t="s">
        <v>125</v>
      </c>
      <c r="CX327" t="s">
        <v>125</v>
      </c>
      <c r="CY327" t="s">
        <v>125</v>
      </c>
      <c r="CZ327" t="s">
        <v>125</v>
      </c>
      <c r="DA327">
        <v>15.314097</v>
      </c>
      <c r="DB327">
        <v>17.400950000000002</v>
      </c>
      <c r="DC327">
        <v>16.332519999999999</v>
      </c>
      <c r="DD327" t="s">
        <v>125</v>
      </c>
      <c r="DE327">
        <v>0</v>
      </c>
      <c r="DH327" t="s">
        <v>332</v>
      </c>
      <c r="DI327" t="s">
        <v>469</v>
      </c>
      <c r="DJ327">
        <v>1</v>
      </c>
      <c r="DK327">
        <v>1</v>
      </c>
      <c r="DL327">
        <v>1</v>
      </c>
      <c r="DM327">
        <v>0</v>
      </c>
      <c r="DN327">
        <v>1</v>
      </c>
      <c r="DO327">
        <v>0</v>
      </c>
      <c r="DQ327" t="s">
        <v>126</v>
      </c>
    </row>
    <row r="328" spans="1:121" x14ac:dyDescent="0.15">
      <c r="A328">
        <v>2018</v>
      </c>
      <c r="B328" t="s">
        <v>205</v>
      </c>
      <c r="C328" t="str">
        <f>"0330011"</f>
        <v>0330011</v>
      </c>
      <c r="D328" t="s">
        <v>470</v>
      </c>
      <c r="E328" t="str">
        <f>"0336111"</f>
        <v>0336111</v>
      </c>
      <c r="F328" t="s">
        <v>328</v>
      </c>
      <c r="G328">
        <v>9</v>
      </c>
      <c r="H328">
        <v>12</v>
      </c>
      <c r="I328" t="s">
        <v>330</v>
      </c>
      <c r="J328" t="s">
        <v>331</v>
      </c>
      <c r="K328">
        <v>1162.0813450000001</v>
      </c>
      <c r="L328">
        <v>1450</v>
      </c>
      <c r="M328">
        <v>80.143540999999999</v>
      </c>
      <c r="N328">
        <v>3</v>
      </c>
      <c r="O328">
        <v>1</v>
      </c>
      <c r="P328">
        <v>59.531999999999996</v>
      </c>
      <c r="Q328">
        <v>119.06399999999999</v>
      </c>
      <c r="R328">
        <v>150</v>
      </c>
      <c r="S328">
        <v>46.902777999999998</v>
      </c>
      <c r="T328">
        <v>64.640449000000004</v>
      </c>
      <c r="U328">
        <v>93.805555999999996</v>
      </c>
      <c r="V328">
        <v>150</v>
      </c>
      <c r="W328">
        <v>56.363999999999997</v>
      </c>
      <c r="X328">
        <v>112.72799999999999</v>
      </c>
      <c r="Y328">
        <v>150</v>
      </c>
      <c r="Z328">
        <v>61.076779000000002</v>
      </c>
      <c r="AA328">
        <v>44.712963000000002</v>
      </c>
      <c r="AB328">
        <v>89.425926000000004</v>
      </c>
      <c r="AC328">
        <v>150</v>
      </c>
      <c r="AD328">
        <v>55.823785999999998</v>
      </c>
      <c r="AE328">
        <v>74.431714999999997</v>
      </c>
      <c r="AF328">
        <v>100</v>
      </c>
      <c r="AG328">
        <v>44.586427</v>
      </c>
      <c r="AH328">
        <v>60.44359</v>
      </c>
      <c r="AI328">
        <v>59.448568999999999</v>
      </c>
      <c r="AJ328">
        <v>100</v>
      </c>
      <c r="AK328">
        <v>17.73</v>
      </c>
      <c r="AL328">
        <v>16.36</v>
      </c>
      <c r="AM328">
        <v>15.85</v>
      </c>
      <c r="AN328" t="s">
        <v>125</v>
      </c>
      <c r="AO328" t="s">
        <v>125</v>
      </c>
      <c r="AP328" t="s">
        <v>125</v>
      </c>
      <c r="AQ328" t="s">
        <v>125</v>
      </c>
      <c r="AR328" t="s">
        <v>125</v>
      </c>
      <c r="AS328" t="s">
        <v>125</v>
      </c>
      <c r="AT328" t="s">
        <v>125</v>
      </c>
      <c r="AU328" t="s">
        <v>125</v>
      </c>
      <c r="AV328" t="s">
        <v>125</v>
      </c>
      <c r="AW328" t="s">
        <v>125</v>
      </c>
      <c r="AX328" t="s">
        <v>125</v>
      </c>
      <c r="AY328" t="s">
        <v>125</v>
      </c>
      <c r="AZ328" t="s">
        <v>125</v>
      </c>
      <c r="BA328" t="s">
        <v>125</v>
      </c>
      <c r="BB328" t="s">
        <v>125</v>
      </c>
      <c r="BC328" t="s">
        <v>125</v>
      </c>
      <c r="BD328" t="s">
        <v>125</v>
      </c>
      <c r="BE328" t="s">
        <v>125</v>
      </c>
      <c r="BF328" t="s">
        <v>125</v>
      </c>
      <c r="BG328" t="s">
        <v>125</v>
      </c>
      <c r="BH328">
        <v>1</v>
      </c>
      <c r="BI328">
        <v>0.97674399999999995</v>
      </c>
      <c r="BJ328">
        <v>0.94736799999999999</v>
      </c>
      <c r="BK328">
        <v>0.98901099999999997</v>
      </c>
      <c r="BL328">
        <v>0.97674399999999995</v>
      </c>
      <c r="BM328">
        <v>0.94736799999999999</v>
      </c>
      <c r="BN328">
        <v>0.98901099999999997</v>
      </c>
      <c r="BO328">
        <v>1</v>
      </c>
      <c r="BP328">
        <v>1</v>
      </c>
      <c r="BQ328">
        <v>1</v>
      </c>
      <c r="BR328">
        <v>5.364E-2</v>
      </c>
      <c r="BS328">
        <v>49.272030999999998</v>
      </c>
      <c r="BT328">
        <v>50</v>
      </c>
      <c r="BU328">
        <v>9.3332999999999999E-2</v>
      </c>
      <c r="BV328">
        <v>41.333333000000003</v>
      </c>
      <c r="BW328">
        <v>50</v>
      </c>
      <c r="BX328">
        <v>0.73725499999999999</v>
      </c>
      <c r="BY328">
        <v>49.150326999999997</v>
      </c>
      <c r="BZ328">
        <v>50</v>
      </c>
      <c r="CA328">
        <v>0.47058800000000001</v>
      </c>
      <c r="CB328">
        <v>31.372548999999999</v>
      </c>
      <c r="CC328">
        <v>50</v>
      </c>
      <c r="CD328">
        <v>0.94531299999999996</v>
      </c>
      <c r="CE328">
        <v>50</v>
      </c>
      <c r="CF328">
        <v>50</v>
      </c>
      <c r="CG328">
        <v>0.980263</v>
      </c>
      <c r="CH328">
        <v>100</v>
      </c>
      <c r="CI328">
        <v>100</v>
      </c>
      <c r="CJ328">
        <v>0</v>
      </c>
      <c r="CK328">
        <v>0.92500000000000004</v>
      </c>
      <c r="CL328">
        <v>98.404255000000006</v>
      </c>
      <c r="CM328">
        <v>100</v>
      </c>
      <c r="CN328">
        <v>0.82781499999999997</v>
      </c>
      <c r="CO328">
        <v>100</v>
      </c>
      <c r="CP328">
        <v>100</v>
      </c>
      <c r="CQ328">
        <v>0.65467600000000004</v>
      </c>
      <c r="CR328">
        <v>1</v>
      </c>
      <c r="CS328">
        <v>43.645083999999997</v>
      </c>
      <c r="CT328">
        <v>50</v>
      </c>
      <c r="CU328">
        <v>0.61302699999999999</v>
      </c>
      <c r="CV328">
        <v>50</v>
      </c>
      <c r="CW328">
        <v>50</v>
      </c>
      <c r="CX328">
        <v>0.92500000000000004</v>
      </c>
      <c r="CY328">
        <v>0.94</v>
      </c>
      <c r="CZ328">
        <v>1.4999999999999999E-2</v>
      </c>
      <c r="DA328">
        <v>15.314097</v>
      </c>
      <c r="DB328">
        <v>17.400950000000002</v>
      </c>
      <c r="DC328">
        <v>16.332519999999999</v>
      </c>
      <c r="DD328">
        <v>7.9891730000000001</v>
      </c>
      <c r="DE328">
        <v>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Q328" t="s">
        <v>126</v>
      </c>
    </row>
    <row r="329" spans="1:121" x14ac:dyDescent="0.15">
      <c r="A329">
        <v>2018</v>
      </c>
      <c r="B329" t="s">
        <v>205</v>
      </c>
      <c r="C329" t="str">
        <f>"0330011"</f>
        <v>0330011</v>
      </c>
      <c r="D329" t="s">
        <v>471</v>
      </c>
      <c r="E329" t="str">
        <f>"0335111"</f>
        <v>0335111</v>
      </c>
      <c r="F329" t="s">
        <v>328</v>
      </c>
      <c r="G329">
        <v>6</v>
      </c>
      <c r="H329">
        <v>8</v>
      </c>
      <c r="I329" t="s">
        <v>330</v>
      </c>
      <c r="J329" t="s">
        <v>331</v>
      </c>
      <c r="K329">
        <v>748.23821799999996</v>
      </c>
      <c r="L329">
        <v>900</v>
      </c>
      <c r="M329">
        <v>83.13758</v>
      </c>
      <c r="N329">
        <v>2</v>
      </c>
      <c r="O329">
        <v>0</v>
      </c>
      <c r="P329">
        <v>77.001249000000001</v>
      </c>
      <c r="Q329">
        <v>50</v>
      </c>
      <c r="R329">
        <v>50</v>
      </c>
      <c r="S329">
        <v>66.081222999999994</v>
      </c>
      <c r="T329">
        <v>75</v>
      </c>
      <c r="U329">
        <v>44.054149000000002</v>
      </c>
      <c r="V329">
        <v>50</v>
      </c>
      <c r="W329">
        <v>71.698578999999995</v>
      </c>
      <c r="X329">
        <v>47.799053000000001</v>
      </c>
      <c r="Y329">
        <v>50</v>
      </c>
      <c r="Z329">
        <v>75</v>
      </c>
      <c r="AA329">
        <v>60.273549000000003</v>
      </c>
      <c r="AB329">
        <v>40.182366000000002</v>
      </c>
      <c r="AC329">
        <v>50</v>
      </c>
      <c r="AD329">
        <v>71.812877</v>
      </c>
      <c r="AE329">
        <v>47.875252000000003</v>
      </c>
      <c r="AF329">
        <v>50</v>
      </c>
      <c r="AG329">
        <v>61.057586000000001</v>
      </c>
      <c r="AH329">
        <v>75</v>
      </c>
      <c r="AI329">
        <v>40.705056999999996</v>
      </c>
      <c r="AJ329">
        <v>50</v>
      </c>
      <c r="AK329">
        <v>8.91</v>
      </c>
      <c r="AL329">
        <v>14.72</v>
      </c>
      <c r="AM329">
        <v>13.94</v>
      </c>
      <c r="AN329">
        <v>0.70832499999999998</v>
      </c>
      <c r="AO329">
        <v>70.832468000000006</v>
      </c>
      <c r="AP329">
        <v>100</v>
      </c>
      <c r="AQ329">
        <v>0.78995499999999996</v>
      </c>
      <c r="AR329">
        <v>78.995480000000001</v>
      </c>
      <c r="AS329">
        <v>100</v>
      </c>
      <c r="AT329">
        <v>0.666153</v>
      </c>
      <c r="AU329">
        <v>0.72506700000000002</v>
      </c>
      <c r="AV329">
        <v>66.615290999999999</v>
      </c>
      <c r="AW329">
        <v>100</v>
      </c>
      <c r="AX329">
        <v>0.71458500000000003</v>
      </c>
      <c r="AY329">
        <v>0.819878</v>
      </c>
      <c r="AZ329">
        <v>71.458544000000003</v>
      </c>
      <c r="BA329">
        <v>100</v>
      </c>
      <c r="BB329" t="s">
        <v>125</v>
      </c>
      <c r="BC329" t="s">
        <v>125</v>
      </c>
      <c r="BD329" t="s">
        <v>125</v>
      </c>
      <c r="BE329" t="s">
        <v>125</v>
      </c>
      <c r="BF329" t="s">
        <v>125</v>
      </c>
      <c r="BG329" t="s">
        <v>125</v>
      </c>
      <c r="BH329">
        <v>0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0.99444399999999999</v>
      </c>
      <c r="BP329">
        <v>0.981132</v>
      </c>
      <c r="BQ329">
        <v>1</v>
      </c>
      <c r="BR329">
        <v>3.1185000000000001E-2</v>
      </c>
      <c r="BS329">
        <v>50</v>
      </c>
      <c r="BT329">
        <v>50</v>
      </c>
      <c r="BU329">
        <v>4.8611000000000001E-2</v>
      </c>
      <c r="BV329">
        <v>50</v>
      </c>
      <c r="BW329">
        <v>50</v>
      </c>
      <c r="BX329" t="s">
        <v>125</v>
      </c>
      <c r="BY329" t="s">
        <v>125</v>
      </c>
      <c r="BZ329" t="s">
        <v>125</v>
      </c>
      <c r="CA329" t="s">
        <v>125</v>
      </c>
      <c r="CB329" t="s">
        <v>125</v>
      </c>
      <c r="CC329" t="s">
        <v>125</v>
      </c>
      <c r="CD329">
        <v>0.96899199999999996</v>
      </c>
      <c r="CE329">
        <v>50</v>
      </c>
      <c r="CF329">
        <v>50</v>
      </c>
      <c r="CG329" t="s">
        <v>125</v>
      </c>
      <c r="CH329" t="s">
        <v>125</v>
      </c>
      <c r="CI329" t="s">
        <v>125</v>
      </c>
      <c r="CJ329" t="s">
        <v>125</v>
      </c>
      <c r="CK329" t="s">
        <v>125</v>
      </c>
      <c r="CL329" t="s">
        <v>125</v>
      </c>
      <c r="CM329" t="s">
        <v>125</v>
      </c>
      <c r="CN329" t="s">
        <v>125</v>
      </c>
      <c r="CO329" t="s">
        <v>125</v>
      </c>
      <c r="CP329" t="s">
        <v>125</v>
      </c>
      <c r="CQ329">
        <v>0.595808</v>
      </c>
      <c r="CR329">
        <v>0.99701499999999998</v>
      </c>
      <c r="CS329">
        <v>39.720559000000002</v>
      </c>
      <c r="CT329">
        <v>50</v>
      </c>
      <c r="CU329" t="s">
        <v>125</v>
      </c>
      <c r="CV329" t="s">
        <v>125</v>
      </c>
      <c r="CW329" t="s">
        <v>125</v>
      </c>
      <c r="CX329" t="s">
        <v>125</v>
      </c>
      <c r="CY329" t="s">
        <v>125</v>
      </c>
      <c r="CZ329" t="s">
        <v>125</v>
      </c>
      <c r="DA329">
        <v>15.314097</v>
      </c>
      <c r="DB329">
        <v>17.400950000000002</v>
      </c>
      <c r="DC329">
        <v>16.332519999999999</v>
      </c>
      <c r="DD329" t="s">
        <v>125</v>
      </c>
      <c r="DE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Q329" t="s">
        <v>126</v>
      </c>
    </row>
    <row r="330" spans="1:121" x14ac:dyDescent="0.15">
      <c r="A330">
        <v>2018</v>
      </c>
      <c r="B330" t="s">
        <v>205</v>
      </c>
      <c r="C330" t="str">
        <f>"0330011"</f>
        <v>0330011</v>
      </c>
      <c r="D330" t="s">
        <v>472</v>
      </c>
      <c r="E330" t="str">
        <f>"0330211"</f>
        <v>0330211</v>
      </c>
      <c r="F330" t="s">
        <v>328</v>
      </c>
      <c r="G330" t="s">
        <v>329</v>
      </c>
      <c r="H330">
        <v>2</v>
      </c>
      <c r="I330" t="s">
        <v>330</v>
      </c>
      <c r="J330" t="s">
        <v>331</v>
      </c>
      <c r="K330">
        <v>100</v>
      </c>
      <c r="L330">
        <v>100</v>
      </c>
      <c r="M330">
        <v>100</v>
      </c>
      <c r="N330" t="s">
        <v>125</v>
      </c>
      <c r="O330" t="s">
        <v>125</v>
      </c>
      <c r="P330" t="s">
        <v>125</v>
      </c>
      <c r="Q330" t="s">
        <v>125</v>
      </c>
      <c r="R330" t="s">
        <v>125</v>
      </c>
      <c r="S330" t="s">
        <v>125</v>
      </c>
      <c r="T330" t="s">
        <v>125</v>
      </c>
      <c r="U330" t="s">
        <v>125</v>
      </c>
      <c r="V330" t="s">
        <v>125</v>
      </c>
      <c r="W330" t="s">
        <v>125</v>
      </c>
      <c r="X330" t="s">
        <v>125</v>
      </c>
      <c r="Y330" t="s">
        <v>125</v>
      </c>
      <c r="Z330" t="s">
        <v>125</v>
      </c>
      <c r="AA330" t="s">
        <v>125</v>
      </c>
      <c r="AB330" t="s">
        <v>125</v>
      </c>
      <c r="AC330" t="s">
        <v>125</v>
      </c>
      <c r="AD330" t="s">
        <v>125</v>
      </c>
      <c r="AE330" t="s">
        <v>125</v>
      </c>
      <c r="AF330" t="s">
        <v>125</v>
      </c>
      <c r="AG330" t="s">
        <v>125</v>
      </c>
      <c r="AH330" t="s">
        <v>125</v>
      </c>
      <c r="AI330" t="s">
        <v>125</v>
      </c>
      <c r="AJ330" t="s">
        <v>125</v>
      </c>
      <c r="AK330" t="s">
        <v>125</v>
      </c>
      <c r="AL330" t="s">
        <v>125</v>
      </c>
      <c r="AM330" t="s">
        <v>125</v>
      </c>
      <c r="AN330" t="s">
        <v>125</v>
      </c>
      <c r="AO330" t="s">
        <v>125</v>
      </c>
      <c r="AP330" t="s">
        <v>125</v>
      </c>
      <c r="AQ330" t="s">
        <v>125</v>
      </c>
      <c r="AR330" t="s">
        <v>125</v>
      </c>
      <c r="AS330" t="s">
        <v>125</v>
      </c>
      <c r="AT330" t="s">
        <v>125</v>
      </c>
      <c r="AU330" t="s">
        <v>125</v>
      </c>
      <c r="AV330" t="s">
        <v>125</v>
      </c>
      <c r="AW330" t="s">
        <v>125</v>
      </c>
      <c r="AX330" t="s">
        <v>125</v>
      </c>
      <c r="AY330" t="s">
        <v>125</v>
      </c>
      <c r="AZ330" t="s">
        <v>125</v>
      </c>
      <c r="BA330" t="s">
        <v>125</v>
      </c>
      <c r="BB330" t="s">
        <v>125</v>
      </c>
      <c r="BC330" t="s">
        <v>125</v>
      </c>
      <c r="BD330" t="s">
        <v>125</v>
      </c>
      <c r="BE330" t="s">
        <v>125</v>
      </c>
      <c r="BF330" t="s">
        <v>125</v>
      </c>
      <c r="BG330" t="s">
        <v>125</v>
      </c>
      <c r="BH330" t="s">
        <v>125</v>
      </c>
      <c r="BI330" t="s">
        <v>125</v>
      </c>
      <c r="BJ330" t="s">
        <v>125</v>
      </c>
      <c r="BK330" t="s">
        <v>125</v>
      </c>
      <c r="BL330" t="s">
        <v>125</v>
      </c>
      <c r="BM330" t="s">
        <v>125</v>
      </c>
      <c r="BN330" t="s">
        <v>125</v>
      </c>
      <c r="BO330" t="s">
        <v>125</v>
      </c>
      <c r="BP330" t="s">
        <v>125</v>
      </c>
      <c r="BQ330" t="s">
        <v>125</v>
      </c>
      <c r="BR330">
        <v>2.398E-3</v>
      </c>
      <c r="BS330">
        <v>50</v>
      </c>
      <c r="BT330">
        <v>50</v>
      </c>
      <c r="BU330">
        <v>7.0419999999999996E-3</v>
      </c>
      <c r="BV330">
        <v>50</v>
      </c>
      <c r="BW330">
        <v>50</v>
      </c>
      <c r="BX330" t="s">
        <v>125</v>
      </c>
      <c r="BY330" t="s">
        <v>125</v>
      </c>
      <c r="BZ330" t="s">
        <v>125</v>
      </c>
      <c r="CA330" t="s">
        <v>125</v>
      </c>
      <c r="CB330" t="s">
        <v>125</v>
      </c>
      <c r="CC330" t="s">
        <v>125</v>
      </c>
      <c r="CD330" t="s">
        <v>125</v>
      </c>
      <c r="CE330" t="s">
        <v>125</v>
      </c>
      <c r="CF330" t="s">
        <v>125</v>
      </c>
      <c r="CG330" t="s">
        <v>125</v>
      </c>
      <c r="CH330" t="s">
        <v>125</v>
      </c>
      <c r="CI330" t="s">
        <v>125</v>
      </c>
      <c r="CJ330" t="s">
        <v>125</v>
      </c>
      <c r="CK330" t="s">
        <v>125</v>
      </c>
      <c r="CL330" t="s">
        <v>125</v>
      </c>
      <c r="CM330" t="s">
        <v>125</v>
      </c>
      <c r="CN330" t="s">
        <v>125</v>
      </c>
      <c r="CO330" t="s">
        <v>125</v>
      </c>
      <c r="CP330" t="s">
        <v>125</v>
      </c>
      <c r="CQ330" t="s">
        <v>125</v>
      </c>
      <c r="CR330" t="s">
        <v>125</v>
      </c>
      <c r="CS330" t="s">
        <v>125</v>
      </c>
      <c r="CT330" t="s">
        <v>125</v>
      </c>
      <c r="CU330" t="s">
        <v>125</v>
      </c>
      <c r="CV330" t="s">
        <v>125</v>
      </c>
      <c r="CW330" t="s">
        <v>125</v>
      </c>
      <c r="CX330" t="s">
        <v>125</v>
      </c>
      <c r="CY330" t="s">
        <v>125</v>
      </c>
      <c r="CZ330" t="s">
        <v>125</v>
      </c>
      <c r="DA330" t="s">
        <v>125</v>
      </c>
      <c r="DB330" t="s">
        <v>125</v>
      </c>
      <c r="DC330" t="s">
        <v>125</v>
      </c>
      <c r="DD330" t="s">
        <v>125</v>
      </c>
      <c r="DE330" t="s">
        <v>125</v>
      </c>
      <c r="DJ330" t="s">
        <v>125</v>
      </c>
      <c r="DK330" t="s">
        <v>125</v>
      </c>
      <c r="DL330" t="s">
        <v>125</v>
      </c>
      <c r="DM330" t="s">
        <v>125</v>
      </c>
      <c r="DN330" t="s">
        <v>125</v>
      </c>
      <c r="DO330" t="s">
        <v>125</v>
      </c>
      <c r="DQ330" t="s">
        <v>126</v>
      </c>
    </row>
    <row r="331" spans="1:121" x14ac:dyDescent="0.15">
      <c r="A331">
        <v>2018</v>
      </c>
      <c r="B331" t="s">
        <v>205</v>
      </c>
      <c r="C331" t="str">
        <f>"0330011"</f>
        <v>0330011</v>
      </c>
      <c r="D331" t="s">
        <v>473</v>
      </c>
      <c r="E331" t="str">
        <f>"0330311"</f>
        <v>0330311</v>
      </c>
      <c r="F331" t="s">
        <v>328</v>
      </c>
      <c r="G331">
        <v>3</v>
      </c>
      <c r="H331">
        <v>5</v>
      </c>
      <c r="I331" t="s">
        <v>330</v>
      </c>
      <c r="J331" t="s">
        <v>331</v>
      </c>
      <c r="K331">
        <v>729.66891099999998</v>
      </c>
      <c r="L331">
        <v>950</v>
      </c>
      <c r="M331">
        <v>76.807254</v>
      </c>
      <c r="N331">
        <v>2</v>
      </c>
      <c r="O331">
        <v>0</v>
      </c>
      <c r="P331">
        <v>71.812717000000006</v>
      </c>
      <c r="Q331">
        <v>47.875145000000003</v>
      </c>
      <c r="R331">
        <v>50</v>
      </c>
      <c r="S331">
        <v>63.254879000000003</v>
      </c>
      <c r="T331">
        <v>75</v>
      </c>
      <c r="U331">
        <v>42.169919</v>
      </c>
      <c r="V331">
        <v>50</v>
      </c>
      <c r="W331">
        <v>70.075631000000001</v>
      </c>
      <c r="X331">
        <v>46.717086999999999</v>
      </c>
      <c r="Y331">
        <v>50</v>
      </c>
      <c r="Z331">
        <v>75</v>
      </c>
      <c r="AA331">
        <v>60.784886</v>
      </c>
      <c r="AB331">
        <v>40.523257000000001</v>
      </c>
      <c r="AC331">
        <v>50</v>
      </c>
      <c r="AD331">
        <v>68.114143999999996</v>
      </c>
      <c r="AE331">
        <v>45.409429000000003</v>
      </c>
      <c r="AF331">
        <v>50</v>
      </c>
      <c r="AG331">
        <v>59.509408999999998</v>
      </c>
      <c r="AH331">
        <v>72.461799999999997</v>
      </c>
      <c r="AI331">
        <v>39.672939</v>
      </c>
      <c r="AJ331">
        <v>50</v>
      </c>
      <c r="AK331">
        <v>11.74</v>
      </c>
      <c r="AL331">
        <v>14.21</v>
      </c>
      <c r="AM331">
        <v>12.95</v>
      </c>
      <c r="AN331">
        <v>0.62787199999999999</v>
      </c>
      <c r="AO331">
        <v>62.787233000000001</v>
      </c>
      <c r="AP331">
        <v>100</v>
      </c>
      <c r="AQ331">
        <v>0.732927</v>
      </c>
      <c r="AR331">
        <v>73.292696000000007</v>
      </c>
      <c r="AS331">
        <v>100</v>
      </c>
      <c r="AT331">
        <v>0.58732399999999996</v>
      </c>
      <c r="AU331">
        <v>0.64960899999999999</v>
      </c>
      <c r="AV331">
        <v>58.732422</v>
      </c>
      <c r="AW331">
        <v>100</v>
      </c>
      <c r="AX331">
        <v>0.72356799999999999</v>
      </c>
      <c r="AY331">
        <v>0.73794400000000004</v>
      </c>
      <c r="AZ331">
        <v>72.356812000000005</v>
      </c>
      <c r="BA331">
        <v>100</v>
      </c>
      <c r="BB331">
        <v>0.70235899999999996</v>
      </c>
      <c r="BC331">
        <v>35.117949000000003</v>
      </c>
      <c r="BD331">
        <v>50</v>
      </c>
      <c r="BE331">
        <v>0.55002600000000001</v>
      </c>
      <c r="BF331">
        <v>27.501287999999999</v>
      </c>
      <c r="BG331">
        <v>50</v>
      </c>
      <c r="BH331">
        <v>0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5.9211E-2</v>
      </c>
      <c r="BS331">
        <v>48.157895000000003</v>
      </c>
      <c r="BT331">
        <v>50</v>
      </c>
      <c r="BU331">
        <v>0.103226</v>
      </c>
      <c r="BV331">
        <v>39.354838999999998</v>
      </c>
      <c r="BW331">
        <v>50</v>
      </c>
      <c r="BX331" t="s">
        <v>125</v>
      </c>
      <c r="BY331" t="s">
        <v>125</v>
      </c>
      <c r="BZ331" t="s">
        <v>125</v>
      </c>
      <c r="CA331" t="s">
        <v>125</v>
      </c>
      <c r="CB331" t="s">
        <v>125</v>
      </c>
      <c r="CC331" t="s">
        <v>125</v>
      </c>
      <c r="CD331" t="s">
        <v>125</v>
      </c>
      <c r="CE331" t="s">
        <v>125</v>
      </c>
      <c r="CF331" t="s">
        <v>125</v>
      </c>
      <c r="CG331" t="s">
        <v>125</v>
      </c>
      <c r="CH331" t="s">
        <v>125</v>
      </c>
      <c r="CI331" t="s">
        <v>125</v>
      </c>
      <c r="CJ331" t="s">
        <v>125</v>
      </c>
      <c r="CK331" t="s">
        <v>125</v>
      </c>
      <c r="CL331" t="s">
        <v>125</v>
      </c>
      <c r="CM331" t="s">
        <v>125</v>
      </c>
      <c r="CN331" t="s">
        <v>125</v>
      </c>
      <c r="CO331" t="s">
        <v>125</v>
      </c>
      <c r="CP331" t="s">
        <v>125</v>
      </c>
      <c r="CQ331">
        <v>0.87272700000000003</v>
      </c>
      <c r="CR331">
        <v>1</v>
      </c>
      <c r="CS331">
        <v>50</v>
      </c>
      <c r="CT331">
        <v>50</v>
      </c>
      <c r="CU331" t="s">
        <v>125</v>
      </c>
      <c r="CV331" t="s">
        <v>125</v>
      </c>
      <c r="CW331" t="s">
        <v>125</v>
      </c>
      <c r="CX331" t="s">
        <v>125</v>
      </c>
      <c r="CY331" t="s">
        <v>125</v>
      </c>
      <c r="CZ331" t="s">
        <v>125</v>
      </c>
      <c r="DA331">
        <v>15.314097</v>
      </c>
      <c r="DB331">
        <v>17.400950000000002</v>
      </c>
      <c r="DC331">
        <v>16.332519999999999</v>
      </c>
      <c r="DD331" t="s">
        <v>125</v>
      </c>
      <c r="DE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Q331" t="s">
        <v>126</v>
      </c>
    </row>
    <row r="332" spans="1:121" x14ac:dyDescent="0.15">
      <c r="A332">
        <v>2018</v>
      </c>
      <c r="B332" t="s">
        <v>223</v>
      </c>
      <c r="C332" t="str">
        <f t="shared" ref="C332:C348" si="5">"0340011"</f>
        <v>0340011</v>
      </c>
      <c r="D332" t="s">
        <v>474</v>
      </c>
      <c r="E332" t="str">
        <f>"0345111"</f>
        <v>0345111</v>
      </c>
      <c r="F332" t="s">
        <v>328</v>
      </c>
      <c r="G332">
        <v>6</v>
      </c>
      <c r="H332">
        <v>8</v>
      </c>
      <c r="J332" t="s">
        <v>331</v>
      </c>
      <c r="K332">
        <v>638.14565200000004</v>
      </c>
      <c r="L332">
        <v>1000</v>
      </c>
      <c r="M332">
        <v>63.814565000000002</v>
      </c>
      <c r="N332">
        <v>3</v>
      </c>
      <c r="O332">
        <v>0</v>
      </c>
      <c r="P332">
        <v>63.253467999999998</v>
      </c>
      <c r="Q332">
        <v>42.168979</v>
      </c>
      <c r="R332">
        <v>50</v>
      </c>
      <c r="S332">
        <v>59.393424000000003</v>
      </c>
      <c r="T332">
        <v>74.166430000000005</v>
      </c>
      <c r="U332">
        <v>39.595616</v>
      </c>
      <c r="V332">
        <v>50</v>
      </c>
      <c r="W332">
        <v>52.486477999999998</v>
      </c>
      <c r="X332">
        <v>34.990985000000002</v>
      </c>
      <c r="Y332">
        <v>50</v>
      </c>
      <c r="Z332">
        <v>62.384762000000002</v>
      </c>
      <c r="AA332">
        <v>49.004016</v>
      </c>
      <c r="AB332">
        <v>32.669344000000002</v>
      </c>
      <c r="AC332">
        <v>50</v>
      </c>
      <c r="AD332">
        <v>58.307443999999997</v>
      </c>
      <c r="AE332">
        <v>38.871630000000003</v>
      </c>
      <c r="AF332">
        <v>50</v>
      </c>
      <c r="AG332">
        <v>55.241087</v>
      </c>
      <c r="AH332">
        <v>66.821095</v>
      </c>
      <c r="AI332">
        <v>36.827390999999999</v>
      </c>
      <c r="AJ332">
        <v>50</v>
      </c>
      <c r="AK332">
        <v>14.77</v>
      </c>
      <c r="AL332">
        <v>13.38</v>
      </c>
      <c r="AM332">
        <v>11.58</v>
      </c>
      <c r="AN332">
        <v>0.52510199999999996</v>
      </c>
      <c r="AO332">
        <v>52.510244</v>
      </c>
      <c r="AP332">
        <v>100</v>
      </c>
      <c r="AQ332">
        <v>0.42724200000000001</v>
      </c>
      <c r="AR332">
        <v>42.724246000000001</v>
      </c>
      <c r="AS332">
        <v>100</v>
      </c>
      <c r="AT332">
        <v>0.52769100000000002</v>
      </c>
      <c r="AU332">
        <v>0.51866100000000004</v>
      </c>
      <c r="AV332">
        <v>52.769106000000001</v>
      </c>
      <c r="AW332">
        <v>100</v>
      </c>
      <c r="AX332">
        <v>0.39035500000000001</v>
      </c>
      <c r="AY332">
        <v>0.51931499999999997</v>
      </c>
      <c r="AZ332">
        <v>39.035485999999999</v>
      </c>
      <c r="BA332">
        <v>100</v>
      </c>
      <c r="BB332">
        <v>0.63506399999999996</v>
      </c>
      <c r="BC332">
        <v>31.753176</v>
      </c>
      <c r="BD332">
        <v>50</v>
      </c>
      <c r="BE332">
        <v>0.63837900000000003</v>
      </c>
      <c r="BF332">
        <v>31.918952000000001</v>
      </c>
      <c r="BG332">
        <v>50</v>
      </c>
      <c r="BH332">
        <v>0</v>
      </c>
      <c r="BI332">
        <v>0.99593500000000001</v>
      </c>
      <c r="BJ332">
        <v>0.99455000000000005</v>
      </c>
      <c r="BK332">
        <v>1</v>
      </c>
      <c r="BL332">
        <v>0.99389000000000005</v>
      </c>
      <c r="BM332">
        <v>0.99317900000000003</v>
      </c>
      <c r="BN332">
        <v>0.99598399999999998</v>
      </c>
      <c r="BO332">
        <v>0.99702400000000002</v>
      </c>
      <c r="BP332">
        <v>0.99598399999999998</v>
      </c>
      <c r="BQ332">
        <v>1</v>
      </c>
      <c r="BR332">
        <v>5.5101999999999998E-2</v>
      </c>
      <c r="BS332">
        <v>48.979591999999997</v>
      </c>
      <c r="BT332">
        <v>50</v>
      </c>
      <c r="BU332">
        <v>6.5734000000000001E-2</v>
      </c>
      <c r="BV332">
        <v>46.853147</v>
      </c>
      <c r="BW332">
        <v>50</v>
      </c>
      <c r="BX332" t="s">
        <v>125</v>
      </c>
      <c r="BY332" t="s">
        <v>125</v>
      </c>
      <c r="BZ332" t="s">
        <v>125</v>
      </c>
      <c r="CA332" t="s">
        <v>125</v>
      </c>
      <c r="CB332" t="s">
        <v>125</v>
      </c>
      <c r="CC332" t="s">
        <v>125</v>
      </c>
      <c r="CD332">
        <v>0.90033200000000002</v>
      </c>
      <c r="CE332">
        <v>47.890011999999999</v>
      </c>
      <c r="CF332">
        <v>50</v>
      </c>
      <c r="CG332" t="s">
        <v>125</v>
      </c>
      <c r="CH332" t="s">
        <v>125</v>
      </c>
      <c r="CI332" t="s">
        <v>125</v>
      </c>
      <c r="CJ332" t="s">
        <v>125</v>
      </c>
      <c r="CK332" t="s">
        <v>125</v>
      </c>
      <c r="CL332" t="s">
        <v>125</v>
      </c>
      <c r="CM332" t="s">
        <v>125</v>
      </c>
      <c r="CN332" t="s">
        <v>125</v>
      </c>
      <c r="CO332" t="s">
        <v>125</v>
      </c>
      <c r="CP332" t="s">
        <v>125</v>
      </c>
      <c r="CQ332">
        <v>0.27881600000000001</v>
      </c>
      <c r="CR332">
        <v>0.98015300000000005</v>
      </c>
      <c r="CS332">
        <v>18.587747</v>
      </c>
      <c r="CT332">
        <v>50</v>
      </c>
      <c r="CU332" t="s">
        <v>125</v>
      </c>
      <c r="CV332" t="s">
        <v>125</v>
      </c>
      <c r="CW332" t="s">
        <v>125</v>
      </c>
      <c r="CX332" t="s">
        <v>125</v>
      </c>
      <c r="CY332" t="s">
        <v>125</v>
      </c>
      <c r="CZ332" t="s">
        <v>125</v>
      </c>
      <c r="DA332">
        <v>15.314097</v>
      </c>
      <c r="DB332">
        <v>17.400950000000002</v>
      </c>
      <c r="DC332">
        <v>16.332519999999999</v>
      </c>
      <c r="DD332" t="s">
        <v>125</v>
      </c>
      <c r="DE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Q332" t="s">
        <v>126</v>
      </c>
    </row>
    <row r="333" spans="1:121" x14ac:dyDescent="0.15">
      <c r="A333">
        <v>2018</v>
      </c>
      <c r="B333" t="s">
        <v>223</v>
      </c>
      <c r="C333" t="str">
        <f t="shared" si="5"/>
        <v>0340011</v>
      </c>
      <c r="D333" t="s">
        <v>475</v>
      </c>
      <c r="E333" t="str">
        <f>"0346111"</f>
        <v>0346111</v>
      </c>
      <c r="F333" t="s">
        <v>328</v>
      </c>
      <c r="G333">
        <v>9</v>
      </c>
      <c r="H333">
        <v>12</v>
      </c>
      <c r="J333" t="s">
        <v>331</v>
      </c>
      <c r="K333">
        <v>1081.744612</v>
      </c>
      <c r="L333">
        <v>1550</v>
      </c>
      <c r="M333">
        <v>69.789974999999998</v>
      </c>
      <c r="N333">
        <v>3</v>
      </c>
      <c r="O333">
        <v>1</v>
      </c>
      <c r="P333">
        <v>53.494253</v>
      </c>
      <c r="Q333">
        <v>106.988506</v>
      </c>
      <c r="R333">
        <v>150</v>
      </c>
      <c r="S333">
        <v>46.352201000000001</v>
      </c>
      <c r="T333">
        <v>63.418227000000002</v>
      </c>
      <c r="U333">
        <v>92.704402999999999</v>
      </c>
      <c r="V333">
        <v>150</v>
      </c>
      <c r="W333">
        <v>48.120690000000003</v>
      </c>
      <c r="X333">
        <v>96.241378999999995</v>
      </c>
      <c r="Y333">
        <v>150</v>
      </c>
      <c r="Z333">
        <v>56.517477999999997</v>
      </c>
      <c r="AA333">
        <v>42.077717999999997</v>
      </c>
      <c r="AB333">
        <v>84.155435999999995</v>
      </c>
      <c r="AC333">
        <v>150</v>
      </c>
      <c r="AD333">
        <v>55.003839999999997</v>
      </c>
      <c r="AE333">
        <v>73.338453999999999</v>
      </c>
      <c r="AF333">
        <v>100</v>
      </c>
      <c r="AG333">
        <v>47.982895999999997</v>
      </c>
      <c r="AH333">
        <v>64.563723999999993</v>
      </c>
      <c r="AI333">
        <v>63.977195000000002</v>
      </c>
      <c r="AJ333">
        <v>100</v>
      </c>
      <c r="AK333">
        <v>17.059999999999999</v>
      </c>
      <c r="AL333">
        <v>14.43</v>
      </c>
      <c r="AM333">
        <v>16.579999999999998</v>
      </c>
      <c r="AN333" t="s">
        <v>125</v>
      </c>
      <c r="AO333" t="s">
        <v>125</v>
      </c>
      <c r="AP333" t="s">
        <v>125</v>
      </c>
      <c r="AQ333" t="s">
        <v>125</v>
      </c>
      <c r="AR333" t="s">
        <v>125</v>
      </c>
      <c r="AS333" t="s">
        <v>125</v>
      </c>
      <c r="AT333" t="s">
        <v>125</v>
      </c>
      <c r="AU333" t="s">
        <v>125</v>
      </c>
      <c r="AV333" t="s">
        <v>125</v>
      </c>
      <c r="AW333" t="s">
        <v>125</v>
      </c>
      <c r="AX333" t="s">
        <v>125</v>
      </c>
      <c r="AY333" t="s">
        <v>125</v>
      </c>
      <c r="AZ333" t="s">
        <v>125</v>
      </c>
      <c r="BA333" t="s">
        <v>125</v>
      </c>
      <c r="BB333">
        <v>0.48249599999999998</v>
      </c>
      <c r="BC333">
        <v>24.124797000000001</v>
      </c>
      <c r="BD333">
        <v>50</v>
      </c>
      <c r="BE333">
        <v>0.61845499999999998</v>
      </c>
      <c r="BF333">
        <v>30.922758000000002</v>
      </c>
      <c r="BG333">
        <v>50</v>
      </c>
      <c r="BH333">
        <v>0</v>
      </c>
      <c r="BI333">
        <v>0.96403899999999998</v>
      </c>
      <c r="BJ333">
        <v>0.96363600000000005</v>
      </c>
      <c r="BK333">
        <v>0.96466399999999997</v>
      </c>
      <c r="BL333">
        <v>0.96403899999999998</v>
      </c>
      <c r="BM333">
        <v>0.96363600000000005</v>
      </c>
      <c r="BN333">
        <v>0.96466399999999997</v>
      </c>
      <c r="BO333">
        <v>0.96547000000000005</v>
      </c>
      <c r="BP333">
        <v>0.95475100000000002</v>
      </c>
      <c r="BQ333">
        <v>0.98226999999999998</v>
      </c>
      <c r="BR333">
        <v>0.101365</v>
      </c>
      <c r="BS333">
        <v>39.727096000000003</v>
      </c>
      <c r="BT333">
        <v>50</v>
      </c>
      <c r="BU333">
        <v>0.1305</v>
      </c>
      <c r="BV333">
        <v>33.9</v>
      </c>
      <c r="BW333">
        <v>50</v>
      </c>
      <c r="BX333">
        <v>0.72005699999999995</v>
      </c>
      <c r="BY333">
        <v>48.003779999999999</v>
      </c>
      <c r="BZ333">
        <v>50</v>
      </c>
      <c r="CA333">
        <v>0.289157</v>
      </c>
      <c r="CB333">
        <v>19.277107999999998</v>
      </c>
      <c r="CC333">
        <v>50</v>
      </c>
      <c r="CD333">
        <v>0.81416999999999995</v>
      </c>
      <c r="CE333">
        <v>43.306891999999998</v>
      </c>
      <c r="CF333">
        <v>50</v>
      </c>
      <c r="CG333">
        <v>0.83018899999999995</v>
      </c>
      <c r="CH333">
        <v>88.317944999999995</v>
      </c>
      <c r="CI333">
        <v>100</v>
      </c>
      <c r="CJ333">
        <v>1</v>
      </c>
      <c r="CK333">
        <v>0.81067999999999996</v>
      </c>
      <c r="CL333">
        <v>86.242512000000005</v>
      </c>
      <c r="CM333">
        <v>100</v>
      </c>
      <c r="CN333">
        <v>0.69610799999999995</v>
      </c>
      <c r="CO333">
        <v>92.814370999999994</v>
      </c>
      <c r="CP333">
        <v>100</v>
      </c>
      <c r="CQ333">
        <v>0.50217699999999998</v>
      </c>
      <c r="CR333">
        <v>0.85377899999999995</v>
      </c>
      <c r="CS333">
        <v>16.739235999999998</v>
      </c>
      <c r="CT333">
        <v>50</v>
      </c>
      <c r="CU333">
        <v>0.49155300000000002</v>
      </c>
      <c r="CV333">
        <v>40.962746000000003</v>
      </c>
      <c r="CW333">
        <v>50</v>
      </c>
      <c r="CX333">
        <v>0.81067999999999996</v>
      </c>
      <c r="CY333">
        <v>0.94</v>
      </c>
      <c r="CZ333">
        <v>0.12931999999999999</v>
      </c>
      <c r="DA333">
        <v>15.314097</v>
      </c>
      <c r="DB333">
        <v>17.400950000000002</v>
      </c>
      <c r="DC333">
        <v>16.332519999999999</v>
      </c>
      <c r="DD333">
        <v>7.9891730000000001</v>
      </c>
      <c r="DE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Q333" t="s">
        <v>126</v>
      </c>
    </row>
    <row r="334" spans="1:121" x14ac:dyDescent="0.15">
      <c r="A334">
        <v>2018</v>
      </c>
      <c r="B334" t="s">
        <v>223</v>
      </c>
      <c r="C334" t="str">
        <f t="shared" si="5"/>
        <v>0340011</v>
      </c>
      <c r="D334" t="s">
        <v>476</v>
      </c>
      <c r="E334" t="str">
        <f>"0341411"</f>
        <v>0341411</v>
      </c>
      <c r="F334" t="s">
        <v>328</v>
      </c>
      <c r="G334" t="s">
        <v>339</v>
      </c>
      <c r="H334">
        <v>5</v>
      </c>
      <c r="I334" t="s">
        <v>336</v>
      </c>
      <c r="J334" t="s">
        <v>331</v>
      </c>
      <c r="K334">
        <v>762.97594700000002</v>
      </c>
      <c r="L334">
        <v>950</v>
      </c>
      <c r="M334">
        <v>80.313258000000005</v>
      </c>
      <c r="N334">
        <v>2</v>
      </c>
      <c r="O334">
        <v>0</v>
      </c>
      <c r="P334">
        <v>68.078239999999994</v>
      </c>
      <c r="Q334">
        <v>45.385492999999997</v>
      </c>
      <c r="R334">
        <v>50</v>
      </c>
      <c r="S334">
        <v>67.555002999999999</v>
      </c>
      <c r="T334" t="s">
        <v>125</v>
      </c>
      <c r="U334">
        <v>45.036669000000003</v>
      </c>
      <c r="V334">
        <v>50</v>
      </c>
      <c r="W334">
        <v>66.583928</v>
      </c>
      <c r="X334">
        <v>44.389285000000001</v>
      </c>
      <c r="Y334">
        <v>50</v>
      </c>
      <c r="Z334" t="s">
        <v>125</v>
      </c>
      <c r="AA334">
        <v>65.979438999999999</v>
      </c>
      <c r="AB334">
        <v>43.986293000000003</v>
      </c>
      <c r="AC334">
        <v>50</v>
      </c>
      <c r="AD334">
        <v>61.637096999999997</v>
      </c>
      <c r="AE334">
        <v>41.091397999999998</v>
      </c>
      <c r="AF334">
        <v>50</v>
      </c>
      <c r="AG334">
        <v>61.766983000000003</v>
      </c>
      <c r="AH334" t="s">
        <v>125</v>
      </c>
      <c r="AI334">
        <v>41.177988999999997</v>
      </c>
      <c r="AJ334">
        <v>50</v>
      </c>
      <c r="AK334" t="s">
        <v>125</v>
      </c>
      <c r="AL334" t="s">
        <v>125</v>
      </c>
      <c r="AM334" t="s">
        <v>125</v>
      </c>
      <c r="AN334">
        <v>0.74042699999999995</v>
      </c>
      <c r="AO334">
        <v>74.042704999999998</v>
      </c>
      <c r="AP334">
        <v>100</v>
      </c>
      <c r="AQ334">
        <v>0.85519000000000001</v>
      </c>
      <c r="AR334">
        <v>85.519032999999993</v>
      </c>
      <c r="AS334">
        <v>100</v>
      </c>
      <c r="AT334">
        <v>0.74151</v>
      </c>
      <c r="AU334" t="s">
        <v>125</v>
      </c>
      <c r="AV334">
        <v>74.151022999999995</v>
      </c>
      <c r="AW334">
        <v>100</v>
      </c>
      <c r="AX334">
        <v>0.84670100000000004</v>
      </c>
      <c r="AY334" t="s">
        <v>125</v>
      </c>
      <c r="AZ334">
        <v>84.670061000000004</v>
      </c>
      <c r="BA334">
        <v>100</v>
      </c>
      <c r="BB334">
        <v>0.71524799999999999</v>
      </c>
      <c r="BC334">
        <v>35.762421000000003</v>
      </c>
      <c r="BD334">
        <v>50</v>
      </c>
      <c r="BE334">
        <v>0.53950100000000001</v>
      </c>
      <c r="BF334">
        <v>26.975048000000001</v>
      </c>
      <c r="BG334">
        <v>50</v>
      </c>
      <c r="BH334">
        <v>0</v>
      </c>
      <c r="BI334">
        <v>1</v>
      </c>
      <c r="BJ334">
        <v>1</v>
      </c>
      <c r="BK334" t="s">
        <v>125</v>
      </c>
      <c r="BL334">
        <v>1</v>
      </c>
      <c r="BM334">
        <v>1</v>
      </c>
      <c r="BN334" t="s">
        <v>125</v>
      </c>
      <c r="BO334">
        <v>0.98936199999999996</v>
      </c>
      <c r="BP334">
        <v>0.98901099999999997</v>
      </c>
      <c r="BQ334" t="s">
        <v>125</v>
      </c>
      <c r="BR334">
        <v>2.3952000000000001E-2</v>
      </c>
      <c r="BS334">
        <v>50</v>
      </c>
      <c r="BT334">
        <v>50</v>
      </c>
      <c r="BU334">
        <v>2.3453999999999999E-2</v>
      </c>
      <c r="BV334">
        <v>50</v>
      </c>
      <c r="BW334">
        <v>50</v>
      </c>
      <c r="BX334" t="s">
        <v>125</v>
      </c>
      <c r="BY334" t="s">
        <v>125</v>
      </c>
      <c r="BZ334" t="s">
        <v>125</v>
      </c>
      <c r="CA334" t="s">
        <v>125</v>
      </c>
      <c r="CB334" t="s">
        <v>125</v>
      </c>
      <c r="CC334" t="s">
        <v>125</v>
      </c>
      <c r="CD334" t="s">
        <v>125</v>
      </c>
      <c r="CE334" t="s">
        <v>125</v>
      </c>
      <c r="CF334" t="s">
        <v>125</v>
      </c>
      <c r="CG334" t="s">
        <v>125</v>
      </c>
      <c r="CH334" t="s">
        <v>125</v>
      </c>
      <c r="CI334" t="s">
        <v>125</v>
      </c>
      <c r="CJ334" t="s">
        <v>125</v>
      </c>
      <c r="CK334" t="s">
        <v>125</v>
      </c>
      <c r="CL334" t="s">
        <v>125</v>
      </c>
      <c r="CM334" t="s">
        <v>125</v>
      </c>
      <c r="CN334" t="s">
        <v>125</v>
      </c>
      <c r="CO334" t="s">
        <v>125</v>
      </c>
      <c r="CP334" t="s">
        <v>125</v>
      </c>
      <c r="CQ334">
        <v>0.31182799999999999</v>
      </c>
      <c r="CR334">
        <v>1</v>
      </c>
      <c r="CS334">
        <v>20.788530000000002</v>
      </c>
      <c r="CT334">
        <v>50</v>
      </c>
      <c r="CU334" t="s">
        <v>125</v>
      </c>
      <c r="CV334" t="s">
        <v>125</v>
      </c>
      <c r="CW334" t="s">
        <v>125</v>
      </c>
      <c r="CX334" t="s">
        <v>125</v>
      </c>
      <c r="CY334" t="s">
        <v>125</v>
      </c>
      <c r="CZ334" t="s">
        <v>125</v>
      </c>
      <c r="DA334">
        <v>15.314097</v>
      </c>
      <c r="DB334">
        <v>17.400950000000002</v>
      </c>
      <c r="DC334">
        <v>16.332519999999999</v>
      </c>
      <c r="DD334" t="s">
        <v>125</v>
      </c>
      <c r="DE334">
        <v>0</v>
      </c>
      <c r="DH334" t="s">
        <v>332</v>
      </c>
      <c r="DI334" t="s">
        <v>477</v>
      </c>
      <c r="DJ334">
        <v>0</v>
      </c>
      <c r="DK334">
        <v>0</v>
      </c>
      <c r="DL334">
        <v>1</v>
      </c>
      <c r="DM334">
        <v>1</v>
      </c>
      <c r="DN334">
        <v>1</v>
      </c>
      <c r="DO334">
        <v>0</v>
      </c>
      <c r="DQ334" t="s">
        <v>126</v>
      </c>
    </row>
    <row r="335" spans="1:121" x14ac:dyDescent="0.15">
      <c r="A335">
        <v>2018</v>
      </c>
      <c r="B335" t="s">
        <v>223</v>
      </c>
      <c r="C335" t="str">
        <f t="shared" si="5"/>
        <v>0340011</v>
      </c>
      <c r="D335" t="s">
        <v>478</v>
      </c>
      <c r="E335" t="str">
        <f>"0341111"</f>
        <v>0341111</v>
      </c>
      <c r="F335" t="s">
        <v>328</v>
      </c>
      <c r="G335" t="s">
        <v>329</v>
      </c>
      <c r="H335">
        <v>5</v>
      </c>
      <c r="I335" t="s">
        <v>336</v>
      </c>
      <c r="J335" t="s">
        <v>331</v>
      </c>
      <c r="K335">
        <v>840.28481599999998</v>
      </c>
      <c r="L335">
        <v>950</v>
      </c>
      <c r="M335">
        <v>88.451032999999995</v>
      </c>
      <c r="N335">
        <v>1</v>
      </c>
      <c r="O335">
        <v>0</v>
      </c>
      <c r="P335">
        <v>79.148922999999996</v>
      </c>
      <c r="Q335">
        <v>50</v>
      </c>
      <c r="R335">
        <v>50</v>
      </c>
      <c r="S335">
        <v>76.120996000000005</v>
      </c>
      <c r="T335">
        <v>75</v>
      </c>
      <c r="U335">
        <v>50</v>
      </c>
      <c r="V335">
        <v>50</v>
      </c>
      <c r="W335">
        <v>77.402286000000004</v>
      </c>
      <c r="X335">
        <v>50</v>
      </c>
      <c r="Y335">
        <v>50</v>
      </c>
      <c r="Z335">
        <v>75</v>
      </c>
      <c r="AA335">
        <v>74.360434999999995</v>
      </c>
      <c r="AB335">
        <v>49.573624000000002</v>
      </c>
      <c r="AC335">
        <v>50</v>
      </c>
      <c r="AD335">
        <v>73.872467999999998</v>
      </c>
      <c r="AE335">
        <v>49.248311999999999</v>
      </c>
      <c r="AF335">
        <v>50</v>
      </c>
      <c r="AG335">
        <v>71.474654000000001</v>
      </c>
      <c r="AH335" t="s">
        <v>125</v>
      </c>
      <c r="AI335">
        <v>47.649769999999997</v>
      </c>
      <c r="AJ335">
        <v>50</v>
      </c>
      <c r="AK335">
        <v>-1.1200000000000001</v>
      </c>
      <c r="AL335">
        <v>0.63</v>
      </c>
      <c r="AM335" t="s">
        <v>125</v>
      </c>
      <c r="AN335">
        <v>0.86375900000000005</v>
      </c>
      <c r="AO335">
        <v>86.375941999999995</v>
      </c>
      <c r="AP335">
        <v>100</v>
      </c>
      <c r="AQ335">
        <v>0.83096899999999996</v>
      </c>
      <c r="AR335">
        <v>83.096856000000002</v>
      </c>
      <c r="AS335">
        <v>100</v>
      </c>
      <c r="AT335">
        <v>0.84257899999999997</v>
      </c>
      <c r="AU335">
        <v>0.89615299999999998</v>
      </c>
      <c r="AV335">
        <v>84.257910999999993</v>
      </c>
      <c r="AW335">
        <v>100</v>
      </c>
      <c r="AX335">
        <v>0.84540099999999996</v>
      </c>
      <c r="AY335">
        <v>0.80889500000000003</v>
      </c>
      <c r="AZ335">
        <v>84.540137999999999</v>
      </c>
      <c r="BA335">
        <v>100</v>
      </c>
      <c r="BB335">
        <v>0.77166599999999996</v>
      </c>
      <c r="BC335">
        <v>38.583286999999999</v>
      </c>
      <c r="BD335">
        <v>50</v>
      </c>
      <c r="BE335">
        <v>0.48389900000000002</v>
      </c>
      <c r="BF335">
        <v>24.194932999999999</v>
      </c>
      <c r="BG335">
        <v>50</v>
      </c>
      <c r="BH335">
        <v>0</v>
      </c>
      <c r="BI335">
        <v>0.99259299999999995</v>
      </c>
      <c r="BJ335">
        <v>0.988506</v>
      </c>
      <c r="BK335">
        <v>1</v>
      </c>
      <c r="BL335">
        <v>0.99259299999999995</v>
      </c>
      <c r="BM335">
        <v>0.988506</v>
      </c>
      <c r="BN335">
        <v>1</v>
      </c>
      <c r="BO335">
        <v>0.97916700000000001</v>
      </c>
      <c r="BP335">
        <v>0.96969700000000003</v>
      </c>
      <c r="BQ335" t="s">
        <v>125</v>
      </c>
      <c r="BR335">
        <v>4.3478000000000003E-2</v>
      </c>
      <c r="BS335">
        <v>50</v>
      </c>
      <c r="BT335">
        <v>50</v>
      </c>
      <c r="BU335">
        <v>5.6180000000000001E-2</v>
      </c>
      <c r="BV335">
        <v>48.764045000000003</v>
      </c>
      <c r="BW335">
        <v>50</v>
      </c>
      <c r="BX335" t="s">
        <v>125</v>
      </c>
      <c r="BY335" t="s">
        <v>125</v>
      </c>
      <c r="BZ335" t="s">
        <v>125</v>
      </c>
      <c r="CA335" t="s">
        <v>125</v>
      </c>
      <c r="CB335" t="s">
        <v>125</v>
      </c>
      <c r="CC335" t="s">
        <v>125</v>
      </c>
      <c r="CD335" t="s">
        <v>125</v>
      </c>
      <c r="CE335" t="s">
        <v>125</v>
      </c>
      <c r="CF335" t="s">
        <v>125</v>
      </c>
      <c r="CG335" t="s">
        <v>125</v>
      </c>
      <c r="CH335" t="s">
        <v>125</v>
      </c>
      <c r="CI335" t="s">
        <v>125</v>
      </c>
      <c r="CJ335" t="s">
        <v>125</v>
      </c>
      <c r="CK335" t="s">
        <v>125</v>
      </c>
      <c r="CL335" t="s">
        <v>125</v>
      </c>
      <c r="CM335" t="s">
        <v>125</v>
      </c>
      <c r="CN335" t="s">
        <v>125</v>
      </c>
      <c r="CO335" t="s">
        <v>125</v>
      </c>
      <c r="CP335" t="s">
        <v>125</v>
      </c>
      <c r="CQ335">
        <v>0.66</v>
      </c>
      <c r="CR335">
        <v>1</v>
      </c>
      <c r="CS335">
        <v>44</v>
      </c>
      <c r="CT335">
        <v>50</v>
      </c>
      <c r="CU335" t="s">
        <v>125</v>
      </c>
      <c r="CV335" t="s">
        <v>125</v>
      </c>
      <c r="CW335" t="s">
        <v>125</v>
      </c>
      <c r="CX335" t="s">
        <v>125</v>
      </c>
      <c r="CY335" t="s">
        <v>125</v>
      </c>
      <c r="CZ335" t="s">
        <v>125</v>
      </c>
      <c r="DA335">
        <v>15.314097</v>
      </c>
      <c r="DB335">
        <v>17.400950000000002</v>
      </c>
      <c r="DC335">
        <v>16.332519999999999</v>
      </c>
      <c r="DD335" t="s">
        <v>125</v>
      </c>
      <c r="DE335">
        <v>0</v>
      </c>
      <c r="DH335" t="s">
        <v>332</v>
      </c>
      <c r="DI335" t="s">
        <v>479</v>
      </c>
      <c r="DJ335">
        <v>1</v>
      </c>
      <c r="DK335">
        <v>1</v>
      </c>
      <c r="DL335">
        <v>0</v>
      </c>
      <c r="DM335">
        <v>1</v>
      </c>
      <c r="DN335">
        <v>1</v>
      </c>
      <c r="DO335">
        <v>0</v>
      </c>
      <c r="DQ335" t="s">
        <v>126</v>
      </c>
    </row>
    <row r="336" spans="1:121" x14ac:dyDescent="0.15">
      <c r="A336">
        <v>2018</v>
      </c>
      <c r="B336" t="s">
        <v>223</v>
      </c>
      <c r="C336" t="str">
        <f t="shared" si="5"/>
        <v>0340011</v>
      </c>
      <c r="D336" t="s">
        <v>480</v>
      </c>
      <c r="E336" t="str">
        <f>"0340211"</f>
        <v>0340211</v>
      </c>
      <c r="F336" t="s">
        <v>328</v>
      </c>
      <c r="G336" t="s">
        <v>329</v>
      </c>
      <c r="H336">
        <v>5</v>
      </c>
      <c r="I336" t="s">
        <v>336</v>
      </c>
      <c r="J336" t="s">
        <v>331</v>
      </c>
      <c r="K336">
        <v>783.87807499999997</v>
      </c>
      <c r="L336">
        <v>950</v>
      </c>
      <c r="M336">
        <v>82.513481999999996</v>
      </c>
      <c r="N336">
        <v>2</v>
      </c>
      <c r="O336">
        <v>0</v>
      </c>
      <c r="P336">
        <v>70.826964000000004</v>
      </c>
      <c r="Q336">
        <v>47.217976</v>
      </c>
      <c r="R336">
        <v>50</v>
      </c>
      <c r="S336">
        <v>68.997371000000001</v>
      </c>
      <c r="T336">
        <v>75</v>
      </c>
      <c r="U336">
        <v>45.998246999999999</v>
      </c>
      <c r="V336">
        <v>50</v>
      </c>
      <c r="W336">
        <v>68.406149999999997</v>
      </c>
      <c r="X336">
        <v>45.604100000000003</v>
      </c>
      <c r="Y336">
        <v>50</v>
      </c>
      <c r="Z336">
        <v>75</v>
      </c>
      <c r="AA336">
        <v>66.049706</v>
      </c>
      <c r="AB336">
        <v>44.033137000000004</v>
      </c>
      <c r="AC336">
        <v>50</v>
      </c>
      <c r="AD336">
        <v>66.841099</v>
      </c>
      <c r="AE336">
        <v>44.560732999999999</v>
      </c>
      <c r="AF336">
        <v>50</v>
      </c>
      <c r="AG336">
        <v>65.006451999999996</v>
      </c>
      <c r="AH336" t="s">
        <v>125</v>
      </c>
      <c r="AI336">
        <v>43.337634000000001</v>
      </c>
      <c r="AJ336">
        <v>50</v>
      </c>
      <c r="AK336">
        <v>6</v>
      </c>
      <c r="AL336">
        <v>8.9499999999999993</v>
      </c>
      <c r="AM336" t="s">
        <v>125</v>
      </c>
      <c r="AN336">
        <v>0.74782599999999999</v>
      </c>
      <c r="AO336">
        <v>74.782595999999998</v>
      </c>
      <c r="AP336">
        <v>100</v>
      </c>
      <c r="AQ336">
        <v>0.883521</v>
      </c>
      <c r="AR336">
        <v>88.352091000000001</v>
      </c>
      <c r="AS336">
        <v>100</v>
      </c>
      <c r="AT336">
        <v>0.75728099999999998</v>
      </c>
      <c r="AU336">
        <v>0.71301400000000004</v>
      </c>
      <c r="AV336">
        <v>75.728098000000003</v>
      </c>
      <c r="AW336">
        <v>100</v>
      </c>
      <c r="AX336">
        <v>0.85169099999999998</v>
      </c>
      <c r="AY336">
        <v>0.99926700000000002</v>
      </c>
      <c r="AZ336">
        <v>85.169072</v>
      </c>
      <c r="BA336">
        <v>100</v>
      </c>
      <c r="BB336">
        <v>0.63359299999999996</v>
      </c>
      <c r="BC336">
        <v>31.679669000000001</v>
      </c>
      <c r="BD336">
        <v>50</v>
      </c>
      <c r="BE336">
        <v>0.44134699999999999</v>
      </c>
      <c r="BF336">
        <v>22.067333999999999</v>
      </c>
      <c r="BG336">
        <v>50</v>
      </c>
      <c r="BH336">
        <v>0</v>
      </c>
      <c r="BI336">
        <v>1</v>
      </c>
      <c r="BJ336">
        <v>1</v>
      </c>
      <c r="BK336">
        <v>1</v>
      </c>
      <c r="BL336">
        <v>0.99487199999999998</v>
      </c>
      <c r="BM336">
        <v>0.99397599999999997</v>
      </c>
      <c r="BN336">
        <v>1</v>
      </c>
      <c r="BO336">
        <v>1</v>
      </c>
      <c r="BP336">
        <v>1</v>
      </c>
      <c r="BQ336" t="s">
        <v>125</v>
      </c>
      <c r="BR336">
        <v>5.7214000000000001E-2</v>
      </c>
      <c r="BS336">
        <v>48.557214000000002</v>
      </c>
      <c r="BT336">
        <v>50</v>
      </c>
      <c r="BU336">
        <v>5.8139999999999997E-2</v>
      </c>
      <c r="BV336">
        <v>48.372093</v>
      </c>
      <c r="BW336">
        <v>50</v>
      </c>
      <c r="BX336" t="s">
        <v>125</v>
      </c>
      <c r="BY336" t="s">
        <v>125</v>
      </c>
      <c r="BZ336" t="s">
        <v>125</v>
      </c>
      <c r="CA336" t="s">
        <v>125</v>
      </c>
      <c r="CB336" t="s">
        <v>125</v>
      </c>
      <c r="CC336" t="s">
        <v>125</v>
      </c>
      <c r="CD336" t="s">
        <v>125</v>
      </c>
      <c r="CE336" t="s">
        <v>125</v>
      </c>
      <c r="CF336" t="s">
        <v>125</v>
      </c>
      <c r="CG336" t="s">
        <v>125</v>
      </c>
      <c r="CH336" t="s">
        <v>125</v>
      </c>
      <c r="CI336" t="s">
        <v>125</v>
      </c>
      <c r="CJ336" t="s">
        <v>125</v>
      </c>
      <c r="CK336" t="s">
        <v>125</v>
      </c>
      <c r="CL336" t="s">
        <v>125</v>
      </c>
      <c r="CM336" t="s">
        <v>125</v>
      </c>
      <c r="CN336" t="s">
        <v>125</v>
      </c>
      <c r="CO336" t="s">
        <v>125</v>
      </c>
      <c r="CP336" t="s">
        <v>125</v>
      </c>
      <c r="CQ336">
        <v>0.57627099999999998</v>
      </c>
      <c r="CR336">
        <v>0.95161300000000004</v>
      </c>
      <c r="CS336">
        <v>38.418078999999999</v>
      </c>
      <c r="CT336">
        <v>50</v>
      </c>
      <c r="CU336" t="s">
        <v>125</v>
      </c>
      <c r="CV336" t="s">
        <v>125</v>
      </c>
      <c r="CW336" t="s">
        <v>125</v>
      </c>
      <c r="CX336" t="s">
        <v>125</v>
      </c>
      <c r="CY336" t="s">
        <v>125</v>
      </c>
      <c r="CZ336" t="s">
        <v>125</v>
      </c>
      <c r="DA336">
        <v>15.314097</v>
      </c>
      <c r="DB336">
        <v>17.400950000000002</v>
      </c>
      <c r="DC336">
        <v>16.332519999999999</v>
      </c>
      <c r="DD336" t="s">
        <v>125</v>
      </c>
      <c r="DE336">
        <v>0</v>
      </c>
      <c r="DH336" t="s">
        <v>332</v>
      </c>
      <c r="DI336" t="s">
        <v>477</v>
      </c>
      <c r="DJ336">
        <v>0</v>
      </c>
      <c r="DK336">
        <v>0</v>
      </c>
      <c r="DL336">
        <v>1</v>
      </c>
      <c r="DM336">
        <v>1</v>
      </c>
      <c r="DN336">
        <v>1</v>
      </c>
      <c r="DO336">
        <v>0</v>
      </c>
      <c r="DQ336" t="s">
        <v>126</v>
      </c>
    </row>
    <row r="337" spans="1:121" x14ac:dyDescent="0.15">
      <c r="A337">
        <v>2018</v>
      </c>
      <c r="B337" t="s">
        <v>223</v>
      </c>
      <c r="C337" t="str">
        <f t="shared" si="5"/>
        <v>0340011</v>
      </c>
      <c r="D337" t="s">
        <v>481</v>
      </c>
      <c r="E337" t="str">
        <f>"0341711"</f>
        <v>0341711</v>
      </c>
      <c r="F337" t="s">
        <v>328</v>
      </c>
      <c r="G337">
        <v>4</v>
      </c>
      <c r="H337">
        <v>5</v>
      </c>
      <c r="I337" t="s">
        <v>336</v>
      </c>
      <c r="J337" t="s">
        <v>331</v>
      </c>
      <c r="K337">
        <v>701.264544</v>
      </c>
      <c r="L337">
        <v>950</v>
      </c>
      <c r="M337">
        <v>73.817319999999995</v>
      </c>
      <c r="N337">
        <v>2</v>
      </c>
      <c r="O337">
        <v>0</v>
      </c>
      <c r="P337">
        <v>67.916413000000006</v>
      </c>
      <c r="Q337">
        <v>45.277608999999998</v>
      </c>
      <c r="R337">
        <v>50</v>
      </c>
      <c r="S337">
        <v>63.074688000000002</v>
      </c>
      <c r="T337">
        <v>75</v>
      </c>
      <c r="U337">
        <v>42.049791999999997</v>
      </c>
      <c r="V337">
        <v>50</v>
      </c>
      <c r="W337">
        <v>65.704764999999995</v>
      </c>
      <c r="X337">
        <v>43.803176000000001</v>
      </c>
      <c r="Y337">
        <v>50</v>
      </c>
      <c r="Z337">
        <v>74.510333000000003</v>
      </c>
      <c r="AA337">
        <v>60.808394999999997</v>
      </c>
      <c r="AB337">
        <v>40.538930000000001</v>
      </c>
      <c r="AC337">
        <v>50</v>
      </c>
      <c r="AD337">
        <v>66.693819000000005</v>
      </c>
      <c r="AE337">
        <v>44.462546000000003</v>
      </c>
      <c r="AF337">
        <v>50</v>
      </c>
      <c r="AG337">
        <v>62.793779000000001</v>
      </c>
      <c r="AH337">
        <v>73.213288000000006</v>
      </c>
      <c r="AI337">
        <v>41.862518999999999</v>
      </c>
      <c r="AJ337">
        <v>50</v>
      </c>
      <c r="AK337">
        <v>11.92</v>
      </c>
      <c r="AL337">
        <v>13.7</v>
      </c>
      <c r="AM337">
        <v>10.41</v>
      </c>
      <c r="AN337">
        <v>0.58263100000000001</v>
      </c>
      <c r="AO337">
        <v>58.263064</v>
      </c>
      <c r="AP337">
        <v>100</v>
      </c>
      <c r="AQ337">
        <v>0.65559900000000004</v>
      </c>
      <c r="AR337">
        <v>65.559895999999995</v>
      </c>
      <c r="AS337">
        <v>100</v>
      </c>
      <c r="AT337">
        <v>0.56665900000000002</v>
      </c>
      <c r="AU337">
        <v>0.61180199999999996</v>
      </c>
      <c r="AV337">
        <v>56.665900999999998</v>
      </c>
      <c r="AW337">
        <v>100</v>
      </c>
      <c r="AX337">
        <v>0.63536199999999998</v>
      </c>
      <c r="AY337">
        <v>0.69301299999999999</v>
      </c>
      <c r="AZ337">
        <v>63.536158</v>
      </c>
      <c r="BA337">
        <v>100</v>
      </c>
      <c r="BB337">
        <v>0.73989300000000002</v>
      </c>
      <c r="BC337">
        <v>36.994661999999998</v>
      </c>
      <c r="BD337">
        <v>50</v>
      </c>
      <c r="BE337">
        <v>0.63176399999999999</v>
      </c>
      <c r="BF337">
        <v>31.588206</v>
      </c>
      <c r="BG337">
        <v>50</v>
      </c>
      <c r="BH337">
        <v>0</v>
      </c>
      <c r="BI337">
        <v>0.99193500000000001</v>
      </c>
      <c r="BJ337">
        <v>1</v>
      </c>
      <c r="BK337">
        <v>0.97777800000000004</v>
      </c>
      <c r="BL337">
        <v>0.991892</v>
      </c>
      <c r="BM337">
        <v>1</v>
      </c>
      <c r="BN337">
        <v>0.97744399999999998</v>
      </c>
      <c r="BO337">
        <v>0.98941800000000002</v>
      </c>
      <c r="BP337">
        <v>1</v>
      </c>
      <c r="BQ337">
        <v>0.972603</v>
      </c>
      <c r="BR337">
        <v>7.3370000000000005E-2</v>
      </c>
      <c r="BS337">
        <v>45.326087000000001</v>
      </c>
      <c r="BT337">
        <v>50</v>
      </c>
      <c r="BU337">
        <v>8.5106000000000001E-2</v>
      </c>
      <c r="BV337">
        <v>42.978723000000002</v>
      </c>
      <c r="BW337">
        <v>50</v>
      </c>
      <c r="BX337" t="s">
        <v>125</v>
      </c>
      <c r="BY337" t="s">
        <v>125</v>
      </c>
      <c r="BZ337" t="s">
        <v>125</v>
      </c>
      <c r="CA337" t="s">
        <v>125</v>
      </c>
      <c r="CB337" t="s">
        <v>125</v>
      </c>
      <c r="CC337" t="s">
        <v>125</v>
      </c>
      <c r="CD337" t="s">
        <v>125</v>
      </c>
      <c r="CE337" t="s">
        <v>125</v>
      </c>
      <c r="CF337" t="s">
        <v>125</v>
      </c>
      <c r="CG337" t="s">
        <v>125</v>
      </c>
      <c r="CH337" t="s">
        <v>125</v>
      </c>
      <c r="CI337" t="s">
        <v>125</v>
      </c>
      <c r="CJ337" t="s">
        <v>125</v>
      </c>
      <c r="CK337" t="s">
        <v>125</v>
      </c>
      <c r="CL337" t="s">
        <v>125</v>
      </c>
      <c r="CM337" t="s">
        <v>125</v>
      </c>
      <c r="CN337" t="s">
        <v>125</v>
      </c>
      <c r="CO337" t="s">
        <v>125</v>
      </c>
      <c r="CP337" t="s">
        <v>125</v>
      </c>
      <c r="CQ337">
        <v>0.63535900000000001</v>
      </c>
      <c r="CR337">
        <v>1.0055559999999999</v>
      </c>
      <c r="CS337">
        <v>42.357273999999997</v>
      </c>
      <c r="CT337">
        <v>50</v>
      </c>
      <c r="CU337" t="s">
        <v>125</v>
      </c>
      <c r="CV337" t="s">
        <v>125</v>
      </c>
      <c r="CW337" t="s">
        <v>125</v>
      </c>
      <c r="CX337" t="s">
        <v>125</v>
      </c>
      <c r="CY337" t="s">
        <v>125</v>
      </c>
      <c r="CZ337" t="s">
        <v>125</v>
      </c>
      <c r="DA337">
        <v>15.314097</v>
      </c>
      <c r="DB337">
        <v>17.400950000000002</v>
      </c>
      <c r="DC337">
        <v>16.332519999999999</v>
      </c>
      <c r="DD337" t="s">
        <v>125</v>
      </c>
      <c r="DE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Q337" t="s">
        <v>126</v>
      </c>
    </row>
    <row r="338" spans="1:121" x14ac:dyDescent="0.15">
      <c r="A338">
        <v>2018</v>
      </c>
      <c r="B338" t="s">
        <v>223</v>
      </c>
      <c r="C338" t="str">
        <f t="shared" si="5"/>
        <v>0340011</v>
      </c>
      <c r="D338" t="s">
        <v>482</v>
      </c>
      <c r="E338" t="str">
        <f>"0341311"</f>
        <v>0341311</v>
      </c>
      <c r="F338" t="s">
        <v>328</v>
      </c>
      <c r="G338" t="s">
        <v>339</v>
      </c>
      <c r="H338">
        <v>3</v>
      </c>
      <c r="I338" t="s">
        <v>336</v>
      </c>
      <c r="J338" t="s">
        <v>331</v>
      </c>
      <c r="K338">
        <v>426.43408799999997</v>
      </c>
      <c r="L338">
        <v>600</v>
      </c>
      <c r="M338">
        <v>71.072348000000005</v>
      </c>
      <c r="N338">
        <v>3</v>
      </c>
      <c r="O338">
        <v>1</v>
      </c>
      <c r="P338">
        <v>59.826788000000001</v>
      </c>
      <c r="Q338">
        <v>79.769049999999993</v>
      </c>
      <c r="R338">
        <v>100</v>
      </c>
      <c r="S338">
        <v>54.861930000000001</v>
      </c>
      <c r="T338">
        <v>69.488133000000005</v>
      </c>
      <c r="U338">
        <v>73.149240000000006</v>
      </c>
      <c r="V338">
        <v>100</v>
      </c>
      <c r="W338">
        <v>53.268985999999998</v>
      </c>
      <c r="X338">
        <v>71.025313999999995</v>
      </c>
      <c r="Y338">
        <v>100</v>
      </c>
      <c r="Z338">
        <v>66.712963000000002</v>
      </c>
      <c r="AA338">
        <v>46.360275000000001</v>
      </c>
      <c r="AB338">
        <v>61.813699999999997</v>
      </c>
      <c r="AC338">
        <v>100</v>
      </c>
      <c r="AD338" t="s">
        <v>125</v>
      </c>
      <c r="AE338" t="s">
        <v>125</v>
      </c>
      <c r="AF338" t="s">
        <v>125</v>
      </c>
      <c r="AG338" t="s">
        <v>125</v>
      </c>
      <c r="AH338" t="s">
        <v>125</v>
      </c>
      <c r="AI338" t="s">
        <v>125</v>
      </c>
      <c r="AJ338" t="s">
        <v>125</v>
      </c>
      <c r="AK338">
        <v>14.62</v>
      </c>
      <c r="AL338">
        <v>20.350000000000001</v>
      </c>
      <c r="AM338" t="s">
        <v>125</v>
      </c>
      <c r="AN338" t="s">
        <v>125</v>
      </c>
      <c r="AO338" t="s">
        <v>125</v>
      </c>
      <c r="AP338" t="s">
        <v>125</v>
      </c>
      <c r="AQ338" t="s">
        <v>125</v>
      </c>
      <c r="AR338" t="s">
        <v>125</v>
      </c>
      <c r="AS338" t="s">
        <v>125</v>
      </c>
      <c r="AT338" t="s">
        <v>125</v>
      </c>
      <c r="AU338" t="s">
        <v>125</v>
      </c>
      <c r="AV338" t="s">
        <v>125</v>
      </c>
      <c r="AW338" t="s">
        <v>125</v>
      </c>
      <c r="AX338" t="s">
        <v>125</v>
      </c>
      <c r="AY338" t="s">
        <v>125</v>
      </c>
      <c r="AZ338" t="s">
        <v>125</v>
      </c>
      <c r="BA338" t="s">
        <v>125</v>
      </c>
      <c r="BB338">
        <v>0.56375900000000001</v>
      </c>
      <c r="BC338">
        <v>28.187958999999999</v>
      </c>
      <c r="BD338">
        <v>50</v>
      </c>
      <c r="BE338">
        <v>0.34798600000000002</v>
      </c>
      <c r="BF338">
        <v>17.399322000000002</v>
      </c>
      <c r="BG338">
        <v>50</v>
      </c>
      <c r="BH338">
        <v>0</v>
      </c>
      <c r="BI338">
        <v>0.99159699999999995</v>
      </c>
      <c r="BJ338">
        <v>0.98765400000000003</v>
      </c>
      <c r="BK338">
        <v>1</v>
      </c>
      <c r="BL338">
        <v>0.99159699999999995</v>
      </c>
      <c r="BM338">
        <v>0.98765400000000003</v>
      </c>
      <c r="BN338">
        <v>1</v>
      </c>
      <c r="BO338" t="s">
        <v>125</v>
      </c>
      <c r="BP338" t="s">
        <v>125</v>
      </c>
      <c r="BQ338" t="s">
        <v>125</v>
      </c>
      <c r="BR338">
        <v>5.5065999999999997E-2</v>
      </c>
      <c r="BS338">
        <v>48.986784</v>
      </c>
      <c r="BT338">
        <v>50</v>
      </c>
      <c r="BU338">
        <v>6.9486000000000006E-2</v>
      </c>
      <c r="BV338">
        <v>46.102719</v>
      </c>
      <c r="BW338">
        <v>50</v>
      </c>
      <c r="BX338" t="s">
        <v>125</v>
      </c>
      <c r="BY338" t="s">
        <v>125</v>
      </c>
      <c r="BZ338" t="s">
        <v>125</v>
      </c>
      <c r="CA338" t="s">
        <v>125</v>
      </c>
      <c r="CB338" t="s">
        <v>125</v>
      </c>
      <c r="CC338" t="s">
        <v>125</v>
      </c>
      <c r="CD338" t="s">
        <v>125</v>
      </c>
      <c r="CE338" t="s">
        <v>125</v>
      </c>
      <c r="CF338" t="s">
        <v>125</v>
      </c>
      <c r="CG338" t="s">
        <v>125</v>
      </c>
      <c r="CH338" t="s">
        <v>125</v>
      </c>
      <c r="CI338" t="s">
        <v>125</v>
      </c>
      <c r="CJ338" t="s">
        <v>125</v>
      </c>
      <c r="CK338" t="s">
        <v>125</v>
      </c>
      <c r="CL338" t="s">
        <v>125</v>
      </c>
      <c r="CM338" t="s">
        <v>125</v>
      </c>
      <c r="CN338" t="s">
        <v>125</v>
      </c>
      <c r="CO338" t="s">
        <v>125</v>
      </c>
      <c r="CP338" t="s">
        <v>125</v>
      </c>
      <c r="CQ338" t="s">
        <v>125</v>
      </c>
      <c r="CR338" t="s">
        <v>125</v>
      </c>
      <c r="CS338" t="s">
        <v>125</v>
      </c>
      <c r="CT338" t="s">
        <v>125</v>
      </c>
      <c r="CU338" t="s">
        <v>125</v>
      </c>
      <c r="CV338" t="s">
        <v>125</v>
      </c>
      <c r="CW338" t="s">
        <v>125</v>
      </c>
      <c r="CX338" t="s">
        <v>125</v>
      </c>
      <c r="CY338" t="s">
        <v>125</v>
      </c>
      <c r="CZ338" t="s">
        <v>125</v>
      </c>
      <c r="DA338">
        <v>15.314097</v>
      </c>
      <c r="DB338">
        <v>17.400950000000002</v>
      </c>
      <c r="DC338">
        <v>16.332519999999999</v>
      </c>
      <c r="DD338" t="s">
        <v>125</v>
      </c>
      <c r="DE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Q338" t="s">
        <v>126</v>
      </c>
    </row>
    <row r="339" spans="1:121" x14ac:dyDescent="0.15">
      <c r="A339">
        <v>2018</v>
      </c>
      <c r="B339" t="s">
        <v>223</v>
      </c>
      <c r="C339" t="str">
        <f t="shared" si="5"/>
        <v>0340011</v>
      </c>
      <c r="D339" t="s">
        <v>483</v>
      </c>
      <c r="E339" t="str">
        <f>"0340511"</f>
        <v>0340511</v>
      </c>
      <c r="F339" t="s">
        <v>328</v>
      </c>
      <c r="G339" t="s">
        <v>339</v>
      </c>
      <c r="H339">
        <v>3</v>
      </c>
      <c r="I339" t="s">
        <v>336</v>
      </c>
      <c r="J339" t="s">
        <v>331</v>
      </c>
      <c r="K339">
        <v>527.25093300000003</v>
      </c>
      <c r="L339">
        <v>600</v>
      </c>
      <c r="M339">
        <v>87.875156000000004</v>
      </c>
      <c r="N339">
        <v>1</v>
      </c>
      <c r="O339">
        <v>0</v>
      </c>
      <c r="P339">
        <v>70.534193999999999</v>
      </c>
      <c r="Q339">
        <v>94.045591999999999</v>
      </c>
      <c r="R339">
        <v>100</v>
      </c>
      <c r="S339">
        <v>68.212181000000001</v>
      </c>
      <c r="T339">
        <v>74.938012000000001</v>
      </c>
      <c r="U339">
        <v>90.949573999999998</v>
      </c>
      <c r="V339">
        <v>100</v>
      </c>
      <c r="W339">
        <v>70.192901000000006</v>
      </c>
      <c r="X339">
        <v>93.590535000000003</v>
      </c>
      <c r="Y339">
        <v>100</v>
      </c>
      <c r="Z339">
        <v>72.604566000000005</v>
      </c>
      <c r="AA339">
        <v>68.921295999999998</v>
      </c>
      <c r="AB339">
        <v>91.895061999999996</v>
      </c>
      <c r="AC339">
        <v>100</v>
      </c>
      <c r="AD339" t="s">
        <v>125</v>
      </c>
      <c r="AE339" t="s">
        <v>125</v>
      </c>
      <c r="AF339" t="s">
        <v>125</v>
      </c>
      <c r="AG339" t="s">
        <v>125</v>
      </c>
      <c r="AH339" t="s">
        <v>125</v>
      </c>
      <c r="AI339" t="s">
        <v>125</v>
      </c>
      <c r="AJ339" t="s">
        <v>125</v>
      </c>
      <c r="AK339">
        <v>6.72</v>
      </c>
      <c r="AL339">
        <v>3.68</v>
      </c>
      <c r="AM339" t="s">
        <v>125</v>
      </c>
      <c r="AN339" t="s">
        <v>125</v>
      </c>
      <c r="AO339" t="s">
        <v>125</v>
      </c>
      <c r="AP339" t="s">
        <v>125</v>
      </c>
      <c r="AQ339" t="s">
        <v>125</v>
      </c>
      <c r="AR339" t="s">
        <v>125</v>
      </c>
      <c r="AS339" t="s">
        <v>125</v>
      </c>
      <c r="AT339" t="s">
        <v>125</v>
      </c>
      <c r="AU339" t="s">
        <v>125</v>
      </c>
      <c r="AV339" t="s">
        <v>125</v>
      </c>
      <c r="AW339" t="s">
        <v>125</v>
      </c>
      <c r="AX339" t="s">
        <v>125</v>
      </c>
      <c r="AY339" t="s">
        <v>125</v>
      </c>
      <c r="AZ339" t="s">
        <v>125</v>
      </c>
      <c r="BA339" t="s">
        <v>125</v>
      </c>
      <c r="BB339">
        <v>0.69868300000000005</v>
      </c>
      <c r="BC339">
        <v>34.934136000000002</v>
      </c>
      <c r="BD339">
        <v>50</v>
      </c>
      <c r="BE339">
        <v>0.450712</v>
      </c>
      <c r="BF339">
        <v>22.535623000000001</v>
      </c>
      <c r="BG339">
        <v>50</v>
      </c>
      <c r="BH339">
        <v>0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 t="s">
        <v>125</v>
      </c>
      <c r="BP339" t="s">
        <v>125</v>
      </c>
      <c r="BQ339" t="s">
        <v>125</v>
      </c>
      <c r="BR339">
        <v>4.6632E-2</v>
      </c>
      <c r="BS339">
        <v>50</v>
      </c>
      <c r="BT339">
        <v>50</v>
      </c>
      <c r="BU339">
        <v>5.3497999999999997E-2</v>
      </c>
      <c r="BV339">
        <v>49.300412000000001</v>
      </c>
      <c r="BW339">
        <v>50</v>
      </c>
      <c r="BX339" t="s">
        <v>125</v>
      </c>
      <c r="BY339" t="s">
        <v>125</v>
      </c>
      <c r="BZ339" t="s">
        <v>125</v>
      </c>
      <c r="CA339" t="s">
        <v>125</v>
      </c>
      <c r="CB339" t="s">
        <v>125</v>
      </c>
      <c r="CC339" t="s">
        <v>125</v>
      </c>
      <c r="CD339" t="s">
        <v>125</v>
      </c>
      <c r="CE339" t="s">
        <v>125</v>
      </c>
      <c r="CF339" t="s">
        <v>125</v>
      </c>
      <c r="CG339" t="s">
        <v>125</v>
      </c>
      <c r="CH339" t="s">
        <v>125</v>
      </c>
      <c r="CI339" t="s">
        <v>125</v>
      </c>
      <c r="CJ339" t="s">
        <v>125</v>
      </c>
      <c r="CK339" t="s">
        <v>125</v>
      </c>
      <c r="CL339" t="s">
        <v>125</v>
      </c>
      <c r="CM339" t="s">
        <v>125</v>
      </c>
      <c r="CN339" t="s">
        <v>125</v>
      </c>
      <c r="CO339" t="s">
        <v>125</v>
      </c>
      <c r="CP339" t="s">
        <v>125</v>
      </c>
      <c r="CQ339" t="s">
        <v>125</v>
      </c>
      <c r="CR339" t="s">
        <v>125</v>
      </c>
      <c r="CS339" t="s">
        <v>125</v>
      </c>
      <c r="CT339" t="s">
        <v>125</v>
      </c>
      <c r="CU339" t="s">
        <v>125</v>
      </c>
      <c r="CV339" t="s">
        <v>125</v>
      </c>
      <c r="CW339" t="s">
        <v>125</v>
      </c>
      <c r="CX339" t="s">
        <v>125</v>
      </c>
      <c r="CY339" t="s">
        <v>125</v>
      </c>
      <c r="CZ339" t="s">
        <v>125</v>
      </c>
      <c r="DA339">
        <v>15.314097</v>
      </c>
      <c r="DB339">
        <v>17.400950000000002</v>
      </c>
      <c r="DC339">
        <v>16.332519999999999</v>
      </c>
      <c r="DD339" t="s">
        <v>125</v>
      </c>
      <c r="DE339">
        <v>0</v>
      </c>
      <c r="DH339" t="s">
        <v>332</v>
      </c>
      <c r="DI339" t="s">
        <v>333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Q339" t="s">
        <v>126</v>
      </c>
    </row>
    <row r="340" spans="1:121" x14ac:dyDescent="0.15">
      <c r="A340">
        <v>2018</v>
      </c>
      <c r="B340" t="s">
        <v>223</v>
      </c>
      <c r="C340" t="str">
        <f t="shared" si="5"/>
        <v>0340011</v>
      </c>
      <c r="D340" t="s">
        <v>484</v>
      </c>
      <c r="E340" t="str">
        <f>"0340611"</f>
        <v>0340611</v>
      </c>
      <c r="F340" t="s">
        <v>328</v>
      </c>
      <c r="G340" t="s">
        <v>329</v>
      </c>
      <c r="H340">
        <v>5</v>
      </c>
      <c r="I340" t="s">
        <v>336</v>
      </c>
      <c r="J340" t="s">
        <v>331</v>
      </c>
      <c r="K340">
        <v>677.65896399999997</v>
      </c>
      <c r="L340">
        <v>950</v>
      </c>
      <c r="M340">
        <v>71.332522999999995</v>
      </c>
      <c r="N340">
        <v>2</v>
      </c>
      <c r="O340">
        <v>0</v>
      </c>
      <c r="P340">
        <v>64.826864999999998</v>
      </c>
      <c r="Q340">
        <v>43.217910000000003</v>
      </c>
      <c r="R340">
        <v>50</v>
      </c>
      <c r="S340">
        <v>64.782281999999995</v>
      </c>
      <c r="T340" t="s">
        <v>125</v>
      </c>
      <c r="U340">
        <v>43.188187999999997</v>
      </c>
      <c r="V340">
        <v>50</v>
      </c>
      <c r="W340">
        <v>59.363593999999999</v>
      </c>
      <c r="X340">
        <v>39.575729000000003</v>
      </c>
      <c r="Y340">
        <v>50</v>
      </c>
      <c r="Z340" t="s">
        <v>125</v>
      </c>
      <c r="AA340">
        <v>59.428930000000001</v>
      </c>
      <c r="AB340">
        <v>39.619287</v>
      </c>
      <c r="AC340">
        <v>50</v>
      </c>
      <c r="AD340">
        <v>62.195664000000001</v>
      </c>
      <c r="AE340">
        <v>41.463776000000003</v>
      </c>
      <c r="AF340">
        <v>50</v>
      </c>
      <c r="AG340">
        <v>62.211044000000001</v>
      </c>
      <c r="AH340" t="s">
        <v>125</v>
      </c>
      <c r="AI340">
        <v>41.474029999999999</v>
      </c>
      <c r="AJ340">
        <v>50</v>
      </c>
      <c r="AK340" t="s">
        <v>125</v>
      </c>
      <c r="AL340" t="s">
        <v>125</v>
      </c>
      <c r="AM340" t="s">
        <v>125</v>
      </c>
      <c r="AN340">
        <v>0.56340299999999999</v>
      </c>
      <c r="AO340">
        <v>56.340321000000003</v>
      </c>
      <c r="AP340">
        <v>100</v>
      </c>
      <c r="AQ340">
        <v>0.66910700000000001</v>
      </c>
      <c r="AR340">
        <v>66.910728000000006</v>
      </c>
      <c r="AS340">
        <v>100</v>
      </c>
      <c r="AT340">
        <v>0.56496000000000002</v>
      </c>
      <c r="AU340" t="s">
        <v>125</v>
      </c>
      <c r="AV340">
        <v>56.495992999999999</v>
      </c>
      <c r="AW340">
        <v>100</v>
      </c>
      <c r="AX340">
        <v>0.65656899999999996</v>
      </c>
      <c r="AY340" t="s">
        <v>125</v>
      </c>
      <c r="AZ340">
        <v>65.656932999999995</v>
      </c>
      <c r="BA340">
        <v>100</v>
      </c>
      <c r="BB340">
        <v>0.60544200000000004</v>
      </c>
      <c r="BC340">
        <v>30.272112</v>
      </c>
      <c r="BD340">
        <v>50</v>
      </c>
      <c r="BE340">
        <v>0.53554599999999997</v>
      </c>
      <c r="BF340">
        <v>26.777291999999999</v>
      </c>
      <c r="BG340">
        <v>50</v>
      </c>
      <c r="BH340">
        <v>0</v>
      </c>
      <c r="BI340">
        <v>1</v>
      </c>
      <c r="BJ340">
        <v>1</v>
      </c>
      <c r="BK340" t="s">
        <v>125</v>
      </c>
      <c r="BL340">
        <v>1</v>
      </c>
      <c r="BM340">
        <v>1</v>
      </c>
      <c r="BN340" t="s">
        <v>125</v>
      </c>
      <c r="BO340">
        <v>1</v>
      </c>
      <c r="BP340">
        <v>1</v>
      </c>
      <c r="BQ340" t="s">
        <v>125</v>
      </c>
      <c r="BR340">
        <v>2.6012E-2</v>
      </c>
      <c r="BS340">
        <v>50</v>
      </c>
      <c r="BT340">
        <v>50</v>
      </c>
      <c r="BU340">
        <v>2.1406999999999999E-2</v>
      </c>
      <c r="BV340">
        <v>50</v>
      </c>
      <c r="BW340">
        <v>50</v>
      </c>
      <c r="BX340" t="s">
        <v>125</v>
      </c>
      <c r="BY340" t="s">
        <v>125</v>
      </c>
      <c r="BZ340" t="s">
        <v>125</v>
      </c>
      <c r="CA340" t="s">
        <v>125</v>
      </c>
      <c r="CB340" t="s">
        <v>125</v>
      </c>
      <c r="CC340" t="s">
        <v>125</v>
      </c>
      <c r="CD340" t="s">
        <v>125</v>
      </c>
      <c r="CE340" t="s">
        <v>125</v>
      </c>
      <c r="CF340" t="s">
        <v>125</v>
      </c>
      <c r="CG340" t="s">
        <v>125</v>
      </c>
      <c r="CH340" t="s">
        <v>125</v>
      </c>
      <c r="CI340" t="s">
        <v>125</v>
      </c>
      <c r="CJ340" t="s">
        <v>125</v>
      </c>
      <c r="CK340" t="s">
        <v>125</v>
      </c>
      <c r="CL340" t="s">
        <v>125</v>
      </c>
      <c r="CM340" t="s">
        <v>125</v>
      </c>
      <c r="CN340" t="s">
        <v>125</v>
      </c>
      <c r="CO340" t="s">
        <v>125</v>
      </c>
      <c r="CP340" t="s">
        <v>125</v>
      </c>
      <c r="CQ340">
        <v>0.4</v>
      </c>
      <c r="CR340">
        <v>1</v>
      </c>
      <c r="CS340">
        <v>26.666667</v>
      </c>
      <c r="CT340">
        <v>50</v>
      </c>
      <c r="CU340" t="s">
        <v>125</v>
      </c>
      <c r="CV340" t="s">
        <v>125</v>
      </c>
      <c r="CW340" t="s">
        <v>125</v>
      </c>
      <c r="CX340" t="s">
        <v>125</v>
      </c>
      <c r="CY340" t="s">
        <v>125</v>
      </c>
      <c r="CZ340" t="s">
        <v>125</v>
      </c>
      <c r="DA340">
        <v>15.314097</v>
      </c>
      <c r="DB340">
        <v>17.400950000000002</v>
      </c>
      <c r="DC340">
        <v>16.332519999999999</v>
      </c>
      <c r="DD340" t="s">
        <v>125</v>
      </c>
      <c r="DE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Q340" t="s">
        <v>126</v>
      </c>
    </row>
    <row r="341" spans="1:121" x14ac:dyDescent="0.15">
      <c r="A341">
        <v>2018</v>
      </c>
      <c r="B341" t="s">
        <v>223</v>
      </c>
      <c r="C341" t="str">
        <f t="shared" si="5"/>
        <v>0340011</v>
      </c>
      <c r="D341" t="s">
        <v>485</v>
      </c>
      <c r="E341" t="str">
        <f>"0340811"</f>
        <v>0340811</v>
      </c>
      <c r="F341" t="s">
        <v>328</v>
      </c>
      <c r="G341" t="s">
        <v>339</v>
      </c>
      <c r="H341">
        <v>5</v>
      </c>
      <c r="I341" t="s">
        <v>336</v>
      </c>
      <c r="J341" t="s">
        <v>331</v>
      </c>
      <c r="K341">
        <v>727.21081900000001</v>
      </c>
      <c r="L341">
        <v>950</v>
      </c>
      <c r="M341">
        <v>76.548507000000001</v>
      </c>
      <c r="N341">
        <v>2</v>
      </c>
      <c r="O341">
        <v>0</v>
      </c>
      <c r="P341">
        <v>65.947002999999995</v>
      </c>
      <c r="Q341">
        <v>43.964669000000001</v>
      </c>
      <c r="R341">
        <v>50</v>
      </c>
      <c r="S341">
        <v>65.061145999999994</v>
      </c>
      <c r="T341">
        <v>73.729890999999995</v>
      </c>
      <c r="U341">
        <v>43.374096999999999</v>
      </c>
      <c r="V341">
        <v>50</v>
      </c>
      <c r="W341">
        <v>67.456755000000001</v>
      </c>
      <c r="X341">
        <v>44.971170000000001</v>
      </c>
      <c r="Y341">
        <v>50</v>
      </c>
      <c r="Z341">
        <v>74.066370000000006</v>
      </c>
      <c r="AA341">
        <v>66.704441000000003</v>
      </c>
      <c r="AB341">
        <v>44.469627000000003</v>
      </c>
      <c r="AC341">
        <v>50</v>
      </c>
      <c r="AD341">
        <v>62.494624000000002</v>
      </c>
      <c r="AE341">
        <v>41.663082000000003</v>
      </c>
      <c r="AF341">
        <v>50</v>
      </c>
      <c r="AG341">
        <v>60.890323000000002</v>
      </c>
      <c r="AH341" t="s">
        <v>125</v>
      </c>
      <c r="AI341">
        <v>40.593547999999998</v>
      </c>
      <c r="AJ341">
        <v>50</v>
      </c>
      <c r="AK341">
        <v>8.66</v>
      </c>
      <c r="AL341">
        <v>7.36</v>
      </c>
      <c r="AM341" t="s">
        <v>125</v>
      </c>
      <c r="AN341">
        <v>0.65440299999999996</v>
      </c>
      <c r="AO341">
        <v>65.440333999999993</v>
      </c>
      <c r="AP341">
        <v>100</v>
      </c>
      <c r="AQ341">
        <v>0.75783400000000001</v>
      </c>
      <c r="AR341">
        <v>75.783407999999994</v>
      </c>
      <c r="AS341">
        <v>100</v>
      </c>
      <c r="AT341">
        <v>0.64020100000000002</v>
      </c>
      <c r="AU341" t="s">
        <v>125</v>
      </c>
      <c r="AV341">
        <v>64.020146999999994</v>
      </c>
      <c r="AW341">
        <v>100</v>
      </c>
      <c r="AX341">
        <v>0.74978</v>
      </c>
      <c r="AY341" t="s">
        <v>125</v>
      </c>
      <c r="AZ341">
        <v>74.978032999999996</v>
      </c>
      <c r="BA341">
        <v>100</v>
      </c>
      <c r="BB341">
        <v>0.65968599999999999</v>
      </c>
      <c r="BC341">
        <v>32.984293999999998</v>
      </c>
      <c r="BD341">
        <v>50</v>
      </c>
      <c r="BE341">
        <v>0.53137500000000004</v>
      </c>
      <c r="BF341">
        <v>26.568742</v>
      </c>
      <c r="BG341">
        <v>50</v>
      </c>
      <c r="BH341">
        <v>0</v>
      </c>
      <c r="BI341">
        <v>0.99691399999999997</v>
      </c>
      <c r="BJ341">
        <v>0.99656400000000001</v>
      </c>
      <c r="BK341">
        <v>1</v>
      </c>
      <c r="BL341">
        <v>0.99691399999999997</v>
      </c>
      <c r="BM341">
        <v>0.99656400000000001</v>
      </c>
      <c r="BN341">
        <v>1</v>
      </c>
      <c r="BO341">
        <v>1</v>
      </c>
      <c r="BP341">
        <v>1</v>
      </c>
      <c r="BQ341" t="s">
        <v>125</v>
      </c>
      <c r="BR341">
        <v>7.8312999999999994E-2</v>
      </c>
      <c r="BS341">
        <v>44.337349000000003</v>
      </c>
      <c r="BT341">
        <v>50</v>
      </c>
      <c r="BU341">
        <v>8.3892999999999995E-2</v>
      </c>
      <c r="BV341">
        <v>43.221477</v>
      </c>
      <c r="BW341">
        <v>50</v>
      </c>
      <c r="BX341" t="s">
        <v>125</v>
      </c>
      <c r="BY341" t="s">
        <v>125</v>
      </c>
      <c r="BZ341" t="s">
        <v>125</v>
      </c>
      <c r="CA341" t="s">
        <v>125</v>
      </c>
      <c r="CB341" t="s">
        <v>125</v>
      </c>
      <c r="CC341" t="s">
        <v>125</v>
      </c>
      <c r="CD341" t="s">
        <v>125</v>
      </c>
      <c r="CE341" t="s">
        <v>125</v>
      </c>
      <c r="CF341" t="s">
        <v>125</v>
      </c>
      <c r="CG341" t="s">
        <v>125</v>
      </c>
      <c r="CH341" t="s">
        <v>125</v>
      </c>
      <c r="CI341" t="s">
        <v>125</v>
      </c>
      <c r="CJ341" t="s">
        <v>125</v>
      </c>
      <c r="CK341" t="s">
        <v>125</v>
      </c>
      <c r="CL341" t="s">
        <v>125</v>
      </c>
      <c r="CM341" t="s">
        <v>125</v>
      </c>
      <c r="CN341" t="s">
        <v>125</v>
      </c>
      <c r="CO341" t="s">
        <v>125</v>
      </c>
      <c r="CP341" t="s">
        <v>125</v>
      </c>
      <c r="CQ341">
        <v>0.61261299999999996</v>
      </c>
      <c r="CR341">
        <v>1.009091</v>
      </c>
      <c r="CS341">
        <v>40.840840999999998</v>
      </c>
      <c r="CT341">
        <v>50</v>
      </c>
      <c r="CU341" t="s">
        <v>125</v>
      </c>
      <c r="CV341" t="s">
        <v>125</v>
      </c>
      <c r="CW341" t="s">
        <v>125</v>
      </c>
      <c r="CX341" t="s">
        <v>125</v>
      </c>
      <c r="CY341" t="s">
        <v>125</v>
      </c>
      <c r="CZ341" t="s">
        <v>125</v>
      </c>
      <c r="DA341">
        <v>15.314097</v>
      </c>
      <c r="DB341">
        <v>17.400950000000002</v>
      </c>
      <c r="DC341">
        <v>16.332519999999999</v>
      </c>
      <c r="DD341" t="s">
        <v>125</v>
      </c>
      <c r="DE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Q341" t="s">
        <v>126</v>
      </c>
    </row>
    <row r="342" spans="1:121" x14ac:dyDescent="0.15">
      <c r="A342">
        <v>2018</v>
      </c>
      <c r="B342" t="s">
        <v>223</v>
      </c>
      <c r="C342" t="str">
        <f t="shared" si="5"/>
        <v>0340011</v>
      </c>
      <c r="D342" t="s">
        <v>486</v>
      </c>
      <c r="E342" t="str">
        <f>"0341511"</f>
        <v>0341511</v>
      </c>
      <c r="F342" t="s">
        <v>328</v>
      </c>
      <c r="G342" t="s">
        <v>339</v>
      </c>
      <c r="H342">
        <v>5</v>
      </c>
      <c r="I342" t="s">
        <v>336</v>
      </c>
      <c r="J342" t="s">
        <v>331</v>
      </c>
      <c r="K342">
        <v>605.266076</v>
      </c>
      <c r="L342">
        <v>950</v>
      </c>
      <c r="M342">
        <v>63.712218999999997</v>
      </c>
      <c r="N342">
        <v>3</v>
      </c>
      <c r="O342">
        <v>1</v>
      </c>
      <c r="P342">
        <v>62.212449999999997</v>
      </c>
      <c r="Q342">
        <v>41.474966999999999</v>
      </c>
      <c r="R342">
        <v>50</v>
      </c>
      <c r="S342">
        <v>52.879274000000002</v>
      </c>
      <c r="T342">
        <v>75</v>
      </c>
      <c r="U342">
        <v>35.252848999999998</v>
      </c>
      <c r="V342">
        <v>50</v>
      </c>
      <c r="W342">
        <v>57.005388000000004</v>
      </c>
      <c r="X342">
        <v>38.003591999999998</v>
      </c>
      <c r="Y342">
        <v>50</v>
      </c>
      <c r="Z342">
        <v>74.026779000000005</v>
      </c>
      <c r="AA342">
        <v>47.236589000000002</v>
      </c>
      <c r="AB342">
        <v>31.491059</v>
      </c>
      <c r="AC342">
        <v>50</v>
      </c>
      <c r="AD342">
        <v>60.401434000000002</v>
      </c>
      <c r="AE342">
        <v>40.267622000000003</v>
      </c>
      <c r="AF342">
        <v>50</v>
      </c>
      <c r="AG342">
        <v>51.235247999999999</v>
      </c>
      <c r="AH342">
        <v>75</v>
      </c>
      <c r="AI342">
        <v>34.156832000000001</v>
      </c>
      <c r="AJ342">
        <v>50</v>
      </c>
      <c r="AK342">
        <v>22.12</v>
      </c>
      <c r="AL342">
        <v>26.79</v>
      </c>
      <c r="AM342">
        <v>23.76</v>
      </c>
      <c r="AN342">
        <v>0.62437699999999996</v>
      </c>
      <c r="AO342">
        <v>62.437665000000003</v>
      </c>
      <c r="AP342">
        <v>100</v>
      </c>
      <c r="AQ342">
        <v>0.69852599999999998</v>
      </c>
      <c r="AR342">
        <v>69.85257</v>
      </c>
      <c r="AS342">
        <v>100</v>
      </c>
      <c r="AT342">
        <v>0.56108100000000005</v>
      </c>
      <c r="AU342">
        <v>0.72233400000000003</v>
      </c>
      <c r="AV342">
        <v>56.108110000000003</v>
      </c>
      <c r="AW342">
        <v>100</v>
      </c>
      <c r="AX342">
        <v>0.62741499999999994</v>
      </c>
      <c r="AY342">
        <v>0.80857800000000002</v>
      </c>
      <c r="AZ342">
        <v>62.741487999999997</v>
      </c>
      <c r="BA342">
        <v>100</v>
      </c>
      <c r="BB342">
        <v>0.56457100000000005</v>
      </c>
      <c r="BC342">
        <v>28.228549999999998</v>
      </c>
      <c r="BD342">
        <v>50</v>
      </c>
      <c r="BE342">
        <v>0.42028199999999999</v>
      </c>
      <c r="BF342">
        <v>21.014075999999999</v>
      </c>
      <c r="BG342">
        <v>50</v>
      </c>
      <c r="BH342">
        <v>0</v>
      </c>
      <c r="BI342">
        <v>0.99473699999999998</v>
      </c>
      <c r="BJ342">
        <v>1</v>
      </c>
      <c r="BK342">
        <v>0.98507500000000003</v>
      </c>
      <c r="BL342">
        <v>0.99476399999999998</v>
      </c>
      <c r="BM342">
        <v>1</v>
      </c>
      <c r="BN342">
        <v>0.98507500000000003</v>
      </c>
      <c r="BO342">
        <v>1</v>
      </c>
      <c r="BP342">
        <v>1</v>
      </c>
      <c r="BQ342">
        <v>1</v>
      </c>
      <c r="BR342">
        <v>0.113314</v>
      </c>
      <c r="BS342">
        <v>37.337110000000003</v>
      </c>
      <c r="BT342">
        <v>50</v>
      </c>
      <c r="BU342">
        <v>0.14574899999999999</v>
      </c>
      <c r="BV342">
        <v>30.850201999999999</v>
      </c>
      <c r="BW342">
        <v>50</v>
      </c>
      <c r="BX342" t="s">
        <v>125</v>
      </c>
      <c r="BY342" t="s">
        <v>125</v>
      </c>
      <c r="BZ342" t="s">
        <v>125</v>
      </c>
      <c r="CA342" t="s">
        <v>125</v>
      </c>
      <c r="CB342" t="s">
        <v>125</v>
      </c>
      <c r="CC342" t="s">
        <v>125</v>
      </c>
      <c r="CD342" t="s">
        <v>125</v>
      </c>
      <c r="CE342" t="s">
        <v>125</v>
      </c>
      <c r="CF342" t="s">
        <v>125</v>
      </c>
      <c r="CG342" t="s">
        <v>125</v>
      </c>
      <c r="CH342" t="s">
        <v>125</v>
      </c>
      <c r="CI342" t="s">
        <v>125</v>
      </c>
      <c r="CJ342" t="s">
        <v>125</v>
      </c>
      <c r="CK342" t="s">
        <v>125</v>
      </c>
      <c r="CL342" t="s">
        <v>125</v>
      </c>
      <c r="CM342" t="s">
        <v>125</v>
      </c>
      <c r="CN342" t="s">
        <v>125</v>
      </c>
      <c r="CO342" t="s">
        <v>125</v>
      </c>
      <c r="CP342" t="s">
        <v>125</v>
      </c>
      <c r="CQ342">
        <v>0.48148099999999999</v>
      </c>
      <c r="CR342">
        <v>0.81818199999999996</v>
      </c>
      <c r="CS342">
        <v>16.049382999999999</v>
      </c>
      <c r="CT342">
        <v>50</v>
      </c>
      <c r="CU342" t="s">
        <v>125</v>
      </c>
      <c r="CV342" t="s">
        <v>125</v>
      </c>
      <c r="CW342" t="s">
        <v>125</v>
      </c>
      <c r="CX342" t="s">
        <v>125</v>
      </c>
      <c r="CY342" t="s">
        <v>125</v>
      </c>
      <c r="CZ342" t="s">
        <v>125</v>
      </c>
      <c r="DA342">
        <v>15.314097</v>
      </c>
      <c r="DB342">
        <v>17.400950000000002</v>
      </c>
      <c r="DC342">
        <v>16.332519999999999</v>
      </c>
      <c r="DD342" t="s">
        <v>125</v>
      </c>
      <c r="DE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Q342" t="s">
        <v>126</v>
      </c>
    </row>
    <row r="343" spans="1:121" x14ac:dyDescent="0.15">
      <c r="A343">
        <v>2018</v>
      </c>
      <c r="B343" t="s">
        <v>223</v>
      </c>
      <c r="C343" t="str">
        <f t="shared" si="5"/>
        <v>0340011</v>
      </c>
      <c r="D343" t="s">
        <v>487</v>
      </c>
      <c r="E343" t="str">
        <f>"0345211"</f>
        <v>0345211</v>
      </c>
      <c r="F343" t="s">
        <v>328</v>
      </c>
      <c r="G343">
        <v>6</v>
      </c>
      <c r="H343">
        <v>8</v>
      </c>
      <c r="J343" t="s">
        <v>331</v>
      </c>
      <c r="K343">
        <v>620.53521799999999</v>
      </c>
      <c r="L343">
        <v>1000</v>
      </c>
      <c r="M343">
        <v>62.053522000000001</v>
      </c>
      <c r="N343">
        <v>3</v>
      </c>
      <c r="O343">
        <v>1</v>
      </c>
      <c r="P343">
        <v>58.983547999999999</v>
      </c>
      <c r="Q343">
        <v>39.322364999999998</v>
      </c>
      <c r="R343">
        <v>50</v>
      </c>
      <c r="S343">
        <v>55.575848999999998</v>
      </c>
      <c r="T343">
        <v>74.848529999999997</v>
      </c>
      <c r="U343">
        <v>37.050566000000003</v>
      </c>
      <c r="V343">
        <v>50</v>
      </c>
      <c r="W343">
        <v>50.308902000000003</v>
      </c>
      <c r="X343">
        <v>33.539268</v>
      </c>
      <c r="Y343">
        <v>50</v>
      </c>
      <c r="Z343">
        <v>63.987062999999999</v>
      </c>
      <c r="AA343">
        <v>47.354106999999999</v>
      </c>
      <c r="AB343">
        <v>31.569403999999999</v>
      </c>
      <c r="AC343">
        <v>50</v>
      </c>
      <c r="AD343">
        <v>53.648944999999998</v>
      </c>
      <c r="AE343">
        <v>35.765962999999999</v>
      </c>
      <c r="AF343">
        <v>50</v>
      </c>
      <c r="AG343">
        <v>50.286177000000002</v>
      </c>
      <c r="AH343">
        <v>65.754907000000003</v>
      </c>
      <c r="AI343">
        <v>33.524118000000001</v>
      </c>
      <c r="AJ343">
        <v>50</v>
      </c>
      <c r="AK343">
        <v>19.27</v>
      </c>
      <c r="AL343">
        <v>16.63</v>
      </c>
      <c r="AM343">
        <v>15.46</v>
      </c>
      <c r="AN343">
        <v>0.476935</v>
      </c>
      <c r="AO343">
        <v>47.693536000000002</v>
      </c>
      <c r="AP343">
        <v>100</v>
      </c>
      <c r="AQ343">
        <v>0.41278599999999999</v>
      </c>
      <c r="AR343">
        <v>41.278609000000003</v>
      </c>
      <c r="AS343">
        <v>100</v>
      </c>
      <c r="AT343">
        <v>0.45798699999999998</v>
      </c>
      <c r="AU343">
        <v>0.56519299999999995</v>
      </c>
      <c r="AV343">
        <v>45.798741</v>
      </c>
      <c r="AW343">
        <v>100</v>
      </c>
      <c r="AX343">
        <v>0.39760299999999998</v>
      </c>
      <c r="AY343">
        <v>0.48357499999999998</v>
      </c>
      <c r="AZ343">
        <v>39.760264999999997</v>
      </c>
      <c r="BA343">
        <v>100</v>
      </c>
      <c r="BB343">
        <v>0.65878099999999995</v>
      </c>
      <c r="BC343">
        <v>32.939041000000003</v>
      </c>
      <c r="BD343">
        <v>50</v>
      </c>
      <c r="BE343">
        <v>0.65476199999999996</v>
      </c>
      <c r="BF343">
        <v>32.738092999999999</v>
      </c>
      <c r="BG343">
        <v>50</v>
      </c>
      <c r="BH343">
        <v>0</v>
      </c>
      <c r="BI343">
        <v>0.99605100000000002</v>
      </c>
      <c r="BJ343">
        <v>0.99532200000000004</v>
      </c>
      <c r="BK343">
        <v>1</v>
      </c>
      <c r="BL343">
        <v>0.99211000000000005</v>
      </c>
      <c r="BM343">
        <v>0.99065400000000003</v>
      </c>
      <c r="BN343">
        <v>1</v>
      </c>
      <c r="BO343">
        <v>0.99147700000000005</v>
      </c>
      <c r="BP343">
        <v>0.98947399999999996</v>
      </c>
      <c r="BQ343">
        <v>1</v>
      </c>
      <c r="BR343">
        <v>6.7979999999999999E-2</v>
      </c>
      <c r="BS343">
        <v>46.403941000000003</v>
      </c>
      <c r="BT343">
        <v>50</v>
      </c>
      <c r="BU343">
        <v>7.3112999999999997E-2</v>
      </c>
      <c r="BV343">
        <v>45.377358000000001</v>
      </c>
      <c r="BW343">
        <v>50</v>
      </c>
      <c r="BX343" t="s">
        <v>125</v>
      </c>
      <c r="BY343" t="s">
        <v>125</v>
      </c>
      <c r="BZ343" t="s">
        <v>125</v>
      </c>
      <c r="CA343" t="s">
        <v>125</v>
      </c>
      <c r="CB343" t="s">
        <v>125</v>
      </c>
      <c r="CC343" t="s">
        <v>125</v>
      </c>
      <c r="CD343">
        <v>0.88925100000000001</v>
      </c>
      <c r="CE343">
        <v>47.300575000000002</v>
      </c>
      <c r="CF343">
        <v>50</v>
      </c>
      <c r="CG343" t="s">
        <v>125</v>
      </c>
      <c r="CH343" t="s">
        <v>125</v>
      </c>
      <c r="CI343" t="s">
        <v>125</v>
      </c>
      <c r="CJ343" t="s">
        <v>125</v>
      </c>
      <c r="CK343" t="s">
        <v>125</v>
      </c>
      <c r="CL343" t="s">
        <v>125</v>
      </c>
      <c r="CM343" t="s">
        <v>125</v>
      </c>
      <c r="CN343" t="s">
        <v>125</v>
      </c>
      <c r="CO343" t="s">
        <v>125</v>
      </c>
      <c r="CP343" t="s">
        <v>125</v>
      </c>
      <c r="CQ343">
        <v>0.45710099999999998</v>
      </c>
      <c r="CR343">
        <v>0.96848100000000004</v>
      </c>
      <c r="CS343">
        <v>30.473372999999999</v>
      </c>
      <c r="CT343">
        <v>50</v>
      </c>
      <c r="CU343" t="s">
        <v>125</v>
      </c>
      <c r="CV343" t="s">
        <v>125</v>
      </c>
      <c r="CW343" t="s">
        <v>125</v>
      </c>
      <c r="CX343" t="s">
        <v>125</v>
      </c>
      <c r="CY343" t="s">
        <v>125</v>
      </c>
      <c r="CZ343" t="s">
        <v>125</v>
      </c>
      <c r="DA343">
        <v>15.314097</v>
      </c>
      <c r="DB343">
        <v>17.400950000000002</v>
      </c>
      <c r="DC343">
        <v>16.332519999999999</v>
      </c>
      <c r="DD343" t="s">
        <v>125</v>
      </c>
      <c r="DE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Q343" t="s">
        <v>126</v>
      </c>
    </row>
    <row r="344" spans="1:121" x14ac:dyDescent="0.15">
      <c r="A344">
        <v>2018</v>
      </c>
      <c r="B344" t="s">
        <v>223</v>
      </c>
      <c r="C344" t="str">
        <f t="shared" si="5"/>
        <v>0340011</v>
      </c>
      <c r="D344" t="s">
        <v>488</v>
      </c>
      <c r="E344" t="str">
        <f>"0341211"</f>
        <v>0341211</v>
      </c>
      <c r="F344" t="s">
        <v>328</v>
      </c>
      <c r="G344" t="s">
        <v>339</v>
      </c>
      <c r="H344">
        <v>5</v>
      </c>
      <c r="I344" t="s">
        <v>336</v>
      </c>
      <c r="J344" t="s">
        <v>331</v>
      </c>
      <c r="K344">
        <v>718.13880200000006</v>
      </c>
      <c r="L344">
        <v>950</v>
      </c>
      <c r="M344">
        <v>75.593558000000002</v>
      </c>
      <c r="N344">
        <v>2</v>
      </c>
      <c r="O344">
        <v>0</v>
      </c>
      <c r="P344">
        <v>68.278435999999999</v>
      </c>
      <c r="Q344">
        <v>45.518957</v>
      </c>
      <c r="R344">
        <v>50</v>
      </c>
      <c r="S344">
        <v>65.316559999999996</v>
      </c>
      <c r="T344">
        <v>75</v>
      </c>
      <c r="U344">
        <v>43.544373</v>
      </c>
      <c r="V344">
        <v>50</v>
      </c>
      <c r="W344">
        <v>67.236022000000006</v>
      </c>
      <c r="X344">
        <v>44.824015000000003</v>
      </c>
      <c r="Y344">
        <v>50</v>
      </c>
      <c r="Z344">
        <v>75</v>
      </c>
      <c r="AA344">
        <v>63.535533000000001</v>
      </c>
      <c r="AB344">
        <v>42.357022000000001</v>
      </c>
      <c r="AC344">
        <v>50</v>
      </c>
      <c r="AD344">
        <v>62.039825</v>
      </c>
      <c r="AE344">
        <v>41.359883000000004</v>
      </c>
      <c r="AF344">
        <v>50</v>
      </c>
      <c r="AG344">
        <v>58.219355</v>
      </c>
      <c r="AH344">
        <v>70.121588000000003</v>
      </c>
      <c r="AI344">
        <v>38.812902999999999</v>
      </c>
      <c r="AJ344">
        <v>50</v>
      </c>
      <c r="AK344">
        <v>9.68</v>
      </c>
      <c r="AL344">
        <v>11.46</v>
      </c>
      <c r="AM344">
        <v>11.9</v>
      </c>
      <c r="AN344">
        <v>0.696913</v>
      </c>
      <c r="AO344">
        <v>69.691323999999994</v>
      </c>
      <c r="AP344">
        <v>100</v>
      </c>
      <c r="AQ344">
        <v>0.72413300000000003</v>
      </c>
      <c r="AR344">
        <v>72.413281999999995</v>
      </c>
      <c r="AS344">
        <v>100</v>
      </c>
      <c r="AT344">
        <v>0.67352500000000004</v>
      </c>
      <c r="AU344">
        <v>0.75397999999999998</v>
      </c>
      <c r="AV344">
        <v>67.352521999999993</v>
      </c>
      <c r="AW344">
        <v>100</v>
      </c>
      <c r="AX344">
        <v>0.67917499999999997</v>
      </c>
      <c r="AY344">
        <v>0.83383099999999999</v>
      </c>
      <c r="AZ344">
        <v>67.917454000000006</v>
      </c>
      <c r="BA344">
        <v>100</v>
      </c>
      <c r="BB344">
        <v>0.63931300000000002</v>
      </c>
      <c r="BC344">
        <v>31.965629</v>
      </c>
      <c r="BD344">
        <v>50</v>
      </c>
      <c r="BE344">
        <v>0.54597899999999999</v>
      </c>
      <c r="BF344">
        <v>27.298928</v>
      </c>
      <c r="BG344">
        <v>50</v>
      </c>
      <c r="BH344">
        <v>0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0.98947399999999996</v>
      </c>
      <c r="BP344">
        <v>0.98550700000000002</v>
      </c>
      <c r="BQ344">
        <v>1</v>
      </c>
      <c r="BR344">
        <v>4.6468000000000002E-2</v>
      </c>
      <c r="BS344">
        <v>50</v>
      </c>
      <c r="BT344">
        <v>50</v>
      </c>
      <c r="BU344">
        <v>4.7030000000000002E-2</v>
      </c>
      <c r="BV344">
        <v>50</v>
      </c>
      <c r="BW344">
        <v>50</v>
      </c>
      <c r="BX344" t="s">
        <v>125</v>
      </c>
      <c r="BY344" t="s">
        <v>125</v>
      </c>
      <c r="BZ344" t="s">
        <v>125</v>
      </c>
      <c r="CA344" t="s">
        <v>125</v>
      </c>
      <c r="CB344" t="s">
        <v>125</v>
      </c>
      <c r="CC344" t="s">
        <v>125</v>
      </c>
      <c r="CD344" t="s">
        <v>125</v>
      </c>
      <c r="CE344" t="s">
        <v>125</v>
      </c>
      <c r="CF344" t="s">
        <v>125</v>
      </c>
      <c r="CG344" t="s">
        <v>125</v>
      </c>
      <c r="CH344" t="s">
        <v>125</v>
      </c>
      <c r="CI344" t="s">
        <v>125</v>
      </c>
      <c r="CJ344" t="s">
        <v>125</v>
      </c>
      <c r="CK344" t="s">
        <v>125</v>
      </c>
      <c r="CL344" t="s">
        <v>125</v>
      </c>
      <c r="CM344" t="s">
        <v>125</v>
      </c>
      <c r="CN344" t="s">
        <v>125</v>
      </c>
      <c r="CO344" t="s">
        <v>125</v>
      </c>
      <c r="CP344" t="s">
        <v>125</v>
      </c>
      <c r="CQ344">
        <v>0.37623800000000002</v>
      </c>
      <c r="CR344">
        <v>1.01</v>
      </c>
      <c r="CS344">
        <v>25.082508000000001</v>
      </c>
      <c r="CT344">
        <v>50</v>
      </c>
      <c r="CU344" t="s">
        <v>125</v>
      </c>
      <c r="CV344" t="s">
        <v>125</v>
      </c>
      <c r="CW344" t="s">
        <v>125</v>
      </c>
      <c r="CX344" t="s">
        <v>125</v>
      </c>
      <c r="CY344" t="s">
        <v>125</v>
      </c>
      <c r="CZ344" t="s">
        <v>125</v>
      </c>
      <c r="DA344">
        <v>15.314097</v>
      </c>
      <c r="DB344">
        <v>17.400950000000002</v>
      </c>
      <c r="DC344">
        <v>16.332519999999999</v>
      </c>
      <c r="DD344" t="s">
        <v>125</v>
      </c>
      <c r="DE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Q344" t="s">
        <v>126</v>
      </c>
    </row>
    <row r="345" spans="1:121" x14ac:dyDescent="0.15">
      <c r="A345">
        <v>2018</v>
      </c>
      <c r="B345" t="s">
        <v>223</v>
      </c>
      <c r="C345" t="str">
        <f t="shared" si="5"/>
        <v>0340011</v>
      </c>
      <c r="D345" t="s">
        <v>489</v>
      </c>
      <c r="E345" t="str">
        <f>"0341011"</f>
        <v>0341011</v>
      </c>
      <c r="F345" t="s">
        <v>328</v>
      </c>
      <c r="G345" t="s">
        <v>339</v>
      </c>
      <c r="H345">
        <v>5</v>
      </c>
      <c r="I345" t="s">
        <v>336</v>
      </c>
      <c r="J345" t="s">
        <v>331</v>
      </c>
      <c r="K345">
        <v>778.58234100000004</v>
      </c>
      <c r="L345">
        <v>950</v>
      </c>
      <c r="M345">
        <v>81.956035999999997</v>
      </c>
      <c r="N345">
        <v>2</v>
      </c>
      <c r="O345">
        <v>0</v>
      </c>
      <c r="P345">
        <v>66.651511999999997</v>
      </c>
      <c r="Q345">
        <v>44.434342000000001</v>
      </c>
      <c r="R345">
        <v>50</v>
      </c>
      <c r="S345">
        <v>66.308661999999998</v>
      </c>
      <c r="T345" t="s">
        <v>125</v>
      </c>
      <c r="U345">
        <v>44.205775000000003</v>
      </c>
      <c r="V345">
        <v>50</v>
      </c>
      <c r="W345">
        <v>66.027687999999998</v>
      </c>
      <c r="X345">
        <v>44.018459</v>
      </c>
      <c r="Y345">
        <v>50</v>
      </c>
      <c r="Z345" t="s">
        <v>125</v>
      </c>
      <c r="AA345">
        <v>65.487728000000004</v>
      </c>
      <c r="AB345">
        <v>43.658484999999999</v>
      </c>
      <c r="AC345">
        <v>50</v>
      </c>
      <c r="AD345">
        <v>61.398924999999998</v>
      </c>
      <c r="AE345">
        <v>40.932616000000003</v>
      </c>
      <c r="AF345">
        <v>50</v>
      </c>
      <c r="AG345">
        <v>60.555061000000002</v>
      </c>
      <c r="AH345" t="s">
        <v>125</v>
      </c>
      <c r="AI345">
        <v>40.370041000000001</v>
      </c>
      <c r="AJ345">
        <v>50</v>
      </c>
      <c r="AK345" t="s">
        <v>125</v>
      </c>
      <c r="AL345" t="s">
        <v>125</v>
      </c>
      <c r="AM345" t="s">
        <v>125</v>
      </c>
      <c r="AN345">
        <v>0.75462300000000004</v>
      </c>
      <c r="AO345">
        <v>75.462280000000007</v>
      </c>
      <c r="AP345">
        <v>100</v>
      </c>
      <c r="AQ345">
        <v>0.88436700000000001</v>
      </c>
      <c r="AR345">
        <v>88.436677000000003</v>
      </c>
      <c r="AS345">
        <v>100</v>
      </c>
      <c r="AT345">
        <v>0.7581</v>
      </c>
      <c r="AU345" t="s">
        <v>125</v>
      </c>
      <c r="AV345">
        <v>75.810050000000004</v>
      </c>
      <c r="AW345">
        <v>100</v>
      </c>
      <c r="AX345">
        <v>0.87281500000000001</v>
      </c>
      <c r="AY345" t="s">
        <v>125</v>
      </c>
      <c r="AZ345">
        <v>87.281498999999997</v>
      </c>
      <c r="BA345">
        <v>100</v>
      </c>
      <c r="BB345">
        <v>0.72935899999999998</v>
      </c>
      <c r="BC345">
        <v>36.467927000000003</v>
      </c>
      <c r="BD345">
        <v>50</v>
      </c>
      <c r="BE345">
        <v>0.58577599999999996</v>
      </c>
      <c r="BF345">
        <v>29.288791</v>
      </c>
      <c r="BG345">
        <v>50</v>
      </c>
      <c r="BH345">
        <v>0</v>
      </c>
      <c r="BI345">
        <v>1</v>
      </c>
      <c r="BJ345">
        <v>1</v>
      </c>
      <c r="BK345" t="s">
        <v>125</v>
      </c>
      <c r="BL345">
        <v>1</v>
      </c>
      <c r="BM345">
        <v>1</v>
      </c>
      <c r="BN345" t="s">
        <v>125</v>
      </c>
      <c r="BO345">
        <v>0.98461500000000002</v>
      </c>
      <c r="BP345">
        <v>0.98412699999999997</v>
      </c>
      <c r="BQ345" t="s">
        <v>125</v>
      </c>
      <c r="BR345">
        <v>5.7935E-2</v>
      </c>
      <c r="BS345">
        <v>48.413097999999998</v>
      </c>
      <c r="BT345">
        <v>50</v>
      </c>
      <c r="BU345">
        <v>5.7851E-2</v>
      </c>
      <c r="BV345">
        <v>48.429752000000001</v>
      </c>
      <c r="BW345">
        <v>50</v>
      </c>
      <c r="BX345" t="s">
        <v>125</v>
      </c>
      <c r="BY345" t="s">
        <v>125</v>
      </c>
      <c r="BZ345" t="s">
        <v>125</v>
      </c>
      <c r="CA345" t="s">
        <v>125</v>
      </c>
      <c r="CB345" t="s">
        <v>125</v>
      </c>
      <c r="CC345" t="s">
        <v>125</v>
      </c>
      <c r="CD345" t="s">
        <v>125</v>
      </c>
      <c r="CE345" t="s">
        <v>125</v>
      </c>
      <c r="CF345" t="s">
        <v>125</v>
      </c>
      <c r="CG345" t="s">
        <v>125</v>
      </c>
      <c r="CH345" t="s">
        <v>125</v>
      </c>
      <c r="CI345" t="s">
        <v>125</v>
      </c>
      <c r="CJ345" t="s">
        <v>125</v>
      </c>
      <c r="CK345" t="s">
        <v>125</v>
      </c>
      <c r="CL345" t="s">
        <v>125</v>
      </c>
      <c r="CM345" t="s">
        <v>125</v>
      </c>
      <c r="CN345" t="s">
        <v>125</v>
      </c>
      <c r="CO345" t="s">
        <v>125</v>
      </c>
      <c r="CP345" t="s">
        <v>125</v>
      </c>
      <c r="CQ345">
        <v>0.47058800000000001</v>
      </c>
      <c r="CR345">
        <v>1</v>
      </c>
      <c r="CS345">
        <v>31.372548999999999</v>
      </c>
      <c r="CT345">
        <v>50</v>
      </c>
      <c r="CU345" t="s">
        <v>125</v>
      </c>
      <c r="CV345" t="s">
        <v>125</v>
      </c>
      <c r="CW345" t="s">
        <v>125</v>
      </c>
      <c r="CX345" t="s">
        <v>125</v>
      </c>
      <c r="CY345" t="s">
        <v>125</v>
      </c>
      <c r="CZ345" t="s">
        <v>125</v>
      </c>
      <c r="DA345">
        <v>15.314097</v>
      </c>
      <c r="DB345">
        <v>17.400950000000002</v>
      </c>
      <c r="DC345">
        <v>16.332519999999999</v>
      </c>
      <c r="DD345" t="s">
        <v>125</v>
      </c>
      <c r="DE345">
        <v>0</v>
      </c>
      <c r="DH345" t="s">
        <v>332</v>
      </c>
      <c r="DI345" t="s">
        <v>477</v>
      </c>
      <c r="DJ345">
        <v>0</v>
      </c>
      <c r="DK345">
        <v>0</v>
      </c>
      <c r="DL345">
        <v>1</v>
      </c>
      <c r="DM345">
        <v>1</v>
      </c>
      <c r="DN345">
        <v>1</v>
      </c>
      <c r="DO345">
        <v>0</v>
      </c>
      <c r="DQ345" t="s">
        <v>126</v>
      </c>
    </row>
    <row r="346" spans="1:121" x14ac:dyDescent="0.15">
      <c r="A346">
        <v>2018</v>
      </c>
      <c r="B346" t="s">
        <v>223</v>
      </c>
      <c r="C346" t="str">
        <f t="shared" si="5"/>
        <v>0340011</v>
      </c>
      <c r="D346" t="s">
        <v>490</v>
      </c>
      <c r="E346" t="str">
        <f>"0341611"</f>
        <v>0341611</v>
      </c>
      <c r="F346" t="s">
        <v>328</v>
      </c>
      <c r="G346" t="s">
        <v>339</v>
      </c>
      <c r="H346">
        <v>5</v>
      </c>
      <c r="I346" t="s">
        <v>336</v>
      </c>
      <c r="J346" t="s">
        <v>331</v>
      </c>
      <c r="K346">
        <v>702.24069999999995</v>
      </c>
      <c r="L346">
        <v>950</v>
      </c>
      <c r="M346">
        <v>73.920074</v>
      </c>
      <c r="N346">
        <v>2</v>
      </c>
      <c r="O346">
        <v>0</v>
      </c>
      <c r="P346">
        <v>66.492260999999999</v>
      </c>
      <c r="Q346">
        <v>44.328173999999997</v>
      </c>
      <c r="R346">
        <v>50</v>
      </c>
      <c r="S346">
        <v>61.604658000000001</v>
      </c>
      <c r="T346">
        <v>75</v>
      </c>
      <c r="U346">
        <v>41.069772</v>
      </c>
      <c r="V346">
        <v>50</v>
      </c>
      <c r="W346">
        <v>63.336177999999997</v>
      </c>
      <c r="X346">
        <v>42.224119000000002</v>
      </c>
      <c r="Y346">
        <v>50</v>
      </c>
      <c r="Z346">
        <v>72.693577000000005</v>
      </c>
      <c r="AA346">
        <v>58.998311000000001</v>
      </c>
      <c r="AB346">
        <v>39.332206999999997</v>
      </c>
      <c r="AC346">
        <v>50</v>
      </c>
      <c r="AD346">
        <v>62.350230000000003</v>
      </c>
      <c r="AE346">
        <v>41.56682</v>
      </c>
      <c r="AF346">
        <v>50</v>
      </c>
      <c r="AG346">
        <v>56.723502000000003</v>
      </c>
      <c r="AH346">
        <v>70.790323000000001</v>
      </c>
      <c r="AI346">
        <v>37.815668000000002</v>
      </c>
      <c r="AJ346">
        <v>50</v>
      </c>
      <c r="AK346">
        <v>13.39</v>
      </c>
      <c r="AL346">
        <v>13.69</v>
      </c>
      <c r="AM346">
        <v>14.06</v>
      </c>
      <c r="AN346">
        <v>0.63154699999999997</v>
      </c>
      <c r="AO346">
        <v>63.154730999999998</v>
      </c>
      <c r="AP346">
        <v>100</v>
      </c>
      <c r="AQ346">
        <v>0.79462900000000003</v>
      </c>
      <c r="AR346">
        <v>79.462875999999994</v>
      </c>
      <c r="AS346">
        <v>100</v>
      </c>
      <c r="AT346">
        <v>0.61438400000000004</v>
      </c>
      <c r="AU346">
        <v>0.66724700000000003</v>
      </c>
      <c r="AV346">
        <v>61.438414999999999</v>
      </c>
      <c r="AW346">
        <v>100</v>
      </c>
      <c r="AX346">
        <v>0.781366</v>
      </c>
      <c r="AY346">
        <v>0.82195099999999999</v>
      </c>
      <c r="AZ346">
        <v>78.136559000000005</v>
      </c>
      <c r="BA346">
        <v>100</v>
      </c>
      <c r="BB346">
        <v>0.56942300000000001</v>
      </c>
      <c r="BC346">
        <v>28.471146999999998</v>
      </c>
      <c r="BD346">
        <v>50</v>
      </c>
      <c r="BE346">
        <v>0.49565399999999998</v>
      </c>
      <c r="BF346">
        <v>24.782696999999999</v>
      </c>
      <c r="BG346">
        <v>50</v>
      </c>
      <c r="BH346">
        <v>0</v>
      </c>
      <c r="BI346">
        <v>0.98823499999999997</v>
      </c>
      <c r="BJ346">
        <v>0.99441299999999999</v>
      </c>
      <c r="BK346">
        <v>0.97368399999999999</v>
      </c>
      <c r="BL346">
        <v>0.98425200000000002</v>
      </c>
      <c r="BM346">
        <v>0.98876399999999998</v>
      </c>
      <c r="BN346">
        <v>0.97368399999999999</v>
      </c>
      <c r="BO346">
        <v>1</v>
      </c>
      <c r="BP346">
        <v>1</v>
      </c>
      <c r="BQ346">
        <v>1</v>
      </c>
      <c r="BR346">
        <v>4.9903999999999997E-2</v>
      </c>
      <c r="BS346">
        <v>50</v>
      </c>
      <c r="BT346">
        <v>50</v>
      </c>
      <c r="BU346">
        <v>5.8824000000000001E-2</v>
      </c>
      <c r="BV346">
        <v>48.235294000000003</v>
      </c>
      <c r="BW346">
        <v>50</v>
      </c>
      <c r="BX346" t="s">
        <v>125</v>
      </c>
      <c r="BY346" t="s">
        <v>125</v>
      </c>
      <c r="BZ346" t="s">
        <v>125</v>
      </c>
      <c r="CA346" t="s">
        <v>125</v>
      </c>
      <c r="CB346" t="s">
        <v>125</v>
      </c>
      <c r="CC346" t="s">
        <v>125</v>
      </c>
      <c r="CD346" t="s">
        <v>125</v>
      </c>
      <c r="CE346" t="s">
        <v>125</v>
      </c>
      <c r="CF346" t="s">
        <v>125</v>
      </c>
      <c r="CG346" t="s">
        <v>125</v>
      </c>
      <c r="CH346" t="s">
        <v>125</v>
      </c>
      <c r="CI346" t="s">
        <v>125</v>
      </c>
      <c r="CJ346" t="s">
        <v>125</v>
      </c>
      <c r="CK346" t="s">
        <v>125</v>
      </c>
      <c r="CL346" t="s">
        <v>125</v>
      </c>
      <c r="CM346" t="s">
        <v>125</v>
      </c>
      <c r="CN346" t="s">
        <v>125</v>
      </c>
      <c r="CO346" t="s">
        <v>125</v>
      </c>
      <c r="CP346" t="s">
        <v>125</v>
      </c>
      <c r="CQ346">
        <v>0.66666700000000001</v>
      </c>
      <c r="CR346">
        <v>0.88421099999999997</v>
      </c>
      <c r="CS346">
        <v>22.222221999999999</v>
      </c>
      <c r="CT346">
        <v>50</v>
      </c>
      <c r="CU346" t="s">
        <v>125</v>
      </c>
      <c r="CV346" t="s">
        <v>125</v>
      </c>
      <c r="CW346" t="s">
        <v>125</v>
      </c>
      <c r="CX346" t="s">
        <v>125</v>
      </c>
      <c r="CY346" t="s">
        <v>125</v>
      </c>
      <c r="CZ346" t="s">
        <v>125</v>
      </c>
      <c r="DA346">
        <v>15.314097</v>
      </c>
      <c r="DB346">
        <v>17.400950000000002</v>
      </c>
      <c r="DC346">
        <v>16.332519999999999</v>
      </c>
      <c r="DD346" t="s">
        <v>125</v>
      </c>
      <c r="DE346">
        <v>0</v>
      </c>
      <c r="DH346" t="s">
        <v>332</v>
      </c>
      <c r="DI346" t="s">
        <v>432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Q346" t="s">
        <v>126</v>
      </c>
    </row>
    <row r="347" spans="1:121" x14ac:dyDescent="0.15">
      <c r="A347">
        <v>2018</v>
      </c>
      <c r="B347" t="s">
        <v>223</v>
      </c>
      <c r="C347" t="str">
        <f t="shared" si="5"/>
        <v>0340011</v>
      </c>
      <c r="D347" t="s">
        <v>491</v>
      </c>
      <c r="E347" t="str">
        <f>"0341911"</f>
        <v>0341911</v>
      </c>
      <c r="F347" t="s">
        <v>328</v>
      </c>
      <c r="G347" t="s">
        <v>339</v>
      </c>
      <c r="H347">
        <v>5</v>
      </c>
      <c r="J347" t="s">
        <v>331</v>
      </c>
      <c r="K347">
        <v>814.97044700000004</v>
      </c>
      <c r="L347">
        <v>950</v>
      </c>
      <c r="M347">
        <v>85.786362999999994</v>
      </c>
      <c r="N347">
        <v>1</v>
      </c>
      <c r="O347">
        <v>0</v>
      </c>
      <c r="P347">
        <v>80.529909000000004</v>
      </c>
      <c r="Q347">
        <v>50</v>
      </c>
      <c r="R347">
        <v>50</v>
      </c>
      <c r="S347">
        <v>73.454249000000004</v>
      </c>
      <c r="T347">
        <v>75</v>
      </c>
      <c r="U347">
        <v>48.969498999999999</v>
      </c>
      <c r="V347">
        <v>50</v>
      </c>
      <c r="W347">
        <v>75.902445</v>
      </c>
      <c r="X347">
        <v>50</v>
      </c>
      <c r="Y347">
        <v>50</v>
      </c>
      <c r="Z347">
        <v>75</v>
      </c>
      <c r="AA347">
        <v>68.948676000000006</v>
      </c>
      <c r="AB347">
        <v>45.965783999999999</v>
      </c>
      <c r="AC347">
        <v>50</v>
      </c>
      <c r="AD347">
        <v>79.856161</v>
      </c>
      <c r="AE347">
        <v>50</v>
      </c>
      <c r="AF347">
        <v>50</v>
      </c>
      <c r="AG347">
        <v>74.794931000000005</v>
      </c>
      <c r="AH347">
        <v>75</v>
      </c>
      <c r="AI347">
        <v>49.863287</v>
      </c>
      <c r="AJ347">
        <v>50</v>
      </c>
      <c r="AK347">
        <v>1.54</v>
      </c>
      <c r="AL347">
        <v>6.05</v>
      </c>
      <c r="AM347">
        <v>0.2</v>
      </c>
      <c r="AN347">
        <v>0.76620500000000002</v>
      </c>
      <c r="AO347">
        <v>76.620508999999998</v>
      </c>
      <c r="AP347">
        <v>100</v>
      </c>
      <c r="AQ347">
        <v>0.879189</v>
      </c>
      <c r="AR347">
        <v>87.918869000000001</v>
      </c>
      <c r="AS347">
        <v>100</v>
      </c>
      <c r="AT347">
        <v>0.68952899999999995</v>
      </c>
      <c r="AU347">
        <v>0.82038999999999995</v>
      </c>
      <c r="AV347">
        <v>68.952865000000003</v>
      </c>
      <c r="AW347">
        <v>100</v>
      </c>
      <c r="AX347">
        <v>0.81493099999999996</v>
      </c>
      <c r="AY347">
        <v>0.92459800000000003</v>
      </c>
      <c r="AZ347">
        <v>81.493078999999994</v>
      </c>
      <c r="BA347">
        <v>100</v>
      </c>
      <c r="BB347">
        <v>0.62980800000000003</v>
      </c>
      <c r="BC347">
        <v>31.490397000000002</v>
      </c>
      <c r="BD347">
        <v>50</v>
      </c>
      <c r="BE347">
        <v>0.63078599999999996</v>
      </c>
      <c r="BF347">
        <v>31.539294999999999</v>
      </c>
      <c r="BG347">
        <v>50</v>
      </c>
      <c r="BH347">
        <v>0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1.8817E-2</v>
      </c>
      <c r="BS347">
        <v>50</v>
      </c>
      <c r="BT347">
        <v>50</v>
      </c>
      <c r="BU347">
        <v>3.6364E-2</v>
      </c>
      <c r="BV347">
        <v>50</v>
      </c>
      <c r="BW347">
        <v>50</v>
      </c>
      <c r="BX347" t="s">
        <v>125</v>
      </c>
      <c r="BY347" t="s">
        <v>125</v>
      </c>
      <c r="BZ347" t="s">
        <v>125</v>
      </c>
      <c r="CA347" t="s">
        <v>125</v>
      </c>
      <c r="CB347" t="s">
        <v>125</v>
      </c>
      <c r="CC347" t="s">
        <v>125</v>
      </c>
      <c r="CD347" t="s">
        <v>125</v>
      </c>
      <c r="CE347" t="s">
        <v>125</v>
      </c>
      <c r="CF347" t="s">
        <v>125</v>
      </c>
      <c r="CG347" t="s">
        <v>125</v>
      </c>
      <c r="CH347" t="s">
        <v>125</v>
      </c>
      <c r="CI347" t="s">
        <v>125</v>
      </c>
      <c r="CJ347" t="s">
        <v>125</v>
      </c>
      <c r="CK347" t="s">
        <v>125</v>
      </c>
      <c r="CL347" t="s">
        <v>125</v>
      </c>
      <c r="CM347" t="s">
        <v>125</v>
      </c>
      <c r="CN347" t="s">
        <v>125</v>
      </c>
      <c r="CO347" t="s">
        <v>125</v>
      </c>
      <c r="CP347" t="s">
        <v>125</v>
      </c>
      <c r="CQ347">
        <v>0.63235300000000005</v>
      </c>
      <c r="CR347">
        <v>1</v>
      </c>
      <c r="CS347">
        <v>42.156863000000001</v>
      </c>
      <c r="CT347">
        <v>50</v>
      </c>
      <c r="CU347" t="s">
        <v>125</v>
      </c>
      <c r="CV347" t="s">
        <v>125</v>
      </c>
      <c r="CW347" t="s">
        <v>125</v>
      </c>
      <c r="CX347" t="s">
        <v>125</v>
      </c>
      <c r="CY347" t="s">
        <v>125</v>
      </c>
      <c r="CZ347" t="s">
        <v>125</v>
      </c>
      <c r="DA347">
        <v>15.314097</v>
      </c>
      <c r="DB347">
        <v>17.400950000000002</v>
      </c>
      <c r="DC347">
        <v>16.332519999999999</v>
      </c>
      <c r="DD347" t="s">
        <v>125</v>
      </c>
      <c r="DE347">
        <v>0</v>
      </c>
      <c r="DH347" t="s">
        <v>332</v>
      </c>
      <c r="DI347" t="s">
        <v>453</v>
      </c>
      <c r="DJ347">
        <v>0</v>
      </c>
      <c r="DK347">
        <v>0</v>
      </c>
      <c r="DL347">
        <v>1</v>
      </c>
      <c r="DM347">
        <v>0</v>
      </c>
      <c r="DN347">
        <v>1</v>
      </c>
      <c r="DO347">
        <v>0</v>
      </c>
      <c r="DQ347" t="s">
        <v>126</v>
      </c>
    </row>
    <row r="348" spans="1:121" x14ac:dyDescent="0.15">
      <c r="A348">
        <v>2018</v>
      </c>
      <c r="B348" t="s">
        <v>223</v>
      </c>
      <c r="C348" t="str">
        <f t="shared" si="5"/>
        <v>0340011</v>
      </c>
      <c r="D348" t="s">
        <v>492</v>
      </c>
      <c r="E348" t="str">
        <f>"0340311"</f>
        <v>0340311</v>
      </c>
      <c r="F348" t="s">
        <v>328</v>
      </c>
      <c r="G348">
        <v>6</v>
      </c>
      <c r="H348">
        <v>8</v>
      </c>
      <c r="J348" t="s">
        <v>331</v>
      </c>
      <c r="K348">
        <v>690.11115600000005</v>
      </c>
      <c r="L348">
        <v>1000</v>
      </c>
      <c r="M348">
        <v>69.011116000000001</v>
      </c>
      <c r="N348">
        <v>3</v>
      </c>
      <c r="O348">
        <v>0</v>
      </c>
      <c r="P348">
        <v>69.024506000000002</v>
      </c>
      <c r="Q348">
        <v>46.016337</v>
      </c>
      <c r="R348">
        <v>50</v>
      </c>
      <c r="S348">
        <v>64.444850000000002</v>
      </c>
      <c r="T348">
        <v>75</v>
      </c>
      <c r="U348">
        <v>42.963233000000002</v>
      </c>
      <c r="V348">
        <v>50</v>
      </c>
      <c r="W348">
        <v>62.779221</v>
      </c>
      <c r="X348">
        <v>41.852814000000002</v>
      </c>
      <c r="Y348">
        <v>50</v>
      </c>
      <c r="Z348">
        <v>68.791745000000006</v>
      </c>
      <c r="AA348">
        <v>58.248538000000003</v>
      </c>
      <c r="AB348">
        <v>38.832358999999997</v>
      </c>
      <c r="AC348">
        <v>50</v>
      </c>
      <c r="AD348">
        <v>63.787686999999998</v>
      </c>
      <c r="AE348">
        <v>42.525125000000003</v>
      </c>
      <c r="AF348">
        <v>50</v>
      </c>
      <c r="AG348">
        <v>57.866334999999999</v>
      </c>
      <c r="AH348">
        <v>69.898019000000005</v>
      </c>
      <c r="AI348">
        <v>38.577556999999999</v>
      </c>
      <c r="AJ348">
        <v>50</v>
      </c>
      <c r="AK348">
        <v>10.55</v>
      </c>
      <c r="AL348">
        <v>10.54</v>
      </c>
      <c r="AM348">
        <v>12.03</v>
      </c>
      <c r="AN348">
        <v>0.48860700000000001</v>
      </c>
      <c r="AO348">
        <v>48.860725000000002</v>
      </c>
      <c r="AP348">
        <v>100</v>
      </c>
      <c r="AQ348">
        <v>0.434031</v>
      </c>
      <c r="AR348">
        <v>43.403104999999996</v>
      </c>
      <c r="AS348">
        <v>100</v>
      </c>
      <c r="AT348">
        <v>0.48812499999999998</v>
      </c>
      <c r="AU348">
        <v>0.48918499999999998</v>
      </c>
      <c r="AV348">
        <v>48.812488000000002</v>
      </c>
      <c r="AW348">
        <v>100</v>
      </c>
      <c r="AX348">
        <v>0.40840900000000002</v>
      </c>
      <c r="AY348">
        <v>0.46481499999999998</v>
      </c>
      <c r="AZ348">
        <v>40.840871</v>
      </c>
      <c r="BA348">
        <v>100</v>
      </c>
      <c r="BB348">
        <v>0.64457900000000001</v>
      </c>
      <c r="BC348">
        <v>32.228965000000002</v>
      </c>
      <c r="BD348">
        <v>50</v>
      </c>
      <c r="BE348">
        <v>0.71565299999999998</v>
      </c>
      <c r="BF348">
        <v>35.782642000000003</v>
      </c>
      <c r="BG348">
        <v>50</v>
      </c>
      <c r="BH348">
        <v>0</v>
      </c>
      <c r="BI348">
        <v>0.99206300000000003</v>
      </c>
      <c r="BJ348">
        <v>0.99720699999999995</v>
      </c>
      <c r="BK348">
        <v>0.985294</v>
      </c>
      <c r="BL348">
        <v>0.98890599999999995</v>
      </c>
      <c r="BM348">
        <v>0.99442900000000001</v>
      </c>
      <c r="BN348">
        <v>0.98161799999999999</v>
      </c>
      <c r="BO348">
        <v>0.979487</v>
      </c>
      <c r="BP348">
        <v>0.97979799999999995</v>
      </c>
      <c r="BQ348">
        <v>0.97916700000000001</v>
      </c>
      <c r="BR348">
        <v>2.2221999999999999E-2</v>
      </c>
      <c r="BS348">
        <v>50</v>
      </c>
      <c r="BT348">
        <v>50</v>
      </c>
      <c r="BU348">
        <v>2.2922999999999999E-2</v>
      </c>
      <c r="BV348">
        <v>50</v>
      </c>
      <c r="BW348">
        <v>50</v>
      </c>
      <c r="BX348" t="s">
        <v>125</v>
      </c>
      <c r="BY348" t="s">
        <v>125</v>
      </c>
      <c r="BZ348" t="s">
        <v>125</v>
      </c>
      <c r="CA348" t="s">
        <v>125</v>
      </c>
      <c r="CB348" t="s">
        <v>125</v>
      </c>
      <c r="CC348" t="s">
        <v>125</v>
      </c>
      <c r="CD348">
        <v>0.95360800000000001</v>
      </c>
      <c r="CE348">
        <v>50</v>
      </c>
      <c r="CF348">
        <v>50</v>
      </c>
      <c r="CG348" t="s">
        <v>125</v>
      </c>
      <c r="CH348" t="s">
        <v>125</v>
      </c>
      <c r="CI348" t="s">
        <v>125</v>
      </c>
      <c r="CJ348" t="s">
        <v>125</v>
      </c>
      <c r="CK348" t="s">
        <v>125</v>
      </c>
      <c r="CL348" t="s">
        <v>125</v>
      </c>
      <c r="CM348" t="s">
        <v>125</v>
      </c>
      <c r="CN348" t="s">
        <v>125</v>
      </c>
      <c r="CO348" t="s">
        <v>125</v>
      </c>
      <c r="CP348" t="s">
        <v>125</v>
      </c>
      <c r="CQ348">
        <v>0.59122399999999997</v>
      </c>
      <c r="CR348">
        <v>0.99311899999999997</v>
      </c>
      <c r="CS348">
        <v>39.414935</v>
      </c>
      <c r="CT348">
        <v>50</v>
      </c>
      <c r="CU348" t="s">
        <v>125</v>
      </c>
      <c r="CV348" t="s">
        <v>125</v>
      </c>
      <c r="CW348" t="s">
        <v>125</v>
      </c>
      <c r="CX348" t="s">
        <v>125</v>
      </c>
      <c r="CY348" t="s">
        <v>125</v>
      </c>
      <c r="CZ348" t="s">
        <v>125</v>
      </c>
      <c r="DA348">
        <v>15.314097</v>
      </c>
      <c r="DB348">
        <v>17.400950000000002</v>
      </c>
      <c r="DC348">
        <v>16.332519999999999</v>
      </c>
      <c r="DD348" t="s">
        <v>125</v>
      </c>
      <c r="DE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Q348" t="s">
        <v>126</v>
      </c>
    </row>
    <row r="349" spans="1:121" x14ac:dyDescent="0.15">
      <c r="A349">
        <v>2018</v>
      </c>
      <c r="B349" t="s">
        <v>171</v>
      </c>
      <c r="C349" t="str">
        <f t="shared" ref="C349:C355" si="6">"0350011"</f>
        <v>0350011</v>
      </c>
      <c r="D349" t="s">
        <v>493</v>
      </c>
      <c r="E349" t="str">
        <f>"0356111"</f>
        <v>0356111</v>
      </c>
      <c r="F349" t="s">
        <v>328</v>
      </c>
      <c r="G349">
        <v>9</v>
      </c>
      <c r="H349">
        <v>12</v>
      </c>
      <c r="I349" t="s">
        <v>330</v>
      </c>
      <c r="J349" t="s">
        <v>331</v>
      </c>
      <c r="K349">
        <v>1340.6565700000001</v>
      </c>
      <c r="L349">
        <v>1450</v>
      </c>
      <c r="M349">
        <v>92.459074000000001</v>
      </c>
      <c r="N349">
        <v>2</v>
      </c>
      <c r="O349">
        <v>1</v>
      </c>
      <c r="P349">
        <v>75.014331999999996</v>
      </c>
      <c r="Q349">
        <v>150</v>
      </c>
      <c r="R349">
        <v>150</v>
      </c>
      <c r="S349">
        <v>59.099145</v>
      </c>
      <c r="T349">
        <v>75</v>
      </c>
      <c r="U349">
        <v>118.198291</v>
      </c>
      <c r="V349">
        <v>150</v>
      </c>
      <c r="W349">
        <v>78.460271000000006</v>
      </c>
      <c r="X349">
        <v>150</v>
      </c>
      <c r="Y349">
        <v>150</v>
      </c>
      <c r="Z349">
        <v>75</v>
      </c>
      <c r="AA349">
        <v>60.270833000000003</v>
      </c>
      <c r="AB349">
        <v>120.541667</v>
      </c>
      <c r="AC349">
        <v>150</v>
      </c>
      <c r="AD349">
        <v>74.512393000000003</v>
      </c>
      <c r="AE349">
        <v>99.349857</v>
      </c>
      <c r="AF349">
        <v>100</v>
      </c>
      <c r="AG349">
        <v>51.380144000000001</v>
      </c>
      <c r="AH349">
        <v>75</v>
      </c>
      <c r="AI349">
        <v>68.506859000000006</v>
      </c>
      <c r="AJ349">
        <v>100</v>
      </c>
      <c r="AK349">
        <v>15.9</v>
      </c>
      <c r="AL349">
        <v>14.72</v>
      </c>
      <c r="AM349">
        <v>23.61</v>
      </c>
      <c r="AN349" t="s">
        <v>125</v>
      </c>
      <c r="AO349" t="s">
        <v>125</v>
      </c>
      <c r="AP349" t="s">
        <v>125</v>
      </c>
      <c r="AQ349" t="s">
        <v>125</v>
      </c>
      <c r="AR349" t="s">
        <v>125</v>
      </c>
      <c r="AS349" t="s">
        <v>125</v>
      </c>
      <c r="AT349" t="s">
        <v>125</v>
      </c>
      <c r="AU349" t="s">
        <v>125</v>
      </c>
      <c r="AV349" t="s">
        <v>125</v>
      </c>
      <c r="AW349" t="s">
        <v>125</v>
      </c>
      <c r="AX349" t="s">
        <v>125</v>
      </c>
      <c r="AY349" t="s">
        <v>125</v>
      </c>
      <c r="AZ349" t="s">
        <v>125</v>
      </c>
      <c r="BA349" t="s">
        <v>125</v>
      </c>
      <c r="BB349" t="s">
        <v>125</v>
      </c>
      <c r="BC349" t="s">
        <v>125</v>
      </c>
      <c r="BD349" t="s">
        <v>125</v>
      </c>
      <c r="BE349" t="s">
        <v>125</v>
      </c>
      <c r="BF349" t="s">
        <v>125</v>
      </c>
      <c r="BG349" t="s">
        <v>125</v>
      </c>
      <c r="BH349">
        <v>1</v>
      </c>
      <c r="BI349">
        <v>0.96927399999999997</v>
      </c>
      <c r="BJ349">
        <v>0.92957699999999999</v>
      </c>
      <c r="BK349">
        <v>0.97909400000000002</v>
      </c>
      <c r="BL349">
        <v>0.96648000000000001</v>
      </c>
      <c r="BM349">
        <v>0.915493</v>
      </c>
      <c r="BN349">
        <v>0.97909400000000002</v>
      </c>
      <c r="BO349">
        <v>0.98603399999999997</v>
      </c>
      <c r="BP349">
        <v>0.971831</v>
      </c>
      <c r="BQ349">
        <v>0.98954699999999995</v>
      </c>
      <c r="BR349">
        <v>3.0432000000000001E-2</v>
      </c>
      <c r="BS349">
        <v>50</v>
      </c>
      <c r="BT349">
        <v>50</v>
      </c>
      <c r="BU349">
        <v>5.6939999999999998E-2</v>
      </c>
      <c r="BV349">
        <v>48.612099999999998</v>
      </c>
      <c r="BW349">
        <v>50</v>
      </c>
      <c r="BX349">
        <v>0.60745000000000005</v>
      </c>
      <c r="BY349">
        <v>40.496656999999999</v>
      </c>
      <c r="BZ349">
        <v>50</v>
      </c>
      <c r="CA349">
        <v>0.86676200000000003</v>
      </c>
      <c r="CB349">
        <v>50</v>
      </c>
      <c r="CC349">
        <v>50</v>
      </c>
      <c r="CD349">
        <v>0.98421099999999995</v>
      </c>
      <c r="CE349">
        <v>50</v>
      </c>
      <c r="CF349">
        <v>50</v>
      </c>
      <c r="CG349">
        <v>0.973607</v>
      </c>
      <c r="CH349">
        <v>100</v>
      </c>
      <c r="CI349">
        <v>100</v>
      </c>
      <c r="CJ349">
        <v>0</v>
      </c>
      <c r="CK349">
        <v>0.982456</v>
      </c>
      <c r="CL349">
        <v>100</v>
      </c>
      <c r="CM349">
        <v>100</v>
      </c>
      <c r="CN349">
        <v>0.89759</v>
      </c>
      <c r="CO349">
        <v>100</v>
      </c>
      <c r="CP349">
        <v>100</v>
      </c>
      <c r="CQ349">
        <v>0.67426699999999995</v>
      </c>
      <c r="CR349">
        <v>0.91641799999999995</v>
      </c>
      <c r="CS349">
        <v>44.951140000000002</v>
      </c>
      <c r="CT349">
        <v>50</v>
      </c>
      <c r="CU349">
        <v>0.61429599999999995</v>
      </c>
      <c r="CV349">
        <v>50</v>
      </c>
      <c r="CW349">
        <v>50</v>
      </c>
      <c r="CX349">
        <v>0.982456</v>
      </c>
      <c r="CY349">
        <v>0.94</v>
      </c>
      <c r="CZ349">
        <v>-4.2456000000000001E-2</v>
      </c>
      <c r="DA349">
        <v>15.314097</v>
      </c>
      <c r="DB349">
        <v>17.400950000000002</v>
      </c>
      <c r="DC349">
        <v>16.332519999999999</v>
      </c>
      <c r="DD349">
        <v>7.9891730000000001</v>
      </c>
      <c r="DE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Q349" t="s">
        <v>126</v>
      </c>
    </row>
    <row r="350" spans="1:121" x14ac:dyDescent="0.15">
      <c r="A350">
        <v>2018</v>
      </c>
      <c r="B350" t="s">
        <v>171</v>
      </c>
      <c r="C350" t="str">
        <f t="shared" si="6"/>
        <v>0350011</v>
      </c>
      <c r="D350" t="s">
        <v>494</v>
      </c>
      <c r="E350" t="str">
        <f>"0350211"</f>
        <v>0350211</v>
      </c>
      <c r="F350" t="s">
        <v>328</v>
      </c>
      <c r="G350" t="s">
        <v>329</v>
      </c>
      <c r="H350">
        <v>5</v>
      </c>
      <c r="J350" t="s">
        <v>331</v>
      </c>
      <c r="K350">
        <v>771.93025599999999</v>
      </c>
      <c r="L350">
        <v>800</v>
      </c>
      <c r="M350">
        <v>96.491281999999998</v>
      </c>
      <c r="N350">
        <v>1</v>
      </c>
      <c r="O350">
        <v>0</v>
      </c>
      <c r="P350">
        <v>87.555154999999999</v>
      </c>
      <c r="Q350">
        <v>50</v>
      </c>
      <c r="R350">
        <v>50</v>
      </c>
      <c r="S350">
        <v>75.027083000000005</v>
      </c>
      <c r="T350">
        <v>75</v>
      </c>
      <c r="U350">
        <v>50</v>
      </c>
      <c r="V350">
        <v>50</v>
      </c>
      <c r="W350">
        <v>87.556117999999998</v>
      </c>
      <c r="X350">
        <v>50</v>
      </c>
      <c r="Y350">
        <v>50</v>
      </c>
      <c r="Z350">
        <v>75</v>
      </c>
      <c r="AA350">
        <v>75.001632000000001</v>
      </c>
      <c r="AB350">
        <v>50</v>
      </c>
      <c r="AC350">
        <v>50</v>
      </c>
      <c r="AD350">
        <v>87.217534999999998</v>
      </c>
      <c r="AE350">
        <v>50</v>
      </c>
      <c r="AF350">
        <v>50</v>
      </c>
      <c r="AG350" t="s">
        <v>125</v>
      </c>
      <c r="AH350">
        <v>75</v>
      </c>
      <c r="AI350" t="s">
        <v>125</v>
      </c>
      <c r="AJ350" t="s">
        <v>125</v>
      </c>
      <c r="AK350">
        <v>-0.02</v>
      </c>
      <c r="AL350">
        <v>0</v>
      </c>
      <c r="AM350" t="s">
        <v>125</v>
      </c>
      <c r="AN350">
        <v>0.88380599999999998</v>
      </c>
      <c r="AO350">
        <v>88.380604000000005</v>
      </c>
      <c r="AP350">
        <v>100</v>
      </c>
      <c r="AQ350">
        <v>0.96591000000000005</v>
      </c>
      <c r="AR350">
        <v>96.591035000000005</v>
      </c>
      <c r="AS350">
        <v>100</v>
      </c>
      <c r="AT350">
        <v>0.87929599999999997</v>
      </c>
      <c r="AU350">
        <v>0.88448700000000002</v>
      </c>
      <c r="AV350">
        <v>87.929598999999996</v>
      </c>
      <c r="AW350">
        <v>100</v>
      </c>
      <c r="AX350">
        <v>0.99029</v>
      </c>
      <c r="AY350">
        <v>0.96222700000000005</v>
      </c>
      <c r="AZ350">
        <v>99.029017999999994</v>
      </c>
      <c r="BA350">
        <v>100</v>
      </c>
      <c r="BB350" t="s">
        <v>125</v>
      </c>
      <c r="BC350" t="s">
        <v>125</v>
      </c>
      <c r="BD350" t="s">
        <v>125</v>
      </c>
      <c r="BE350" t="s">
        <v>125</v>
      </c>
      <c r="BF350" t="s">
        <v>125</v>
      </c>
      <c r="BG350" t="s">
        <v>125</v>
      </c>
      <c r="BH350">
        <v>0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 t="s">
        <v>125</v>
      </c>
      <c r="BQ350">
        <v>1</v>
      </c>
      <c r="BR350">
        <v>1.4893999999999999E-2</v>
      </c>
      <c r="BS350">
        <v>50</v>
      </c>
      <c r="BT350">
        <v>50</v>
      </c>
      <c r="BU350">
        <v>2.7397000000000001E-2</v>
      </c>
      <c r="BV350">
        <v>50</v>
      </c>
      <c r="BW350">
        <v>50</v>
      </c>
      <c r="BX350" t="s">
        <v>125</v>
      </c>
      <c r="BY350" t="s">
        <v>125</v>
      </c>
      <c r="BZ350" t="s">
        <v>125</v>
      </c>
      <c r="CA350" t="s">
        <v>125</v>
      </c>
      <c r="CB350" t="s">
        <v>125</v>
      </c>
      <c r="CC350" t="s">
        <v>125</v>
      </c>
      <c r="CD350" t="s">
        <v>125</v>
      </c>
      <c r="CE350" t="s">
        <v>125</v>
      </c>
      <c r="CF350" t="s">
        <v>125</v>
      </c>
      <c r="CG350" t="s">
        <v>125</v>
      </c>
      <c r="CH350" t="s">
        <v>125</v>
      </c>
      <c r="CI350" t="s">
        <v>125</v>
      </c>
      <c r="CJ350" t="s">
        <v>125</v>
      </c>
      <c r="CK350" t="s">
        <v>125</v>
      </c>
      <c r="CL350" t="s">
        <v>125</v>
      </c>
      <c r="CM350" t="s">
        <v>125</v>
      </c>
      <c r="CN350" t="s">
        <v>125</v>
      </c>
      <c r="CO350" t="s">
        <v>125</v>
      </c>
      <c r="CP350" t="s">
        <v>125</v>
      </c>
      <c r="CQ350">
        <v>0.764706</v>
      </c>
      <c r="CR350">
        <v>0.98837200000000003</v>
      </c>
      <c r="CS350">
        <v>50</v>
      </c>
      <c r="CT350">
        <v>50</v>
      </c>
      <c r="CU350" t="s">
        <v>125</v>
      </c>
      <c r="CV350" t="s">
        <v>125</v>
      </c>
      <c r="CW350" t="s">
        <v>125</v>
      </c>
      <c r="CX350" t="s">
        <v>125</v>
      </c>
      <c r="CY350" t="s">
        <v>125</v>
      </c>
      <c r="CZ350" t="s">
        <v>125</v>
      </c>
      <c r="DA350">
        <v>15.314097</v>
      </c>
      <c r="DB350">
        <v>17.400950000000002</v>
      </c>
      <c r="DC350">
        <v>16.332519999999999</v>
      </c>
      <c r="DD350" t="s">
        <v>125</v>
      </c>
      <c r="DE350">
        <v>0</v>
      </c>
      <c r="DH350" t="s">
        <v>332</v>
      </c>
      <c r="DI350" t="s">
        <v>333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Q350" t="s">
        <v>126</v>
      </c>
    </row>
    <row r="351" spans="1:121" x14ac:dyDescent="0.15">
      <c r="A351">
        <v>2018</v>
      </c>
      <c r="B351" t="s">
        <v>171</v>
      </c>
      <c r="C351" t="str">
        <f t="shared" si="6"/>
        <v>0350011</v>
      </c>
      <c r="D351" t="s">
        <v>495</v>
      </c>
      <c r="E351" t="str">
        <f>"0350711"</f>
        <v>0350711</v>
      </c>
      <c r="F351" t="s">
        <v>328</v>
      </c>
      <c r="G351" t="s">
        <v>339</v>
      </c>
      <c r="H351">
        <v>5</v>
      </c>
      <c r="J351" t="s">
        <v>331</v>
      </c>
      <c r="K351">
        <v>709.62241400000005</v>
      </c>
      <c r="L351">
        <v>800</v>
      </c>
      <c r="M351">
        <v>88.702802000000005</v>
      </c>
      <c r="N351">
        <v>2</v>
      </c>
      <c r="O351">
        <v>0</v>
      </c>
      <c r="P351">
        <v>85.783524999999997</v>
      </c>
      <c r="Q351">
        <v>50</v>
      </c>
      <c r="R351">
        <v>50</v>
      </c>
      <c r="S351">
        <v>73.702783999999994</v>
      </c>
      <c r="T351">
        <v>75</v>
      </c>
      <c r="U351">
        <v>49.135188999999997</v>
      </c>
      <c r="V351">
        <v>50</v>
      </c>
      <c r="W351">
        <v>83.532684000000003</v>
      </c>
      <c r="X351">
        <v>50</v>
      </c>
      <c r="Y351">
        <v>50</v>
      </c>
      <c r="Z351">
        <v>75</v>
      </c>
      <c r="AA351">
        <v>71.816249999999997</v>
      </c>
      <c r="AB351">
        <v>47.877499999999998</v>
      </c>
      <c r="AC351">
        <v>50</v>
      </c>
      <c r="AD351">
        <v>85.190061</v>
      </c>
      <c r="AE351">
        <v>50</v>
      </c>
      <c r="AF351">
        <v>50</v>
      </c>
      <c r="AG351" t="s">
        <v>125</v>
      </c>
      <c r="AH351">
        <v>75</v>
      </c>
      <c r="AI351" t="s">
        <v>125</v>
      </c>
      <c r="AJ351" t="s">
        <v>125</v>
      </c>
      <c r="AK351">
        <v>1.29</v>
      </c>
      <c r="AL351">
        <v>3.18</v>
      </c>
      <c r="AM351" t="s">
        <v>125</v>
      </c>
      <c r="AN351">
        <v>0.78495599999999999</v>
      </c>
      <c r="AO351">
        <v>78.495568000000006</v>
      </c>
      <c r="AP351">
        <v>100</v>
      </c>
      <c r="AQ351">
        <v>0.80246799999999996</v>
      </c>
      <c r="AR351">
        <v>80.246823000000006</v>
      </c>
      <c r="AS351">
        <v>100</v>
      </c>
      <c r="AT351">
        <v>0.72540099999999996</v>
      </c>
      <c r="AU351">
        <v>0.79404799999999998</v>
      </c>
      <c r="AV351">
        <v>72.540114000000003</v>
      </c>
      <c r="AW351">
        <v>100</v>
      </c>
      <c r="AX351">
        <v>0.81327199999999999</v>
      </c>
      <c r="AY351">
        <v>0.80081899999999995</v>
      </c>
      <c r="AZ351">
        <v>81.327218999999999</v>
      </c>
      <c r="BA351">
        <v>100</v>
      </c>
      <c r="BB351" t="s">
        <v>125</v>
      </c>
      <c r="BC351" t="s">
        <v>125</v>
      </c>
      <c r="BD351" t="s">
        <v>125</v>
      </c>
      <c r="BE351" t="s">
        <v>125</v>
      </c>
      <c r="BF351" t="s">
        <v>125</v>
      </c>
      <c r="BG351" t="s">
        <v>125</v>
      </c>
      <c r="BH351">
        <v>1</v>
      </c>
      <c r="BI351">
        <v>0.99078299999999997</v>
      </c>
      <c r="BJ351">
        <v>0.9375</v>
      </c>
      <c r="BK351">
        <v>1</v>
      </c>
      <c r="BL351">
        <v>0.99078299999999997</v>
      </c>
      <c r="BM351">
        <v>0.9375</v>
      </c>
      <c r="BN351">
        <v>1</v>
      </c>
      <c r="BO351">
        <v>0.97368399999999999</v>
      </c>
      <c r="BP351" t="s">
        <v>125</v>
      </c>
      <c r="BQ351">
        <v>1</v>
      </c>
      <c r="BR351">
        <v>8.8690000000000001E-3</v>
      </c>
      <c r="BS351">
        <v>50</v>
      </c>
      <c r="BT351">
        <v>50</v>
      </c>
      <c r="BU351">
        <v>2.7026999999999999E-2</v>
      </c>
      <c r="BV351">
        <v>50</v>
      </c>
      <c r="BW351">
        <v>50</v>
      </c>
      <c r="BX351" t="s">
        <v>125</v>
      </c>
      <c r="BY351" t="s">
        <v>125</v>
      </c>
      <c r="BZ351" t="s">
        <v>125</v>
      </c>
      <c r="CA351" t="s">
        <v>125</v>
      </c>
      <c r="CB351" t="s">
        <v>125</v>
      </c>
      <c r="CC351" t="s">
        <v>125</v>
      </c>
      <c r="CD351" t="s">
        <v>125</v>
      </c>
      <c r="CE351" t="s">
        <v>125</v>
      </c>
      <c r="CF351" t="s">
        <v>125</v>
      </c>
      <c r="CG351" t="s">
        <v>125</v>
      </c>
      <c r="CH351" t="s">
        <v>125</v>
      </c>
      <c r="CI351" t="s">
        <v>125</v>
      </c>
      <c r="CJ351" t="s">
        <v>125</v>
      </c>
      <c r="CK351" t="s">
        <v>125</v>
      </c>
      <c r="CL351" t="s">
        <v>125</v>
      </c>
      <c r="CM351" t="s">
        <v>125</v>
      </c>
      <c r="CN351" t="s">
        <v>125</v>
      </c>
      <c r="CO351" t="s">
        <v>125</v>
      </c>
      <c r="CP351" t="s">
        <v>125</v>
      </c>
      <c r="CQ351">
        <v>0.97435899999999998</v>
      </c>
      <c r="CR351">
        <v>0.98734200000000005</v>
      </c>
      <c r="CS351">
        <v>50</v>
      </c>
      <c r="CT351">
        <v>50</v>
      </c>
      <c r="CU351" t="s">
        <v>125</v>
      </c>
      <c r="CV351" t="s">
        <v>125</v>
      </c>
      <c r="CW351" t="s">
        <v>125</v>
      </c>
      <c r="CX351" t="s">
        <v>125</v>
      </c>
      <c r="CY351" t="s">
        <v>125</v>
      </c>
      <c r="CZ351" t="s">
        <v>125</v>
      </c>
      <c r="DA351">
        <v>15.314097</v>
      </c>
      <c r="DB351">
        <v>17.400950000000002</v>
      </c>
      <c r="DC351">
        <v>16.332519999999999</v>
      </c>
      <c r="DD351" t="s">
        <v>125</v>
      </c>
      <c r="DE351">
        <v>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Q351" t="s">
        <v>126</v>
      </c>
    </row>
    <row r="352" spans="1:121" x14ac:dyDescent="0.15">
      <c r="A352">
        <v>2018</v>
      </c>
      <c r="B352" t="s">
        <v>171</v>
      </c>
      <c r="C352" t="str">
        <f t="shared" si="6"/>
        <v>0350011</v>
      </c>
      <c r="D352" t="s">
        <v>496</v>
      </c>
      <c r="E352" t="str">
        <f>"0355111"</f>
        <v>0355111</v>
      </c>
      <c r="F352" t="s">
        <v>328</v>
      </c>
      <c r="G352">
        <v>6</v>
      </c>
      <c r="H352">
        <v>8</v>
      </c>
      <c r="I352" t="s">
        <v>330</v>
      </c>
      <c r="J352" t="s">
        <v>331</v>
      </c>
      <c r="K352">
        <v>743.26298599999996</v>
      </c>
      <c r="L352">
        <v>900</v>
      </c>
      <c r="M352">
        <v>82.584776000000005</v>
      </c>
      <c r="N352">
        <v>2</v>
      </c>
      <c r="O352">
        <v>0</v>
      </c>
      <c r="P352">
        <v>84.101249999999993</v>
      </c>
      <c r="Q352">
        <v>50</v>
      </c>
      <c r="R352">
        <v>50</v>
      </c>
      <c r="S352">
        <v>66.405668000000006</v>
      </c>
      <c r="T352">
        <v>75</v>
      </c>
      <c r="U352">
        <v>44.270445000000002</v>
      </c>
      <c r="V352">
        <v>50</v>
      </c>
      <c r="W352">
        <v>84.588427999999993</v>
      </c>
      <c r="X352">
        <v>50</v>
      </c>
      <c r="Y352">
        <v>50</v>
      </c>
      <c r="Z352">
        <v>75</v>
      </c>
      <c r="AA352">
        <v>66.599932999999993</v>
      </c>
      <c r="AB352">
        <v>44.399954999999999</v>
      </c>
      <c r="AC352">
        <v>50</v>
      </c>
      <c r="AD352">
        <v>78.364153000000002</v>
      </c>
      <c r="AE352">
        <v>50</v>
      </c>
      <c r="AF352">
        <v>50</v>
      </c>
      <c r="AG352">
        <v>60.788581999999998</v>
      </c>
      <c r="AH352">
        <v>75</v>
      </c>
      <c r="AI352">
        <v>40.525720999999997</v>
      </c>
      <c r="AJ352">
        <v>50</v>
      </c>
      <c r="AK352">
        <v>8.59</v>
      </c>
      <c r="AL352">
        <v>8.4</v>
      </c>
      <c r="AM352">
        <v>14.21</v>
      </c>
      <c r="AN352">
        <v>0.65865799999999997</v>
      </c>
      <c r="AO352">
        <v>65.865806000000006</v>
      </c>
      <c r="AP352">
        <v>100</v>
      </c>
      <c r="AQ352">
        <v>0.84975999999999996</v>
      </c>
      <c r="AR352">
        <v>84.975988000000001</v>
      </c>
      <c r="AS352">
        <v>100</v>
      </c>
      <c r="AT352">
        <v>0.53763799999999995</v>
      </c>
      <c r="AU352">
        <v>0.68294600000000005</v>
      </c>
      <c r="AV352">
        <v>53.763824999999997</v>
      </c>
      <c r="AW352">
        <v>100</v>
      </c>
      <c r="AX352">
        <v>0.72860599999999998</v>
      </c>
      <c r="AY352">
        <v>0.87376699999999996</v>
      </c>
      <c r="AZ352">
        <v>72.860557999999997</v>
      </c>
      <c r="BA352">
        <v>100</v>
      </c>
      <c r="BB352" t="s">
        <v>125</v>
      </c>
      <c r="BC352" t="s">
        <v>125</v>
      </c>
      <c r="BD352" t="s">
        <v>125</v>
      </c>
      <c r="BE352" t="s">
        <v>125</v>
      </c>
      <c r="BF352" t="s">
        <v>125</v>
      </c>
      <c r="BG352" t="s">
        <v>125</v>
      </c>
      <c r="BH352">
        <v>0</v>
      </c>
      <c r="BI352">
        <v>0.99276699999999996</v>
      </c>
      <c r="BJ352">
        <v>0.98477199999999998</v>
      </c>
      <c r="BK352">
        <v>0.99449900000000002</v>
      </c>
      <c r="BL352">
        <v>0.99276699999999996</v>
      </c>
      <c r="BM352">
        <v>0.97969499999999998</v>
      </c>
      <c r="BN352">
        <v>0.99560000000000004</v>
      </c>
      <c r="BO352">
        <v>0.98870100000000005</v>
      </c>
      <c r="BP352">
        <v>0.98507500000000003</v>
      </c>
      <c r="BQ352">
        <v>0.98954699999999995</v>
      </c>
      <c r="BR352">
        <v>5.1583999999999998E-2</v>
      </c>
      <c r="BS352">
        <v>49.683258000000002</v>
      </c>
      <c r="BT352">
        <v>50</v>
      </c>
      <c r="BU352">
        <v>8.5859000000000005E-2</v>
      </c>
      <c r="BV352">
        <v>42.828282999999999</v>
      </c>
      <c r="BW352">
        <v>50</v>
      </c>
      <c r="BX352" t="s">
        <v>125</v>
      </c>
      <c r="BY352" t="s">
        <v>125</v>
      </c>
      <c r="BZ352" t="s">
        <v>125</v>
      </c>
      <c r="CA352" t="s">
        <v>125</v>
      </c>
      <c r="CB352" t="s">
        <v>125</v>
      </c>
      <c r="CC352" t="s">
        <v>125</v>
      </c>
      <c r="CD352">
        <v>0.98895</v>
      </c>
      <c r="CE352">
        <v>50</v>
      </c>
      <c r="CF352">
        <v>50</v>
      </c>
      <c r="CG352" t="s">
        <v>125</v>
      </c>
      <c r="CH352" t="s">
        <v>125</v>
      </c>
      <c r="CI352" t="s">
        <v>125</v>
      </c>
      <c r="CJ352" t="s">
        <v>125</v>
      </c>
      <c r="CK352" t="s">
        <v>125</v>
      </c>
      <c r="CL352" t="s">
        <v>125</v>
      </c>
      <c r="CM352" t="s">
        <v>125</v>
      </c>
      <c r="CN352" t="s">
        <v>125</v>
      </c>
      <c r="CO352" t="s">
        <v>125</v>
      </c>
      <c r="CP352" t="s">
        <v>125</v>
      </c>
      <c r="CQ352">
        <v>0.66133699999999995</v>
      </c>
      <c r="CR352">
        <v>0.93478300000000003</v>
      </c>
      <c r="CS352">
        <v>44.089146999999997</v>
      </c>
      <c r="CT352">
        <v>50</v>
      </c>
      <c r="CU352" t="s">
        <v>125</v>
      </c>
      <c r="CV352" t="s">
        <v>125</v>
      </c>
      <c r="CW352" t="s">
        <v>125</v>
      </c>
      <c r="CX352" t="s">
        <v>125</v>
      </c>
      <c r="CY352" t="s">
        <v>125</v>
      </c>
      <c r="CZ352" t="s">
        <v>125</v>
      </c>
      <c r="DA352">
        <v>15.314097</v>
      </c>
      <c r="DB352">
        <v>17.400950000000002</v>
      </c>
      <c r="DC352">
        <v>16.332519999999999</v>
      </c>
      <c r="DD352" t="s">
        <v>125</v>
      </c>
      <c r="DE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Q352" t="s">
        <v>126</v>
      </c>
    </row>
    <row r="353" spans="1:121" x14ac:dyDescent="0.15">
      <c r="A353">
        <v>2018</v>
      </c>
      <c r="B353" t="s">
        <v>171</v>
      </c>
      <c r="C353" t="str">
        <f t="shared" si="6"/>
        <v>0350011</v>
      </c>
      <c r="D353" t="s">
        <v>497</v>
      </c>
      <c r="E353" t="str">
        <f>"0351311"</f>
        <v>0351311</v>
      </c>
      <c r="F353" t="s">
        <v>328</v>
      </c>
      <c r="G353" t="s">
        <v>329</v>
      </c>
      <c r="H353">
        <v>5</v>
      </c>
      <c r="J353" t="s">
        <v>331</v>
      </c>
      <c r="K353">
        <v>710.38531999999998</v>
      </c>
      <c r="L353">
        <v>800</v>
      </c>
      <c r="M353">
        <v>88.798164999999997</v>
      </c>
      <c r="N353">
        <v>1</v>
      </c>
      <c r="O353">
        <v>0</v>
      </c>
      <c r="P353">
        <v>84.558645999999996</v>
      </c>
      <c r="Q353">
        <v>50</v>
      </c>
      <c r="R353">
        <v>50</v>
      </c>
      <c r="S353">
        <v>68.553742</v>
      </c>
      <c r="T353">
        <v>75</v>
      </c>
      <c r="U353">
        <v>45.702494999999999</v>
      </c>
      <c r="V353">
        <v>50</v>
      </c>
      <c r="W353">
        <v>83.677053000000001</v>
      </c>
      <c r="X353">
        <v>50</v>
      </c>
      <c r="Y353">
        <v>50</v>
      </c>
      <c r="Z353">
        <v>75</v>
      </c>
      <c r="AA353">
        <v>67.012046999999995</v>
      </c>
      <c r="AB353">
        <v>44.674697999999999</v>
      </c>
      <c r="AC353">
        <v>50</v>
      </c>
      <c r="AD353">
        <v>83.192155</v>
      </c>
      <c r="AE353">
        <v>50</v>
      </c>
      <c r="AF353">
        <v>50</v>
      </c>
      <c r="AG353" t="s">
        <v>125</v>
      </c>
      <c r="AH353">
        <v>75</v>
      </c>
      <c r="AI353" t="s">
        <v>125</v>
      </c>
      <c r="AJ353" t="s">
        <v>125</v>
      </c>
      <c r="AK353">
        <v>6.44</v>
      </c>
      <c r="AL353">
        <v>7.98</v>
      </c>
      <c r="AM353" t="s">
        <v>125</v>
      </c>
      <c r="AN353">
        <v>0.85281099999999999</v>
      </c>
      <c r="AO353">
        <v>85.281103000000002</v>
      </c>
      <c r="AP353">
        <v>100</v>
      </c>
      <c r="AQ353">
        <v>0.90169699999999997</v>
      </c>
      <c r="AR353">
        <v>90.169689000000005</v>
      </c>
      <c r="AS353">
        <v>100</v>
      </c>
      <c r="AT353">
        <v>0.68809699999999996</v>
      </c>
      <c r="AU353">
        <v>0.89398999999999995</v>
      </c>
      <c r="AV353">
        <v>68.809672000000006</v>
      </c>
      <c r="AW353">
        <v>100</v>
      </c>
      <c r="AX353">
        <v>0.77176199999999995</v>
      </c>
      <c r="AY353">
        <v>0.93418100000000004</v>
      </c>
      <c r="AZ353">
        <v>77.176233999999994</v>
      </c>
      <c r="BA353">
        <v>100</v>
      </c>
      <c r="BB353" t="s">
        <v>125</v>
      </c>
      <c r="BC353" t="s">
        <v>125</v>
      </c>
      <c r="BD353" t="s">
        <v>125</v>
      </c>
      <c r="BE353" t="s">
        <v>125</v>
      </c>
      <c r="BF353" t="s">
        <v>125</v>
      </c>
      <c r="BG353" t="s">
        <v>125</v>
      </c>
      <c r="BH353">
        <v>0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 t="s">
        <v>125</v>
      </c>
      <c r="BQ353">
        <v>1</v>
      </c>
      <c r="BR353">
        <v>2.7990000000000001E-2</v>
      </c>
      <c r="BS353">
        <v>50</v>
      </c>
      <c r="BT353">
        <v>50</v>
      </c>
      <c r="BU353">
        <v>5.7142999999999999E-2</v>
      </c>
      <c r="BV353">
        <v>48.571429000000002</v>
      </c>
      <c r="BW353">
        <v>50</v>
      </c>
      <c r="BX353" t="s">
        <v>125</v>
      </c>
      <c r="BY353" t="s">
        <v>125</v>
      </c>
      <c r="BZ353" t="s">
        <v>125</v>
      </c>
      <c r="CA353" t="s">
        <v>125</v>
      </c>
      <c r="CB353" t="s">
        <v>125</v>
      </c>
      <c r="CC353" t="s">
        <v>125</v>
      </c>
      <c r="CD353" t="s">
        <v>125</v>
      </c>
      <c r="CE353" t="s">
        <v>125</v>
      </c>
      <c r="CF353" t="s">
        <v>125</v>
      </c>
      <c r="CG353" t="s">
        <v>125</v>
      </c>
      <c r="CH353" t="s">
        <v>125</v>
      </c>
      <c r="CI353" t="s">
        <v>125</v>
      </c>
      <c r="CJ353" t="s">
        <v>125</v>
      </c>
      <c r="CK353" t="s">
        <v>125</v>
      </c>
      <c r="CL353" t="s">
        <v>125</v>
      </c>
      <c r="CM353" t="s">
        <v>125</v>
      </c>
      <c r="CN353" t="s">
        <v>125</v>
      </c>
      <c r="CO353" t="s">
        <v>125</v>
      </c>
      <c r="CP353" t="s">
        <v>125</v>
      </c>
      <c r="CQ353">
        <v>0.78431399999999996</v>
      </c>
      <c r="CR353">
        <v>0.96226400000000001</v>
      </c>
      <c r="CS353">
        <v>50</v>
      </c>
      <c r="CT353">
        <v>50</v>
      </c>
      <c r="CU353" t="s">
        <v>125</v>
      </c>
      <c r="CV353" t="s">
        <v>125</v>
      </c>
      <c r="CW353" t="s">
        <v>125</v>
      </c>
      <c r="CX353" t="s">
        <v>125</v>
      </c>
      <c r="CY353" t="s">
        <v>125</v>
      </c>
      <c r="CZ353" t="s">
        <v>125</v>
      </c>
      <c r="DA353">
        <v>15.314097</v>
      </c>
      <c r="DB353">
        <v>17.400950000000002</v>
      </c>
      <c r="DC353">
        <v>16.332519999999999</v>
      </c>
      <c r="DD353" t="s">
        <v>125</v>
      </c>
      <c r="DE353">
        <v>0</v>
      </c>
      <c r="DH353" t="s">
        <v>332</v>
      </c>
      <c r="DI353" t="s">
        <v>498</v>
      </c>
      <c r="DJ353">
        <v>1</v>
      </c>
      <c r="DK353">
        <v>1</v>
      </c>
      <c r="DL353">
        <v>1</v>
      </c>
      <c r="DM353">
        <v>0</v>
      </c>
      <c r="DN353">
        <v>0</v>
      </c>
      <c r="DO353">
        <v>0</v>
      </c>
      <c r="DQ353" t="s">
        <v>126</v>
      </c>
    </row>
    <row r="354" spans="1:121" x14ac:dyDescent="0.15">
      <c r="A354">
        <v>2018</v>
      </c>
      <c r="B354" t="s">
        <v>171</v>
      </c>
      <c r="C354" t="str">
        <f t="shared" si="6"/>
        <v>0350011</v>
      </c>
      <c r="D354" t="s">
        <v>499</v>
      </c>
      <c r="E354" t="str">
        <f>"0350511"</f>
        <v>0350511</v>
      </c>
      <c r="F354" t="s">
        <v>328</v>
      </c>
      <c r="G354" t="s">
        <v>329</v>
      </c>
      <c r="H354">
        <v>5</v>
      </c>
      <c r="I354" t="s">
        <v>330</v>
      </c>
      <c r="J354" t="s">
        <v>331</v>
      </c>
      <c r="K354">
        <v>516.35075200000006</v>
      </c>
      <c r="L354">
        <v>600</v>
      </c>
      <c r="M354">
        <v>86.058458999999999</v>
      </c>
      <c r="N354">
        <v>1</v>
      </c>
      <c r="O354">
        <v>0</v>
      </c>
      <c r="P354">
        <v>82.233688000000001</v>
      </c>
      <c r="Q354">
        <v>50</v>
      </c>
      <c r="R354">
        <v>50</v>
      </c>
      <c r="S354">
        <v>66.564558000000005</v>
      </c>
      <c r="T354">
        <v>75</v>
      </c>
      <c r="U354">
        <v>44.376372000000003</v>
      </c>
      <c r="V354">
        <v>50</v>
      </c>
      <c r="W354">
        <v>79.811420999999996</v>
      </c>
      <c r="X354">
        <v>50</v>
      </c>
      <c r="Y354">
        <v>50</v>
      </c>
      <c r="Z354">
        <v>75</v>
      </c>
      <c r="AA354">
        <v>62.030177999999999</v>
      </c>
      <c r="AB354">
        <v>41.353451999999997</v>
      </c>
      <c r="AC354">
        <v>50</v>
      </c>
      <c r="AD354">
        <v>77.277218000000005</v>
      </c>
      <c r="AE354">
        <v>50</v>
      </c>
      <c r="AF354">
        <v>50</v>
      </c>
      <c r="AG354" t="s">
        <v>125</v>
      </c>
      <c r="AH354">
        <v>75</v>
      </c>
      <c r="AI354" t="s">
        <v>125</v>
      </c>
      <c r="AJ354" t="s">
        <v>125</v>
      </c>
      <c r="AK354">
        <v>8.43</v>
      </c>
      <c r="AL354">
        <v>12.96</v>
      </c>
      <c r="AM354" t="s">
        <v>125</v>
      </c>
      <c r="AN354">
        <v>0.61899099999999996</v>
      </c>
      <c r="AO354">
        <v>61.899081000000002</v>
      </c>
      <c r="AP354">
        <v>100</v>
      </c>
      <c r="AQ354">
        <v>0.71938199999999997</v>
      </c>
      <c r="AR354">
        <v>71.938220999999999</v>
      </c>
      <c r="AS354">
        <v>100</v>
      </c>
      <c r="AT354" t="s">
        <v>125</v>
      </c>
      <c r="AU354">
        <v>0.64418600000000004</v>
      </c>
      <c r="AV354" t="s">
        <v>125</v>
      </c>
      <c r="AW354" t="s">
        <v>125</v>
      </c>
      <c r="AX354" t="s">
        <v>125</v>
      </c>
      <c r="AY354">
        <v>0.73911800000000005</v>
      </c>
      <c r="AZ354" t="s">
        <v>125</v>
      </c>
      <c r="BA354" t="s">
        <v>125</v>
      </c>
      <c r="BB354" t="s">
        <v>125</v>
      </c>
      <c r="BC354" t="s">
        <v>125</v>
      </c>
      <c r="BD354" t="s">
        <v>125</v>
      </c>
      <c r="BE354" t="s">
        <v>125</v>
      </c>
      <c r="BF354" t="s">
        <v>125</v>
      </c>
      <c r="BG354" t="s">
        <v>125</v>
      </c>
      <c r="BH354">
        <v>0</v>
      </c>
      <c r="BI354">
        <v>0.99494899999999997</v>
      </c>
      <c r="BJ354">
        <v>0.97142899999999999</v>
      </c>
      <c r="BK354">
        <v>1</v>
      </c>
      <c r="BL354">
        <v>0.99494899999999997</v>
      </c>
      <c r="BM354">
        <v>0.97142899999999999</v>
      </c>
      <c r="BN354">
        <v>1</v>
      </c>
      <c r="BO354">
        <v>0.98461500000000002</v>
      </c>
      <c r="BP354" t="s">
        <v>125</v>
      </c>
      <c r="BQ354">
        <v>1</v>
      </c>
      <c r="BR354">
        <v>1.6303999999999999E-2</v>
      </c>
      <c r="BS354">
        <v>50</v>
      </c>
      <c r="BT354">
        <v>50</v>
      </c>
      <c r="BU354">
        <v>2.7778000000000001E-2</v>
      </c>
      <c r="BV354">
        <v>50</v>
      </c>
      <c r="BW354">
        <v>50</v>
      </c>
      <c r="BX354" t="s">
        <v>125</v>
      </c>
      <c r="BY354" t="s">
        <v>125</v>
      </c>
      <c r="BZ354" t="s">
        <v>125</v>
      </c>
      <c r="CA354" t="s">
        <v>125</v>
      </c>
      <c r="CB354" t="s">
        <v>125</v>
      </c>
      <c r="CC354" t="s">
        <v>125</v>
      </c>
      <c r="CD354" t="s">
        <v>125</v>
      </c>
      <c r="CE354" t="s">
        <v>125</v>
      </c>
      <c r="CF354" t="s">
        <v>125</v>
      </c>
      <c r="CG354" t="s">
        <v>125</v>
      </c>
      <c r="CH354" t="s">
        <v>125</v>
      </c>
      <c r="CI354" t="s">
        <v>125</v>
      </c>
      <c r="CJ354" t="s">
        <v>125</v>
      </c>
      <c r="CK354" t="s">
        <v>125</v>
      </c>
      <c r="CL354" t="s">
        <v>125</v>
      </c>
      <c r="CM354" t="s">
        <v>125</v>
      </c>
      <c r="CN354" t="s">
        <v>125</v>
      </c>
      <c r="CO354" t="s">
        <v>125</v>
      </c>
      <c r="CP354" t="s">
        <v>125</v>
      </c>
      <c r="CQ354">
        <v>0.70175399999999999</v>
      </c>
      <c r="CR354">
        <v>0.96610200000000002</v>
      </c>
      <c r="CS354">
        <v>46.783625999999998</v>
      </c>
      <c r="CT354">
        <v>50</v>
      </c>
      <c r="CU354" t="s">
        <v>125</v>
      </c>
      <c r="CV354" t="s">
        <v>125</v>
      </c>
      <c r="CW354" t="s">
        <v>125</v>
      </c>
      <c r="CX354" t="s">
        <v>125</v>
      </c>
      <c r="CY354" t="s">
        <v>125</v>
      </c>
      <c r="CZ354" t="s">
        <v>125</v>
      </c>
      <c r="DA354">
        <v>15.314097</v>
      </c>
      <c r="DB354">
        <v>17.400950000000002</v>
      </c>
      <c r="DC354">
        <v>16.332519999999999</v>
      </c>
      <c r="DD354" t="s">
        <v>125</v>
      </c>
      <c r="DE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Q354" t="s">
        <v>126</v>
      </c>
    </row>
    <row r="355" spans="1:121" x14ac:dyDescent="0.15">
      <c r="A355">
        <v>2018</v>
      </c>
      <c r="B355" t="s">
        <v>171</v>
      </c>
      <c r="C355" t="str">
        <f t="shared" si="6"/>
        <v>0350011</v>
      </c>
      <c r="D355" t="s">
        <v>500</v>
      </c>
      <c r="E355" t="str">
        <f>"0350611"</f>
        <v>0350611</v>
      </c>
      <c r="F355" t="s">
        <v>328</v>
      </c>
      <c r="G355" t="s">
        <v>329</v>
      </c>
      <c r="H355">
        <v>5</v>
      </c>
      <c r="I355" t="s">
        <v>330</v>
      </c>
      <c r="J355" t="s">
        <v>331</v>
      </c>
      <c r="K355">
        <v>680.87845700000003</v>
      </c>
      <c r="L355">
        <v>800</v>
      </c>
      <c r="M355">
        <v>85.109807000000004</v>
      </c>
      <c r="N355">
        <v>1</v>
      </c>
      <c r="O355">
        <v>0</v>
      </c>
      <c r="P355">
        <v>87.027439999999999</v>
      </c>
      <c r="Q355">
        <v>50</v>
      </c>
      <c r="R355">
        <v>50</v>
      </c>
      <c r="S355">
        <v>69.034105999999994</v>
      </c>
      <c r="T355">
        <v>75</v>
      </c>
      <c r="U355">
        <v>46.022737999999997</v>
      </c>
      <c r="V355">
        <v>50</v>
      </c>
      <c r="W355">
        <v>86.252309999999994</v>
      </c>
      <c r="X355">
        <v>50</v>
      </c>
      <c r="Y355">
        <v>50</v>
      </c>
      <c r="Z355">
        <v>75</v>
      </c>
      <c r="AA355">
        <v>71.291874000000007</v>
      </c>
      <c r="AB355">
        <v>47.527915999999998</v>
      </c>
      <c r="AC355">
        <v>50</v>
      </c>
      <c r="AD355">
        <v>80.256468999999996</v>
      </c>
      <c r="AE355">
        <v>50</v>
      </c>
      <c r="AF355">
        <v>50</v>
      </c>
      <c r="AG355" t="s">
        <v>125</v>
      </c>
      <c r="AH355">
        <v>75</v>
      </c>
      <c r="AI355" t="s">
        <v>125</v>
      </c>
      <c r="AJ355" t="s">
        <v>125</v>
      </c>
      <c r="AK355">
        <v>5.96</v>
      </c>
      <c r="AL355">
        <v>3.7</v>
      </c>
      <c r="AM355" t="s">
        <v>125</v>
      </c>
      <c r="AN355">
        <v>0.83808800000000006</v>
      </c>
      <c r="AO355">
        <v>83.808751999999998</v>
      </c>
      <c r="AP355">
        <v>100</v>
      </c>
      <c r="AQ355">
        <v>0.81462000000000001</v>
      </c>
      <c r="AR355">
        <v>81.461976000000007</v>
      </c>
      <c r="AS355">
        <v>100</v>
      </c>
      <c r="AT355">
        <v>0.65970600000000001</v>
      </c>
      <c r="AU355">
        <v>0.87741599999999997</v>
      </c>
      <c r="AV355">
        <v>65.970616000000007</v>
      </c>
      <c r="AW355">
        <v>100</v>
      </c>
      <c r="AX355">
        <v>0.62250799999999995</v>
      </c>
      <c r="AY355">
        <v>0.85697500000000004</v>
      </c>
      <c r="AZ355">
        <v>62.250844000000001</v>
      </c>
      <c r="BA355">
        <v>100</v>
      </c>
      <c r="BB355" t="s">
        <v>125</v>
      </c>
      <c r="BC355" t="s">
        <v>125</v>
      </c>
      <c r="BD355" t="s">
        <v>125</v>
      </c>
      <c r="BE355" t="s">
        <v>125</v>
      </c>
      <c r="BF355" t="s">
        <v>125</v>
      </c>
      <c r="BG355" t="s">
        <v>125</v>
      </c>
      <c r="BH355">
        <v>0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 t="s">
        <v>125</v>
      </c>
      <c r="BQ355">
        <v>1</v>
      </c>
      <c r="BR355">
        <v>0.02</v>
      </c>
      <c r="BS355">
        <v>50</v>
      </c>
      <c r="BT355">
        <v>50</v>
      </c>
      <c r="BU355">
        <v>4.5455000000000002E-2</v>
      </c>
      <c r="BV355">
        <v>50</v>
      </c>
      <c r="BW355">
        <v>50</v>
      </c>
      <c r="BX355" t="s">
        <v>125</v>
      </c>
      <c r="BY355" t="s">
        <v>125</v>
      </c>
      <c r="BZ355" t="s">
        <v>125</v>
      </c>
      <c r="CA355" t="s">
        <v>125</v>
      </c>
      <c r="CB355" t="s">
        <v>125</v>
      </c>
      <c r="CC355" t="s">
        <v>125</v>
      </c>
      <c r="CD355" t="s">
        <v>125</v>
      </c>
      <c r="CE355" t="s">
        <v>125</v>
      </c>
      <c r="CF355" t="s">
        <v>125</v>
      </c>
      <c r="CG355" t="s">
        <v>125</v>
      </c>
      <c r="CH355" t="s">
        <v>125</v>
      </c>
      <c r="CI355" t="s">
        <v>125</v>
      </c>
      <c r="CJ355" t="s">
        <v>125</v>
      </c>
      <c r="CK355" t="s">
        <v>125</v>
      </c>
      <c r="CL355" t="s">
        <v>125</v>
      </c>
      <c r="CM355" t="s">
        <v>125</v>
      </c>
      <c r="CN355" t="s">
        <v>125</v>
      </c>
      <c r="CO355" t="s">
        <v>125</v>
      </c>
      <c r="CP355" t="s">
        <v>125</v>
      </c>
      <c r="CQ355">
        <v>0.65753399999999995</v>
      </c>
      <c r="CR355">
        <v>0.96052599999999999</v>
      </c>
      <c r="CS355">
        <v>43.835616000000002</v>
      </c>
      <c r="CT355">
        <v>50</v>
      </c>
      <c r="CU355" t="s">
        <v>125</v>
      </c>
      <c r="CV355" t="s">
        <v>125</v>
      </c>
      <c r="CW355" t="s">
        <v>125</v>
      </c>
      <c r="CX355" t="s">
        <v>125</v>
      </c>
      <c r="CY355" t="s">
        <v>125</v>
      </c>
      <c r="CZ355" t="s">
        <v>125</v>
      </c>
      <c r="DA355">
        <v>15.314097</v>
      </c>
      <c r="DB355">
        <v>17.400950000000002</v>
      </c>
      <c r="DC355">
        <v>16.332519999999999</v>
      </c>
      <c r="DD355" t="s">
        <v>125</v>
      </c>
      <c r="DE355">
        <v>0</v>
      </c>
      <c r="DH355" t="s">
        <v>332</v>
      </c>
      <c r="DI355" t="s">
        <v>501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Q355" t="s">
        <v>126</v>
      </c>
    </row>
    <row r="356" spans="1:121" x14ac:dyDescent="0.15">
      <c r="A356">
        <v>2018</v>
      </c>
      <c r="B356" t="s">
        <v>144</v>
      </c>
      <c r="C356" t="str">
        <f>"0360011"</f>
        <v>0360011</v>
      </c>
      <c r="D356" t="s">
        <v>502</v>
      </c>
      <c r="E356" t="str">
        <f>"0360111"</f>
        <v>0360111</v>
      </c>
      <c r="F356" t="s">
        <v>328</v>
      </c>
      <c r="G356" t="s">
        <v>329</v>
      </c>
      <c r="H356">
        <v>6</v>
      </c>
      <c r="I356" t="s">
        <v>330</v>
      </c>
      <c r="J356" t="s">
        <v>331</v>
      </c>
      <c r="K356">
        <v>654.64005699999996</v>
      </c>
      <c r="L356">
        <v>800</v>
      </c>
      <c r="M356">
        <v>81.830006999999995</v>
      </c>
      <c r="N356">
        <v>2</v>
      </c>
      <c r="O356">
        <v>0</v>
      </c>
      <c r="P356">
        <v>77.763588999999996</v>
      </c>
      <c r="Q356">
        <v>50</v>
      </c>
      <c r="R356">
        <v>50</v>
      </c>
      <c r="S356">
        <v>70.790107000000006</v>
      </c>
      <c r="T356">
        <v>75</v>
      </c>
      <c r="U356">
        <v>47.193404999999998</v>
      </c>
      <c r="V356">
        <v>50</v>
      </c>
      <c r="W356">
        <v>79.071746000000005</v>
      </c>
      <c r="X356">
        <v>50</v>
      </c>
      <c r="Y356">
        <v>50</v>
      </c>
      <c r="Z356">
        <v>75</v>
      </c>
      <c r="AA356">
        <v>72.326300000000003</v>
      </c>
      <c r="AB356">
        <v>48.217533000000003</v>
      </c>
      <c r="AC356">
        <v>50</v>
      </c>
      <c r="AD356">
        <v>73.376344000000003</v>
      </c>
      <c r="AE356">
        <v>48.917563000000001</v>
      </c>
      <c r="AF356">
        <v>50</v>
      </c>
      <c r="AG356" t="s">
        <v>125</v>
      </c>
      <c r="AH356" t="s">
        <v>125</v>
      </c>
      <c r="AI356" t="s">
        <v>125</v>
      </c>
      <c r="AJ356" t="s">
        <v>125</v>
      </c>
      <c r="AK356">
        <v>4.2</v>
      </c>
      <c r="AL356">
        <v>2.67</v>
      </c>
      <c r="AM356" t="s">
        <v>125</v>
      </c>
      <c r="AN356">
        <v>0.63374299999999995</v>
      </c>
      <c r="AO356">
        <v>63.374339999999997</v>
      </c>
      <c r="AP356">
        <v>100</v>
      </c>
      <c r="AQ356">
        <v>0.78485199999999999</v>
      </c>
      <c r="AR356">
        <v>78.485161000000005</v>
      </c>
      <c r="AS356">
        <v>100</v>
      </c>
      <c r="AT356">
        <v>0.53260600000000002</v>
      </c>
      <c r="AU356">
        <v>0.702206</v>
      </c>
      <c r="AV356">
        <v>53.260598999999999</v>
      </c>
      <c r="AW356">
        <v>100</v>
      </c>
      <c r="AX356">
        <v>0.653609</v>
      </c>
      <c r="AY356">
        <v>0.87369200000000002</v>
      </c>
      <c r="AZ356">
        <v>65.360947999999993</v>
      </c>
      <c r="BA356">
        <v>100</v>
      </c>
      <c r="BB356" t="s">
        <v>125</v>
      </c>
      <c r="BC356" t="s">
        <v>125</v>
      </c>
      <c r="BD356" t="s">
        <v>125</v>
      </c>
      <c r="BE356" t="s">
        <v>125</v>
      </c>
      <c r="BF356" t="s">
        <v>125</v>
      </c>
      <c r="BG356" t="s">
        <v>125</v>
      </c>
      <c r="BH356">
        <v>0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 t="s">
        <v>125</v>
      </c>
      <c r="BQ356" t="s">
        <v>125</v>
      </c>
      <c r="BR356">
        <v>2.8688999999999999E-2</v>
      </c>
      <c r="BS356">
        <v>50</v>
      </c>
      <c r="BT356">
        <v>50</v>
      </c>
      <c r="BU356">
        <v>5.0847000000000003E-2</v>
      </c>
      <c r="BV356">
        <v>49.830508000000002</v>
      </c>
      <c r="BW356">
        <v>50</v>
      </c>
      <c r="BX356" t="s">
        <v>125</v>
      </c>
      <c r="BY356" t="s">
        <v>125</v>
      </c>
      <c r="BZ356" t="s">
        <v>125</v>
      </c>
      <c r="CA356" t="s">
        <v>125</v>
      </c>
      <c r="CB356" t="s">
        <v>125</v>
      </c>
      <c r="CC356" t="s">
        <v>125</v>
      </c>
      <c r="CD356" t="s">
        <v>125</v>
      </c>
      <c r="CE356" t="s">
        <v>125</v>
      </c>
      <c r="CF356" t="s">
        <v>125</v>
      </c>
      <c r="CG356" t="s">
        <v>125</v>
      </c>
      <c r="CH356" t="s">
        <v>125</v>
      </c>
      <c r="CI356" t="s">
        <v>125</v>
      </c>
      <c r="CJ356" t="s">
        <v>125</v>
      </c>
      <c r="CK356" t="s">
        <v>125</v>
      </c>
      <c r="CL356" t="s">
        <v>125</v>
      </c>
      <c r="CM356" t="s">
        <v>125</v>
      </c>
      <c r="CN356" t="s">
        <v>125</v>
      </c>
      <c r="CO356" t="s">
        <v>125</v>
      </c>
      <c r="CP356" t="s">
        <v>125</v>
      </c>
      <c r="CQ356">
        <v>0.84337300000000004</v>
      </c>
      <c r="CR356">
        <v>1</v>
      </c>
      <c r="CS356">
        <v>50</v>
      </c>
      <c r="CT356">
        <v>50</v>
      </c>
      <c r="CU356" t="s">
        <v>125</v>
      </c>
      <c r="CV356" t="s">
        <v>125</v>
      </c>
      <c r="CW356" t="s">
        <v>125</v>
      </c>
      <c r="CX356" t="s">
        <v>125</v>
      </c>
      <c r="CY356" t="s">
        <v>125</v>
      </c>
      <c r="CZ356" t="s">
        <v>125</v>
      </c>
      <c r="DA356">
        <v>15.314097</v>
      </c>
      <c r="DB356">
        <v>17.400950000000002</v>
      </c>
      <c r="DC356">
        <v>16.332519999999999</v>
      </c>
      <c r="DD356" t="s">
        <v>125</v>
      </c>
      <c r="DE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Q356" t="s">
        <v>126</v>
      </c>
    </row>
    <row r="357" spans="1:121" x14ac:dyDescent="0.15">
      <c r="A357">
        <v>2018</v>
      </c>
      <c r="B357" t="s">
        <v>145</v>
      </c>
      <c r="C357" t="str">
        <f>"0370011"</f>
        <v>0370011</v>
      </c>
      <c r="D357" t="s">
        <v>503</v>
      </c>
      <c r="E357" t="str">
        <f>"0370611"</f>
        <v>0370611</v>
      </c>
      <c r="F357" t="s">
        <v>328</v>
      </c>
      <c r="G357" t="s">
        <v>339</v>
      </c>
      <c r="H357">
        <v>5</v>
      </c>
      <c r="J357" t="s">
        <v>331</v>
      </c>
      <c r="K357">
        <v>659.37973899999997</v>
      </c>
      <c r="L357">
        <v>850</v>
      </c>
      <c r="M357">
        <v>77.574087000000006</v>
      </c>
      <c r="N357">
        <v>2</v>
      </c>
      <c r="O357">
        <v>0</v>
      </c>
      <c r="P357">
        <v>71.03058</v>
      </c>
      <c r="Q357">
        <v>47.353720000000003</v>
      </c>
      <c r="R357">
        <v>50</v>
      </c>
      <c r="S357">
        <v>66.177923000000007</v>
      </c>
      <c r="T357">
        <v>75</v>
      </c>
      <c r="U357">
        <v>44.118616000000003</v>
      </c>
      <c r="V357">
        <v>50</v>
      </c>
      <c r="W357">
        <v>69.044148000000007</v>
      </c>
      <c r="X357">
        <v>46.029432</v>
      </c>
      <c r="Y357">
        <v>50</v>
      </c>
      <c r="Z357">
        <v>75</v>
      </c>
      <c r="AA357">
        <v>63.945954</v>
      </c>
      <c r="AB357">
        <v>42.630636000000003</v>
      </c>
      <c r="AC357">
        <v>50</v>
      </c>
      <c r="AD357">
        <v>72.239805000000004</v>
      </c>
      <c r="AE357">
        <v>48.159869999999998</v>
      </c>
      <c r="AF357">
        <v>50</v>
      </c>
      <c r="AG357">
        <v>68.436559000000003</v>
      </c>
      <c r="AH357">
        <v>75</v>
      </c>
      <c r="AI357">
        <v>45.624372999999999</v>
      </c>
      <c r="AJ357">
        <v>50</v>
      </c>
      <c r="AK357">
        <v>8.82</v>
      </c>
      <c r="AL357">
        <v>11.05</v>
      </c>
      <c r="AM357">
        <v>6.56</v>
      </c>
      <c r="AN357">
        <v>0.61801499999999998</v>
      </c>
      <c r="AO357">
        <v>61.801541</v>
      </c>
      <c r="AP357">
        <v>100</v>
      </c>
      <c r="AQ357">
        <v>0.69600600000000001</v>
      </c>
      <c r="AR357">
        <v>69.600645999999998</v>
      </c>
      <c r="AS357">
        <v>100</v>
      </c>
      <c r="AT357">
        <v>0.61837299999999995</v>
      </c>
      <c r="AU357">
        <v>0.61747399999999997</v>
      </c>
      <c r="AV357">
        <v>61.837274000000001</v>
      </c>
      <c r="AW357">
        <v>100</v>
      </c>
      <c r="AX357">
        <v>0.58341799999999999</v>
      </c>
      <c r="AY357">
        <v>0.86649799999999999</v>
      </c>
      <c r="AZ357">
        <v>58.341777</v>
      </c>
      <c r="BA357">
        <v>100</v>
      </c>
      <c r="BB357" t="s">
        <v>125</v>
      </c>
      <c r="BC357" t="s">
        <v>125</v>
      </c>
      <c r="BD357" t="s">
        <v>125</v>
      </c>
      <c r="BE357" t="s">
        <v>125</v>
      </c>
      <c r="BF357" t="s">
        <v>125</v>
      </c>
      <c r="BG357" t="s">
        <v>125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7.3770000000000002E-2</v>
      </c>
      <c r="BS357">
        <v>45.245902000000001</v>
      </c>
      <c r="BT357">
        <v>50</v>
      </c>
      <c r="BU357">
        <v>9.7560999999999995E-2</v>
      </c>
      <c r="BV357">
        <v>40.487805000000002</v>
      </c>
      <c r="BW357">
        <v>50</v>
      </c>
      <c r="BX357" t="s">
        <v>125</v>
      </c>
      <c r="BY357" t="s">
        <v>125</v>
      </c>
      <c r="BZ357" t="s">
        <v>125</v>
      </c>
      <c r="CA357" t="s">
        <v>125</v>
      </c>
      <c r="CB357" t="s">
        <v>125</v>
      </c>
      <c r="CC357" t="s">
        <v>125</v>
      </c>
      <c r="CD357" t="s">
        <v>125</v>
      </c>
      <c r="CE357" t="s">
        <v>125</v>
      </c>
      <c r="CF357" t="s">
        <v>125</v>
      </c>
      <c r="CG357" t="s">
        <v>125</v>
      </c>
      <c r="CH357" t="s">
        <v>125</v>
      </c>
      <c r="CI357" t="s">
        <v>125</v>
      </c>
      <c r="CJ357" t="s">
        <v>125</v>
      </c>
      <c r="CK357" t="s">
        <v>125</v>
      </c>
      <c r="CL357" t="s">
        <v>125</v>
      </c>
      <c r="CM357" t="s">
        <v>125</v>
      </c>
      <c r="CN357" t="s">
        <v>125</v>
      </c>
      <c r="CO357" t="s">
        <v>125</v>
      </c>
      <c r="CP357" t="s">
        <v>125</v>
      </c>
      <c r="CQ357">
        <v>0.72222200000000003</v>
      </c>
      <c r="CR357">
        <v>1</v>
      </c>
      <c r="CS357">
        <v>48.148147999999999</v>
      </c>
      <c r="CT357">
        <v>50</v>
      </c>
      <c r="CU357" t="s">
        <v>125</v>
      </c>
      <c r="CV357" t="s">
        <v>125</v>
      </c>
      <c r="CW357" t="s">
        <v>125</v>
      </c>
      <c r="CX357" t="s">
        <v>125</v>
      </c>
      <c r="CY357" t="s">
        <v>125</v>
      </c>
      <c r="CZ357" t="s">
        <v>125</v>
      </c>
      <c r="DA357">
        <v>15.314097</v>
      </c>
      <c r="DB357">
        <v>17.400950000000002</v>
      </c>
      <c r="DC357">
        <v>16.332519999999999</v>
      </c>
      <c r="DD357" t="s">
        <v>125</v>
      </c>
      <c r="DE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Q357" t="s">
        <v>126</v>
      </c>
    </row>
    <row r="358" spans="1:121" x14ac:dyDescent="0.15">
      <c r="A358">
        <v>2018</v>
      </c>
      <c r="B358" t="s">
        <v>145</v>
      </c>
      <c r="C358" t="str">
        <f>"0370011"</f>
        <v>0370011</v>
      </c>
      <c r="D358" t="s">
        <v>504</v>
      </c>
      <c r="E358" t="str">
        <f>"0376111"</f>
        <v>0376111</v>
      </c>
      <c r="F358" t="s">
        <v>328</v>
      </c>
      <c r="G358">
        <v>9</v>
      </c>
      <c r="H358">
        <v>12</v>
      </c>
      <c r="I358" t="s">
        <v>336</v>
      </c>
      <c r="J358" t="s">
        <v>331</v>
      </c>
      <c r="K358">
        <v>945.61128499999995</v>
      </c>
      <c r="L358">
        <v>1450</v>
      </c>
      <c r="M358">
        <v>65.214571000000007</v>
      </c>
      <c r="N358">
        <v>3</v>
      </c>
      <c r="O358">
        <v>0</v>
      </c>
      <c r="P358">
        <v>48.857143000000001</v>
      </c>
      <c r="Q358">
        <v>97.714286000000001</v>
      </c>
      <c r="R358">
        <v>150</v>
      </c>
      <c r="S358">
        <v>43.775509999999997</v>
      </c>
      <c r="T358">
        <v>57.75</v>
      </c>
      <c r="U358">
        <v>87.551019999999994</v>
      </c>
      <c r="V358">
        <v>150</v>
      </c>
      <c r="W358">
        <v>41.261904999999999</v>
      </c>
      <c r="X358">
        <v>82.523809999999997</v>
      </c>
      <c r="Y358">
        <v>150</v>
      </c>
      <c r="Z358">
        <v>48.517856999999999</v>
      </c>
      <c r="AA358">
        <v>37.115645999999998</v>
      </c>
      <c r="AB358">
        <v>74.231292999999994</v>
      </c>
      <c r="AC358">
        <v>150</v>
      </c>
      <c r="AD358">
        <v>41.315289999999997</v>
      </c>
      <c r="AE358">
        <v>55.087052999999997</v>
      </c>
      <c r="AF358">
        <v>100</v>
      </c>
      <c r="AG358">
        <v>38.236575000000002</v>
      </c>
      <c r="AH358">
        <v>47.142856999999999</v>
      </c>
      <c r="AI358">
        <v>50.982100000000003</v>
      </c>
      <c r="AJ358">
        <v>100</v>
      </c>
      <c r="AK358">
        <v>13.97</v>
      </c>
      <c r="AL358">
        <v>11.4</v>
      </c>
      <c r="AM358">
        <v>8.9</v>
      </c>
      <c r="AN358" t="s">
        <v>125</v>
      </c>
      <c r="AO358" t="s">
        <v>125</v>
      </c>
      <c r="AP358" t="s">
        <v>125</v>
      </c>
      <c r="AQ358" t="s">
        <v>125</v>
      </c>
      <c r="AR358" t="s">
        <v>125</v>
      </c>
      <c r="AS358" t="s">
        <v>125</v>
      </c>
      <c r="AT358" t="s">
        <v>125</v>
      </c>
      <c r="AU358" t="s">
        <v>125</v>
      </c>
      <c r="AV358" t="s">
        <v>125</v>
      </c>
      <c r="AW358" t="s">
        <v>125</v>
      </c>
      <c r="AX358" t="s">
        <v>125</v>
      </c>
      <c r="AY358" t="s">
        <v>125</v>
      </c>
      <c r="AZ358" t="s">
        <v>125</v>
      </c>
      <c r="BA358" t="s">
        <v>125</v>
      </c>
      <c r="BB358" t="s">
        <v>125</v>
      </c>
      <c r="BC358" t="s">
        <v>125</v>
      </c>
      <c r="BD358" t="s">
        <v>125</v>
      </c>
      <c r="BE358" t="s">
        <v>125</v>
      </c>
      <c r="BF358" t="s">
        <v>125</v>
      </c>
      <c r="BG358" t="s">
        <v>125</v>
      </c>
      <c r="BH358">
        <v>1</v>
      </c>
      <c r="BI358">
        <v>0.94117600000000001</v>
      </c>
      <c r="BJ358">
        <v>0.92727300000000001</v>
      </c>
      <c r="BK358">
        <v>0.96666700000000005</v>
      </c>
      <c r="BL358">
        <v>0.94117600000000001</v>
      </c>
      <c r="BM358">
        <v>0.92727300000000001</v>
      </c>
      <c r="BN358">
        <v>0.96666700000000005</v>
      </c>
      <c r="BO358">
        <v>0.96470599999999995</v>
      </c>
      <c r="BP358">
        <v>0.96363600000000005</v>
      </c>
      <c r="BQ358">
        <v>0.96666700000000005</v>
      </c>
      <c r="BR358">
        <v>0.12893099999999999</v>
      </c>
      <c r="BS358">
        <v>34.213836000000001</v>
      </c>
      <c r="BT358">
        <v>50</v>
      </c>
      <c r="BU358">
        <v>0.16087000000000001</v>
      </c>
      <c r="BV358">
        <v>27.826087000000001</v>
      </c>
      <c r="BW358">
        <v>50</v>
      </c>
      <c r="BX358">
        <v>0.68387100000000001</v>
      </c>
      <c r="BY358">
        <v>45.591397999999998</v>
      </c>
      <c r="BZ358">
        <v>50</v>
      </c>
      <c r="CA358">
        <v>0.18709700000000001</v>
      </c>
      <c r="CB358">
        <v>12.473117999999999</v>
      </c>
      <c r="CC358">
        <v>50</v>
      </c>
      <c r="CD358">
        <v>0.83750000000000002</v>
      </c>
      <c r="CE358">
        <v>44.547871999999998</v>
      </c>
      <c r="CF358">
        <v>50</v>
      </c>
      <c r="CG358">
        <v>0.81443299999999996</v>
      </c>
      <c r="CH358">
        <v>86.641807</v>
      </c>
      <c r="CI358">
        <v>100</v>
      </c>
      <c r="CJ358">
        <v>0</v>
      </c>
      <c r="CK358">
        <v>0.86363599999999996</v>
      </c>
      <c r="CL358">
        <v>91.876209000000003</v>
      </c>
      <c r="CM358">
        <v>100</v>
      </c>
      <c r="CN358">
        <v>0.57142899999999996</v>
      </c>
      <c r="CO358">
        <v>76.190476000000004</v>
      </c>
      <c r="CP358">
        <v>100</v>
      </c>
      <c r="CQ358">
        <v>0.42241400000000001</v>
      </c>
      <c r="CR358">
        <v>1.3975900000000001</v>
      </c>
      <c r="CS358">
        <v>28.160920000000001</v>
      </c>
      <c r="CT358">
        <v>50</v>
      </c>
      <c r="CU358">
        <v>0.63522000000000001</v>
      </c>
      <c r="CV358">
        <v>50</v>
      </c>
      <c r="CW358">
        <v>50</v>
      </c>
      <c r="CX358">
        <v>0.86363599999999996</v>
      </c>
      <c r="CY358">
        <v>0.92</v>
      </c>
      <c r="CZ358">
        <v>5.6363999999999997E-2</v>
      </c>
      <c r="DA358">
        <v>15.314097</v>
      </c>
      <c r="DB358">
        <v>17.400950000000002</v>
      </c>
      <c r="DC358">
        <v>16.332519999999999</v>
      </c>
      <c r="DD358">
        <v>7.9891730000000001</v>
      </c>
      <c r="DE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Q358" t="s">
        <v>126</v>
      </c>
    </row>
    <row r="359" spans="1:121" x14ac:dyDescent="0.15">
      <c r="A359">
        <v>2018</v>
      </c>
      <c r="B359" t="s">
        <v>145</v>
      </c>
      <c r="C359" t="str">
        <f>"0370011"</f>
        <v>0370011</v>
      </c>
      <c r="D359" t="s">
        <v>505</v>
      </c>
      <c r="E359" t="str">
        <f>"0375011"</f>
        <v>0375011</v>
      </c>
      <c r="F359" t="s">
        <v>328</v>
      </c>
      <c r="G359">
        <v>6</v>
      </c>
      <c r="H359">
        <v>8</v>
      </c>
      <c r="I359" t="s">
        <v>336</v>
      </c>
      <c r="J359" t="s">
        <v>331</v>
      </c>
      <c r="K359">
        <v>488.22441300000003</v>
      </c>
      <c r="L359">
        <v>900</v>
      </c>
      <c r="M359">
        <v>54.247157000000001</v>
      </c>
      <c r="N359">
        <v>4</v>
      </c>
      <c r="O359">
        <v>1</v>
      </c>
      <c r="P359">
        <v>52.834398</v>
      </c>
      <c r="Q359">
        <v>35.222932</v>
      </c>
      <c r="R359">
        <v>50</v>
      </c>
      <c r="S359">
        <v>47.462248000000002</v>
      </c>
      <c r="T359">
        <v>63.242939</v>
      </c>
      <c r="U359">
        <v>31.641499</v>
      </c>
      <c r="V359">
        <v>50</v>
      </c>
      <c r="W359">
        <v>46.344349000000001</v>
      </c>
      <c r="X359">
        <v>30.896232999999999</v>
      </c>
      <c r="Y359">
        <v>50</v>
      </c>
      <c r="Z359">
        <v>56.729680000000002</v>
      </c>
      <c r="AA359">
        <v>40.984178</v>
      </c>
      <c r="AB359">
        <v>27.322786000000001</v>
      </c>
      <c r="AC359">
        <v>50</v>
      </c>
      <c r="AD359">
        <v>55.016140999999998</v>
      </c>
      <c r="AE359">
        <v>36.677427000000002</v>
      </c>
      <c r="AF359">
        <v>50</v>
      </c>
      <c r="AG359">
        <v>49.727586000000002</v>
      </c>
      <c r="AH359">
        <v>64.348883999999998</v>
      </c>
      <c r="AI359">
        <v>33.151724000000002</v>
      </c>
      <c r="AJ359">
        <v>50</v>
      </c>
      <c r="AK359">
        <v>15.78</v>
      </c>
      <c r="AL359">
        <v>15.74</v>
      </c>
      <c r="AM359">
        <v>14.62</v>
      </c>
      <c r="AN359">
        <v>0.39811600000000003</v>
      </c>
      <c r="AO359">
        <v>39.811611999999997</v>
      </c>
      <c r="AP359">
        <v>100</v>
      </c>
      <c r="AQ359">
        <v>0.42605700000000002</v>
      </c>
      <c r="AR359">
        <v>42.605697999999997</v>
      </c>
      <c r="AS359">
        <v>100</v>
      </c>
      <c r="AT359">
        <v>0.36555199999999999</v>
      </c>
      <c r="AU359">
        <v>0.461113</v>
      </c>
      <c r="AV359">
        <v>36.555239999999998</v>
      </c>
      <c r="AW359">
        <v>100</v>
      </c>
      <c r="AX359">
        <v>0.411161</v>
      </c>
      <c r="AY359">
        <v>0.45487499999999997</v>
      </c>
      <c r="AZ359">
        <v>41.116087</v>
      </c>
      <c r="BA359">
        <v>100</v>
      </c>
      <c r="BB359" t="s">
        <v>125</v>
      </c>
      <c r="BC359" t="s">
        <v>125</v>
      </c>
      <c r="BD359" t="s">
        <v>125</v>
      </c>
      <c r="BE359" t="s">
        <v>125</v>
      </c>
      <c r="BF359" t="s">
        <v>125</v>
      </c>
      <c r="BG359" t="s">
        <v>125</v>
      </c>
      <c r="BH359">
        <v>0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0.97</v>
      </c>
      <c r="BP359">
        <v>0.95384599999999997</v>
      </c>
      <c r="BQ359">
        <v>1</v>
      </c>
      <c r="BR359">
        <v>0.12571399999999999</v>
      </c>
      <c r="BS359">
        <v>34.857143000000001</v>
      </c>
      <c r="BT359">
        <v>50</v>
      </c>
      <c r="BU359">
        <v>0.145594</v>
      </c>
      <c r="BV359">
        <v>30.881226000000002</v>
      </c>
      <c r="BW359">
        <v>50</v>
      </c>
      <c r="BX359" t="s">
        <v>125</v>
      </c>
      <c r="BY359" t="s">
        <v>125</v>
      </c>
      <c r="BZ359" t="s">
        <v>125</v>
      </c>
      <c r="CA359" t="s">
        <v>125</v>
      </c>
      <c r="CB359" t="s">
        <v>125</v>
      </c>
      <c r="CC359" t="s">
        <v>125</v>
      </c>
      <c r="CD359">
        <v>0.92660600000000004</v>
      </c>
      <c r="CE359">
        <v>49.287526999999997</v>
      </c>
      <c r="CF359">
        <v>50</v>
      </c>
      <c r="CG359" t="s">
        <v>125</v>
      </c>
      <c r="CH359" t="s">
        <v>125</v>
      </c>
      <c r="CI359" t="s">
        <v>125</v>
      </c>
      <c r="CJ359" t="s">
        <v>125</v>
      </c>
      <c r="CK359" t="s">
        <v>125</v>
      </c>
      <c r="CL359" t="s">
        <v>125</v>
      </c>
      <c r="CM359" t="s">
        <v>125</v>
      </c>
      <c r="CN359" t="s">
        <v>125</v>
      </c>
      <c r="CO359" t="s">
        <v>125</v>
      </c>
      <c r="CP359" t="s">
        <v>125</v>
      </c>
      <c r="CQ359">
        <v>0.54591800000000001</v>
      </c>
      <c r="CR359">
        <v>0.88288299999999997</v>
      </c>
      <c r="CS359">
        <v>18.197279000000002</v>
      </c>
      <c r="CT359">
        <v>50</v>
      </c>
      <c r="CU359" t="s">
        <v>125</v>
      </c>
      <c r="CV359" t="s">
        <v>125</v>
      </c>
      <c r="CW359" t="s">
        <v>125</v>
      </c>
      <c r="CX359" t="s">
        <v>125</v>
      </c>
      <c r="CY359" t="s">
        <v>125</v>
      </c>
      <c r="CZ359" t="s">
        <v>125</v>
      </c>
      <c r="DA359">
        <v>15.314097</v>
      </c>
      <c r="DB359">
        <v>17.400950000000002</v>
      </c>
      <c r="DC359">
        <v>16.332519999999999</v>
      </c>
      <c r="DD359" t="s">
        <v>125</v>
      </c>
      <c r="DE359">
        <v>1</v>
      </c>
      <c r="DF359" t="s">
        <v>385</v>
      </c>
      <c r="DG359" t="s">
        <v>418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Q359" t="s">
        <v>126</v>
      </c>
    </row>
    <row r="360" spans="1:121" x14ac:dyDescent="0.15">
      <c r="A360">
        <v>2018</v>
      </c>
      <c r="B360" t="s">
        <v>145</v>
      </c>
      <c r="C360" t="str">
        <f>"0370011"</f>
        <v>0370011</v>
      </c>
      <c r="D360" t="s">
        <v>506</v>
      </c>
      <c r="E360" t="str">
        <f>"0370411"</f>
        <v>0370411</v>
      </c>
      <c r="F360" t="s">
        <v>328</v>
      </c>
      <c r="G360" t="s">
        <v>339</v>
      </c>
      <c r="H360">
        <v>5</v>
      </c>
      <c r="I360" t="s">
        <v>336</v>
      </c>
      <c r="J360" t="s">
        <v>331</v>
      </c>
      <c r="K360">
        <v>663.36302499999999</v>
      </c>
      <c r="L360">
        <v>850</v>
      </c>
      <c r="M360">
        <v>78.042709000000002</v>
      </c>
      <c r="N360">
        <v>2</v>
      </c>
      <c r="O360">
        <v>0</v>
      </c>
      <c r="P360">
        <v>62.530948000000002</v>
      </c>
      <c r="Q360">
        <v>41.687299000000003</v>
      </c>
      <c r="R360">
        <v>50</v>
      </c>
      <c r="S360">
        <v>60.104187000000003</v>
      </c>
      <c r="T360">
        <v>72.551122000000007</v>
      </c>
      <c r="U360">
        <v>40.069457999999997</v>
      </c>
      <c r="V360">
        <v>50</v>
      </c>
      <c r="W360">
        <v>59.395069999999997</v>
      </c>
      <c r="X360">
        <v>39.596713999999999</v>
      </c>
      <c r="Y360">
        <v>50</v>
      </c>
      <c r="Z360">
        <v>72.874267000000003</v>
      </c>
      <c r="AA360">
        <v>56.130578</v>
      </c>
      <c r="AB360">
        <v>37.420385000000003</v>
      </c>
      <c r="AC360">
        <v>50</v>
      </c>
      <c r="AD360">
        <v>57.546334000000002</v>
      </c>
      <c r="AE360">
        <v>38.364223000000003</v>
      </c>
      <c r="AF360">
        <v>50</v>
      </c>
      <c r="AG360">
        <v>55.401724999999999</v>
      </c>
      <c r="AH360" t="s">
        <v>125</v>
      </c>
      <c r="AI360">
        <v>36.934483999999998</v>
      </c>
      <c r="AJ360">
        <v>50</v>
      </c>
      <c r="AK360">
        <v>12.44</v>
      </c>
      <c r="AL360">
        <v>16.739999999999998</v>
      </c>
      <c r="AM360" t="s">
        <v>125</v>
      </c>
      <c r="AN360">
        <v>0.66559400000000002</v>
      </c>
      <c r="AO360">
        <v>66.559421</v>
      </c>
      <c r="AP360">
        <v>100</v>
      </c>
      <c r="AQ360">
        <v>0.85311400000000004</v>
      </c>
      <c r="AR360">
        <v>85.311432999999994</v>
      </c>
      <c r="AS360">
        <v>100</v>
      </c>
      <c r="AT360">
        <v>0.64949900000000005</v>
      </c>
      <c r="AU360">
        <v>0.73227299999999995</v>
      </c>
      <c r="AV360">
        <v>64.949935999999994</v>
      </c>
      <c r="AW360">
        <v>100</v>
      </c>
      <c r="AX360">
        <v>0.82111500000000004</v>
      </c>
      <c r="AY360">
        <v>0.98568199999999995</v>
      </c>
      <c r="AZ360">
        <v>82.111528000000007</v>
      </c>
      <c r="BA360">
        <v>100</v>
      </c>
      <c r="BB360" t="s">
        <v>125</v>
      </c>
      <c r="BC360" t="s">
        <v>125</v>
      </c>
      <c r="BD360" t="s">
        <v>125</v>
      </c>
      <c r="BE360" t="s">
        <v>125</v>
      </c>
      <c r="BF360" t="s">
        <v>125</v>
      </c>
      <c r="BG360" t="s">
        <v>125</v>
      </c>
      <c r="BH360">
        <v>0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 t="s">
        <v>125</v>
      </c>
      <c r="BR360">
        <v>9.2308000000000001E-2</v>
      </c>
      <c r="BS360">
        <v>41.538462000000003</v>
      </c>
      <c r="BT360">
        <v>50</v>
      </c>
      <c r="BU360">
        <v>0.100346</v>
      </c>
      <c r="BV360">
        <v>39.930796000000001</v>
      </c>
      <c r="BW360">
        <v>50</v>
      </c>
      <c r="BX360" t="s">
        <v>125</v>
      </c>
      <c r="BY360" t="s">
        <v>125</v>
      </c>
      <c r="BZ360" t="s">
        <v>125</v>
      </c>
      <c r="CA360" t="s">
        <v>125</v>
      </c>
      <c r="CB360" t="s">
        <v>125</v>
      </c>
      <c r="CC360" t="s">
        <v>125</v>
      </c>
      <c r="CD360" t="s">
        <v>125</v>
      </c>
      <c r="CE360" t="s">
        <v>125</v>
      </c>
      <c r="CF360" t="s">
        <v>125</v>
      </c>
      <c r="CG360" t="s">
        <v>125</v>
      </c>
      <c r="CH360" t="s">
        <v>125</v>
      </c>
      <c r="CI360" t="s">
        <v>125</v>
      </c>
      <c r="CJ360" t="s">
        <v>125</v>
      </c>
      <c r="CK360" t="s">
        <v>125</v>
      </c>
      <c r="CL360" t="s">
        <v>125</v>
      </c>
      <c r="CM360" t="s">
        <v>125</v>
      </c>
      <c r="CN360" t="s">
        <v>125</v>
      </c>
      <c r="CO360" t="s">
        <v>125</v>
      </c>
      <c r="CP360" t="s">
        <v>125</v>
      </c>
      <c r="CQ360">
        <v>0.73333300000000001</v>
      </c>
      <c r="CR360">
        <v>0.95238100000000003</v>
      </c>
      <c r="CS360">
        <v>48.888888999999999</v>
      </c>
      <c r="CT360">
        <v>50</v>
      </c>
      <c r="CU360" t="s">
        <v>125</v>
      </c>
      <c r="CV360" t="s">
        <v>125</v>
      </c>
      <c r="CW360" t="s">
        <v>125</v>
      </c>
      <c r="CX360" t="s">
        <v>125</v>
      </c>
      <c r="CY360" t="s">
        <v>125</v>
      </c>
      <c r="CZ360" t="s">
        <v>125</v>
      </c>
      <c r="DA360">
        <v>15.314097</v>
      </c>
      <c r="DB360">
        <v>17.400950000000002</v>
      </c>
      <c r="DC360">
        <v>16.332519999999999</v>
      </c>
      <c r="DD360" t="s">
        <v>125</v>
      </c>
      <c r="DE360">
        <v>0</v>
      </c>
      <c r="DH360" t="s">
        <v>332</v>
      </c>
      <c r="DI360" t="s">
        <v>453</v>
      </c>
      <c r="DJ360">
        <v>0</v>
      </c>
      <c r="DK360">
        <v>0</v>
      </c>
      <c r="DL360">
        <v>1</v>
      </c>
      <c r="DM360">
        <v>0</v>
      </c>
      <c r="DN360">
        <v>1</v>
      </c>
      <c r="DO360">
        <v>0</v>
      </c>
      <c r="DQ360" t="s">
        <v>126</v>
      </c>
    </row>
    <row r="361" spans="1:121" x14ac:dyDescent="0.15">
      <c r="A361">
        <v>2018</v>
      </c>
      <c r="B361" t="s">
        <v>128</v>
      </c>
      <c r="C361" t="str">
        <f>"0390011"</f>
        <v>0390011</v>
      </c>
      <c r="D361" t="s">
        <v>507</v>
      </c>
      <c r="E361" t="str">
        <f>"0390111"</f>
        <v>0390111</v>
      </c>
      <c r="F361" t="s">
        <v>328</v>
      </c>
      <c r="G361" t="s">
        <v>329</v>
      </c>
      <c r="H361">
        <v>8</v>
      </c>
      <c r="J361" t="s">
        <v>331</v>
      </c>
      <c r="K361">
        <v>606.51128600000004</v>
      </c>
      <c r="L361">
        <v>800</v>
      </c>
      <c r="M361">
        <v>75.813911000000004</v>
      </c>
      <c r="N361">
        <v>2</v>
      </c>
      <c r="O361">
        <v>0</v>
      </c>
      <c r="P361">
        <v>71.037477999999993</v>
      </c>
      <c r="Q361">
        <v>47.358317999999997</v>
      </c>
      <c r="R361">
        <v>50</v>
      </c>
      <c r="S361">
        <v>66.263181000000003</v>
      </c>
      <c r="T361">
        <v>75</v>
      </c>
      <c r="U361">
        <v>44.175454000000002</v>
      </c>
      <c r="V361">
        <v>50</v>
      </c>
      <c r="W361">
        <v>69.699123</v>
      </c>
      <c r="X361">
        <v>46.466082</v>
      </c>
      <c r="Y361">
        <v>50</v>
      </c>
      <c r="Z361">
        <v>74.345657000000003</v>
      </c>
      <c r="AA361">
        <v>64.123282000000003</v>
      </c>
      <c r="AB361">
        <v>42.748854999999999</v>
      </c>
      <c r="AC361">
        <v>50</v>
      </c>
      <c r="AD361">
        <v>63.388733000000002</v>
      </c>
      <c r="AE361">
        <v>42.259155</v>
      </c>
      <c r="AF361">
        <v>50</v>
      </c>
      <c r="AG361" t="s">
        <v>125</v>
      </c>
      <c r="AH361">
        <v>66.355951000000005</v>
      </c>
      <c r="AI361" t="s">
        <v>125</v>
      </c>
      <c r="AJ361" t="s">
        <v>125</v>
      </c>
      <c r="AK361">
        <v>8.73</v>
      </c>
      <c r="AL361">
        <v>10.220000000000001</v>
      </c>
      <c r="AM361" t="s">
        <v>125</v>
      </c>
      <c r="AN361">
        <v>0.54137000000000002</v>
      </c>
      <c r="AO361">
        <v>54.137031999999998</v>
      </c>
      <c r="AP361">
        <v>100</v>
      </c>
      <c r="AQ361">
        <v>0.67159500000000005</v>
      </c>
      <c r="AR361">
        <v>67.159508000000002</v>
      </c>
      <c r="AS361">
        <v>100</v>
      </c>
      <c r="AT361">
        <v>0.54813900000000004</v>
      </c>
      <c r="AU361">
        <v>0.53512199999999999</v>
      </c>
      <c r="AV361">
        <v>54.813929000000002</v>
      </c>
      <c r="AW361">
        <v>100</v>
      </c>
      <c r="AX361">
        <v>0.662582</v>
      </c>
      <c r="AY361">
        <v>0.67991500000000005</v>
      </c>
      <c r="AZ361">
        <v>66.258201</v>
      </c>
      <c r="BA361">
        <v>100</v>
      </c>
      <c r="BB361" t="s">
        <v>125</v>
      </c>
      <c r="BC361" t="s">
        <v>125</v>
      </c>
      <c r="BD361" t="s">
        <v>125</v>
      </c>
      <c r="BE361" t="s">
        <v>125</v>
      </c>
      <c r="BF361" t="s">
        <v>125</v>
      </c>
      <c r="BG361" t="s">
        <v>125</v>
      </c>
      <c r="BH361">
        <v>0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 t="s">
        <v>125</v>
      </c>
      <c r="BQ361">
        <v>1</v>
      </c>
      <c r="BR361">
        <v>4.1378999999999999E-2</v>
      </c>
      <c r="BS361">
        <v>50</v>
      </c>
      <c r="BT361">
        <v>50</v>
      </c>
      <c r="BU361">
        <v>4.4776000000000003E-2</v>
      </c>
      <c r="BV361">
        <v>50</v>
      </c>
      <c r="BW361">
        <v>50</v>
      </c>
      <c r="BX361" t="s">
        <v>125</v>
      </c>
      <c r="BY361" t="s">
        <v>125</v>
      </c>
      <c r="BZ361" t="s">
        <v>125</v>
      </c>
      <c r="CA361" t="s">
        <v>125</v>
      </c>
      <c r="CB361" t="s">
        <v>125</v>
      </c>
      <c r="CC361" t="s">
        <v>125</v>
      </c>
      <c r="CD361" t="s">
        <v>125</v>
      </c>
      <c r="CE361" t="s">
        <v>125</v>
      </c>
      <c r="CF361" t="s">
        <v>125</v>
      </c>
      <c r="CG361" t="s">
        <v>125</v>
      </c>
      <c r="CH361" t="s">
        <v>125</v>
      </c>
      <c r="CI361" t="s">
        <v>125</v>
      </c>
      <c r="CJ361" t="s">
        <v>125</v>
      </c>
      <c r="CK361" t="s">
        <v>125</v>
      </c>
      <c r="CL361" t="s">
        <v>125</v>
      </c>
      <c r="CM361" t="s">
        <v>125</v>
      </c>
      <c r="CN361" t="s">
        <v>125</v>
      </c>
      <c r="CO361" t="s">
        <v>125</v>
      </c>
      <c r="CP361" t="s">
        <v>125</v>
      </c>
      <c r="CQ361">
        <v>0.61702100000000004</v>
      </c>
      <c r="CR361">
        <v>0.95918400000000004</v>
      </c>
      <c r="CS361">
        <v>41.134751999999999</v>
      </c>
      <c r="CT361">
        <v>50</v>
      </c>
      <c r="CU361" t="s">
        <v>125</v>
      </c>
      <c r="CV361" t="s">
        <v>125</v>
      </c>
      <c r="CW361" t="s">
        <v>125</v>
      </c>
      <c r="CX361" t="s">
        <v>125</v>
      </c>
      <c r="CY361" t="s">
        <v>125</v>
      </c>
      <c r="CZ361" t="s">
        <v>125</v>
      </c>
      <c r="DA361">
        <v>15.314097</v>
      </c>
      <c r="DB361">
        <v>17.400950000000002</v>
      </c>
      <c r="DC361">
        <v>16.332519999999999</v>
      </c>
      <c r="DD361" t="s">
        <v>125</v>
      </c>
      <c r="DE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Q361" t="s">
        <v>126</v>
      </c>
    </row>
    <row r="362" spans="1:121" x14ac:dyDescent="0.15">
      <c r="A362">
        <v>2018</v>
      </c>
      <c r="B362" t="s">
        <v>136</v>
      </c>
      <c r="C362" t="str">
        <f>"0400011"</f>
        <v>0400011</v>
      </c>
      <c r="D362" t="s">
        <v>508</v>
      </c>
      <c r="E362" t="str">
        <f>"0400111"</f>
        <v>0400111</v>
      </c>
      <c r="F362" t="s">
        <v>328</v>
      </c>
      <c r="G362" t="s">
        <v>329</v>
      </c>
      <c r="H362">
        <v>2</v>
      </c>
      <c r="I362" t="s">
        <v>330</v>
      </c>
      <c r="J362" t="s">
        <v>331</v>
      </c>
      <c r="K362">
        <v>82.984082000000001</v>
      </c>
      <c r="L362">
        <v>100</v>
      </c>
      <c r="M362">
        <v>82.984082000000001</v>
      </c>
      <c r="N362" t="s">
        <v>125</v>
      </c>
      <c r="O362" t="s">
        <v>125</v>
      </c>
      <c r="P362" t="s">
        <v>125</v>
      </c>
      <c r="Q362" t="s">
        <v>125</v>
      </c>
      <c r="R362" t="s">
        <v>125</v>
      </c>
      <c r="S362" t="s">
        <v>125</v>
      </c>
      <c r="T362" t="s">
        <v>125</v>
      </c>
      <c r="U362" t="s">
        <v>125</v>
      </c>
      <c r="V362" t="s">
        <v>125</v>
      </c>
      <c r="W362" t="s">
        <v>125</v>
      </c>
      <c r="X362" t="s">
        <v>125</v>
      </c>
      <c r="Y362" t="s">
        <v>125</v>
      </c>
      <c r="Z362" t="s">
        <v>125</v>
      </c>
      <c r="AA362" t="s">
        <v>125</v>
      </c>
      <c r="AB362" t="s">
        <v>125</v>
      </c>
      <c r="AC362" t="s">
        <v>125</v>
      </c>
      <c r="AD362" t="s">
        <v>125</v>
      </c>
      <c r="AE362" t="s">
        <v>125</v>
      </c>
      <c r="AF362" t="s">
        <v>125</v>
      </c>
      <c r="AG362" t="s">
        <v>125</v>
      </c>
      <c r="AH362" t="s">
        <v>125</v>
      </c>
      <c r="AI362" t="s">
        <v>125</v>
      </c>
      <c r="AJ362" t="s">
        <v>125</v>
      </c>
      <c r="AK362" t="s">
        <v>125</v>
      </c>
      <c r="AL362" t="s">
        <v>125</v>
      </c>
      <c r="AM362" t="s">
        <v>125</v>
      </c>
      <c r="AN362" t="s">
        <v>125</v>
      </c>
      <c r="AO362" t="s">
        <v>125</v>
      </c>
      <c r="AP362" t="s">
        <v>125</v>
      </c>
      <c r="AQ362" t="s">
        <v>125</v>
      </c>
      <c r="AR362" t="s">
        <v>125</v>
      </c>
      <c r="AS362" t="s">
        <v>125</v>
      </c>
      <c r="AT362" t="s">
        <v>125</v>
      </c>
      <c r="AU362" t="s">
        <v>125</v>
      </c>
      <c r="AV362" t="s">
        <v>125</v>
      </c>
      <c r="AW362" t="s">
        <v>125</v>
      </c>
      <c r="AX362" t="s">
        <v>125</v>
      </c>
      <c r="AY362" t="s">
        <v>125</v>
      </c>
      <c r="AZ362" t="s">
        <v>125</v>
      </c>
      <c r="BA362" t="s">
        <v>125</v>
      </c>
      <c r="BB362" t="s">
        <v>125</v>
      </c>
      <c r="BC362" t="s">
        <v>125</v>
      </c>
      <c r="BD362" t="s">
        <v>125</v>
      </c>
      <c r="BE362" t="s">
        <v>125</v>
      </c>
      <c r="BF362" t="s">
        <v>125</v>
      </c>
      <c r="BG362" t="s">
        <v>125</v>
      </c>
      <c r="BH362" t="s">
        <v>125</v>
      </c>
      <c r="BI362" t="s">
        <v>125</v>
      </c>
      <c r="BJ362" t="s">
        <v>125</v>
      </c>
      <c r="BK362" t="s">
        <v>125</v>
      </c>
      <c r="BL362" t="s">
        <v>125</v>
      </c>
      <c r="BM362" t="s">
        <v>125</v>
      </c>
      <c r="BN362" t="s">
        <v>125</v>
      </c>
      <c r="BO362" t="s">
        <v>125</v>
      </c>
      <c r="BP362" t="s">
        <v>125</v>
      </c>
      <c r="BQ362" t="s">
        <v>125</v>
      </c>
      <c r="BR362">
        <v>5.4644999999999999E-2</v>
      </c>
      <c r="BS362">
        <v>49.071038000000001</v>
      </c>
      <c r="BT362">
        <v>50</v>
      </c>
      <c r="BU362">
        <v>0.130435</v>
      </c>
      <c r="BV362">
        <v>33.913043000000002</v>
      </c>
      <c r="BW362">
        <v>50</v>
      </c>
      <c r="BX362" t="s">
        <v>125</v>
      </c>
      <c r="BY362" t="s">
        <v>125</v>
      </c>
      <c r="BZ362" t="s">
        <v>125</v>
      </c>
      <c r="CA362" t="s">
        <v>125</v>
      </c>
      <c r="CB362" t="s">
        <v>125</v>
      </c>
      <c r="CC362" t="s">
        <v>125</v>
      </c>
      <c r="CD362" t="s">
        <v>125</v>
      </c>
      <c r="CE362" t="s">
        <v>125</v>
      </c>
      <c r="CF362" t="s">
        <v>125</v>
      </c>
      <c r="CG362" t="s">
        <v>125</v>
      </c>
      <c r="CH362" t="s">
        <v>125</v>
      </c>
      <c r="CI362" t="s">
        <v>125</v>
      </c>
      <c r="CJ362" t="s">
        <v>125</v>
      </c>
      <c r="CK362" t="s">
        <v>125</v>
      </c>
      <c r="CL362" t="s">
        <v>125</v>
      </c>
      <c r="CM362" t="s">
        <v>125</v>
      </c>
      <c r="CN362" t="s">
        <v>125</v>
      </c>
      <c r="CO362" t="s">
        <v>125</v>
      </c>
      <c r="CP362" t="s">
        <v>125</v>
      </c>
      <c r="CQ362" t="s">
        <v>125</v>
      </c>
      <c r="CR362" t="s">
        <v>125</v>
      </c>
      <c r="CS362" t="s">
        <v>125</v>
      </c>
      <c r="CT362" t="s">
        <v>125</v>
      </c>
      <c r="CU362" t="s">
        <v>125</v>
      </c>
      <c r="CV362" t="s">
        <v>125</v>
      </c>
      <c r="CW362" t="s">
        <v>125</v>
      </c>
      <c r="CX362" t="s">
        <v>125</v>
      </c>
      <c r="CY362" t="s">
        <v>125</v>
      </c>
      <c r="CZ362" t="s">
        <v>125</v>
      </c>
      <c r="DA362" t="s">
        <v>125</v>
      </c>
      <c r="DB362" t="s">
        <v>125</v>
      </c>
      <c r="DC362" t="s">
        <v>125</v>
      </c>
      <c r="DD362" t="s">
        <v>125</v>
      </c>
      <c r="DE362" t="s">
        <v>125</v>
      </c>
      <c r="DJ362" t="s">
        <v>125</v>
      </c>
      <c r="DK362" t="s">
        <v>125</v>
      </c>
      <c r="DL362" t="s">
        <v>125</v>
      </c>
      <c r="DM362" t="s">
        <v>125</v>
      </c>
      <c r="DN362" t="s">
        <v>125</v>
      </c>
      <c r="DO362" t="s">
        <v>125</v>
      </c>
      <c r="DQ362" t="s">
        <v>126</v>
      </c>
    </row>
    <row r="363" spans="1:121" x14ac:dyDescent="0.15">
      <c r="A363">
        <v>2018</v>
      </c>
      <c r="B363" t="s">
        <v>136</v>
      </c>
      <c r="C363" t="str">
        <f>"0400011"</f>
        <v>0400011</v>
      </c>
      <c r="D363" t="s">
        <v>509</v>
      </c>
      <c r="E363" t="str">
        <f>"0406111"</f>
        <v>0406111</v>
      </c>
      <c r="F363" t="s">
        <v>328</v>
      </c>
      <c r="G363">
        <v>9</v>
      </c>
      <c r="H363">
        <v>12</v>
      </c>
      <c r="J363" t="s">
        <v>331</v>
      </c>
      <c r="K363">
        <v>823.81552699999997</v>
      </c>
      <c r="L363">
        <v>950</v>
      </c>
      <c r="M363">
        <v>86.717423999999994</v>
      </c>
      <c r="N363">
        <v>1</v>
      </c>
      <c r="O363">
        <v>0</v>
      </c>
      <c r="P363">
        <v>66</v>
      </c>
      <c r="Q363">
        <v>132</v>
      </c>
      <c r="R363">
        <v>150</v>
      </c>
      <c r="S363" t="s">
        <v>125</v>
      </c>
      <c r="T363">
        <v>69.807692000000003</v>
      </c>
      <c r="U363" t="s">
        <v>125</v>
      </c>
      <c r="V363" t="s">
        <v>125</v>
      </c>
      <c r="W363">
        <v>58.309224</v>
      </c>
      <c r="X363">
        <v>116.618449</v>
      </c>
      <c r="Y363">
        <v>150</v>
      </c>
      <c r="Z363">
        <v>63.179487000000002</v>
      </c>
      <c r="AA363" t="s">
        <v>125</v>
      </c>
      <c r="AB363" t="s">
        <v>125</v>
      </c>
      <c r="AC363" t="s">
        <v>125</v>
      </c>
      <c r="AD363">
        <v>67.875996999999998</v>
      </c>
      <c r="AE363">
        <v>90.501328999999998</v>
      </c>
      <c r="AF363">
        <v>100</v>
      </c>
      <c r="AG363" t="s">
        <v>125</v>
      </c>
      <c r="AH363">
        <v>69.270269999999996</v>
      </c>
      <c r="AI363" t="s">
        <v>125</v>
      </c>
      <c r="AJ363" t="s">
        <v>125</v>
      </c>
      <c r="AK363" t="s">
        <v>125</v>
      </c>
      <c r="AL363" t="s">
        <v>125</v>
      </c>
      <c r="AM363" t="s">
        <v>125</v>
      </c>
      <c r="AN363" t="s">
        <v>125</v>
      </c>
      <c r="AO363" t="s">
        <v>125</v>
      </c>
      <c r="AP363" t="s">
        <v>125</v>
      </c>
      <c r="AQ363" t="s">
        <v>125</v>
      </c>
      <c r="AR363" t="s">
        <v>125</v>
      </c>
      <c r="AS363" t="s">
        <v>125</v>
      </c>
      <c r="AT363" t="s">
        <v>125</v>
      </c>
      <c r="AU363" t="s">
        <v>125</v>
      </c>
      <c r="AV363" t="s">
        <v>125</v>
      </c>
      <c r="AW363" t="s">
        <v>125</v>
      </c>
      <c r="AX363" t="s">
        <v>125</v>
      </c>
      <c r="AY363" t="s">
        <v>125</v>
      </c>
      <c r="AZ363" t="s">
        <v>125</v>
      </c>
      <c r="BA363" t="s">
        <v>125</v>
      </c>
      <c r="BB363" t="s">
        <v>125</v>
      </c>
      <c r="BC363" t="s">
        <v>125</v>
      </c>
      <c r="BD363" t="s">
        <v>125</v>
      </c>
      <c r="BE363" t="s">
        <v>125</v>
      </c>
      <c r="BF363" t="s">
        <v>125</v>
      </c>
      <c r="BG363" t="s">
        <v>125</v>
      </c>
      <c r="BH363">
        <v>0</v>
      </c>
      <c r="BI363">
        <v>1</v>
      </c>
      <c r="BJ363" t="s">
        <v>125</v>
      </c>
      <c r="BK363">
        <v>1</v>
      </c>
      <c r="BL363">
        <v>1</v>
      </c>
      <c r="BM363" t="s">
        <v>125</v>
      </c>
      <c r="BN363">
        <v>1</v>
      </c>
      <c r="BO363">
        <v>0.981132</v>
      </c>
      <c r="BP363" t="s">
        <v>125</v>
      </c>
      <c r="BQ363">
        <v>0.97435899999999998</v>
      </c>
      <c r="BR363">
        <v>6.4884999999999998E-2</v>
      </c>
      <c r="BS363">
        <v>47.022900999999997</v>
      </c>
      <c r="BT363">
        <v>50</v>
      </c>
      <c r="BU363">
        <v>0.16666700000000001</v>
      </c>
      <c r="BV363">
        <v>26.666667</v>
      </c>
      <c r="BW363">
        <v>50</v>
      </c>
      <c r="BX363">
        <v>0.922481</v>
      </c>
      <c r="BY363">
        <v>50</v>
      </c>
      <c r="BZ363">
        <v>50</v>
      </c>
      <c r="CA363">
        <v>0.55813999999999997</v>
      </c>
      <c r="CB363">
        <v>37.209302000000001</v>
      </c>
      <c r="CC363">
        <v>50</v>
      </c>
      <c r="CD363">
        <v>0.98461500000000002</v>
      </c>
      <c r="CE363">
        <v>50</v>
      </c>
      <c r="CF363">
        <v>50</v>
      </c>
      <c r="CG363">
        <v>0.96551699999999996</v>
      </c>
      <c r="CH363">
        <v>100</v>
      </c>
      <c r="CI363">
        <v>100</v>
      </c>
      <c r="CJ363">
        <v>0</v>
      </c>
      <c r="CK363" t="s">
        <v>125</v>
      </c>
      <c r="CL363" t="s">
        <v>125</v>
      </c>
      <c r="CM363" t="s">
        <v>125</v>
      </c>
      <c r="CN363">
        <v>0.84210499999999999</v>
      </c>
      <c r="CO363">
        <v>100</v>
      </c>
      <c r="CP363">
        <v>100</v>
      </c>
      <c r="CQ363">
        <v>0.39130399999999999</v>
      </c>
      <c r="CR363">
        <v>1.0147060000000001</v>
      </c>
      <c r="CS363">
        <v>26.086957000000002</v>
      </c>
      <c r="CT363">
        <v>50</v>
      </c>
      <c r="CU363">
        <v>0.572519</v>
      </c>
      <c r="CV363">
        <v>47.709924000000001</v>
      </c>
      <c r="CW363">
        <v>50</v>
      </c>
      <c r="CX363" t="s">
        <v>125</v>
      </c>
      <c r="CY363" t="s">
        <v>125</v>
      </c>
      <c r="CZ363" t="s">
        <v>125</v>
      </c>
      <c r="DA363">
        <v>15.314097</v>
      </c>
      <c r="DB363">
        <v>17.400950000000002</v>
      </c>
      <c r="DC363">
        <v>16.332519999999999</v>
      </c>
      <c r="DD363">
        <v>7.9891730000000001</v>
      </c>
      <c r="DE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Q363" t="s">
        <v>126</v>
      </c>
    </row>
    <row r="364" spans="1:121" x14ac:dyDescent="0.15">
      <c r="A364">
        <v>2018</v>
      </c>
      <c r="B364" t="s">
        <v>136</v>
      </c>
      <c r="C364" t="str">
        <f>"0400011"</f>
        <v>0400011</v>
      </c>
      <c r="D364" t="s">
        <v>510</v>
      </c>
      <c r="E364" t="str">
        <f>"0405111"</f>
        <v>0405111</v>
      </c>
      <c r="F364" t="s">
        <v>328</v>
      </c>
      <c r="G364">
        <v>6</v>
      </c>
      <c r="H364">
        <v>8</v>
      </c>
      <c r="J364" t="s">
        <v>331</v>
      </c>
      <c r="K364">
        <v>651.87536699999998</v>
      </c>
      <c r="L364">
        <v>850</v>
      </c>
      <c r="M364">
        <v>76.691220000000001</v>
      </c>
      <c r="N364">
        <v>2</v>
      </c>
      <c r="O364">
        <v>0</v>
      </c>
      <c r="P364">
        <v>78.120560999999995</v>
      </c>
      <c r="Q364">
        <v>50</v>
      </c>
      <c r="R364">
        <v>50</v>
      </c>
      <c r="S364">
        <v>65.119349999999997</v>
      </c>
      <c r="T364">
        <v>75</v>
      </c>
      <c r="U364">
        <v>43.4129</v>
      </c>
      <c r="V364">
        <v>50</v>
      </c>
      <c r="W364">
        <v>72.412946000000005</v>
      </c>
      <c r="X364">
        <v>48.275297000000002</v>
      </c>
      <c r="Y364">
        <v>50</v>
      </c>
      <c r="Z364">
        <v>75</v>
      </c>
      <c r="AA364">
        <v>58.981354000000003</v>
      </c>
      <c r="AB364">
        <v>39.320903000000001</v>
      </c>
      <c r="AC364">
        <v>50</v>
      </c>
      <c r="AD364">
        <v>78.357821000000001</v>
      </c>
      <c r="AE364">
        <v>50</v>
      </c>
      <c r="AF364">
        <v>50</v>
      </c>
      <c r="AG364" t="s">
        <v>125</v>
      </c>
      <c r="AH364">
        <v>75</v>
      </c>
      <c r="AI364" t="s">
        <v>125</v>
      </c>
      <c r="AJ364" t="s">
        <v>125</v>
      </c>
      <c r="AK364">
        <v>9.8800000000000008</v>
      </c>
      <c r="AL364">
        <v>16.010000000000002</v>
      </c>
      <c r="AM364" t="s">
        <v>125</v>
      </c>
      <c r="AN364">
        <v>0.67154999999999998</v>
      </c>
      <c r="AO364">
        <v>67.154973999999996</v>
      </c>
      <c r="AP364">
        <v>100</v>
      </c>
      <c r="AQ364">
        <v>0.600773</v>
      </c>
      <c r="AR364">
        <v>60.077298999999996</v>
      </c>
      <c r="AS364">
        <v>100</v>
      </c>
      <c r="AT364">
        <v>0.57871899999999998</v>
      </c>
      <c r="AU364">
        <v>0.70427399999999996</v>
      </c>
      <c r="AV364">
        <v>57.871898000000002</v>
      </c>
      <c r="AW364">
        <v>100</v>
      </c>
      <c r="AX364">
        <v>0.52265600000000001</v>
      </c>
      <c r="AY364">
        <v>0.627749</v>
      </c>
      <c r="AZ364">
        <v>52.265593000000003</v>
      </c>
      <c r="BA364">
        <v>100</v>
      </c>
      <c r="BB364" t="s">
        <v>125</v>
      </c>
      <c r="BC364" t="s">
        <v>125</v>
      </c>
      <c r="BD364" t="s">
        <v>125</v>
      </c>
      <c r="BE364" t="s">
        <v>125</v>
      </c>
      <c r="BF364" t="s">
        <v>125</v>
      </c>
      <c r="BG364" t="s">
        <v>125</v>
      </c>
      <c r="BH364">
        <v>0</v>
      </c>
      <c r="BI364">
        <v>0.99497500000000005</v>
      </c>
      <c r="BJ364">
        <v>1</v>
      </c>
      <c r="BK364">
        <v>0.99295800000000001</v>
      </c>
      <c r="BL364">
        <v>0.995</v>
      </c>
      <c r="BM364">
        <v>1</v>
      </c>
      <c r="BN364">
        <v>0.99300699999999997</v>
      </c>
      <c r="BO364">
        <v>0.98630099999999998</v>
      </c>
      <c r="BP364" t="s">
        <v>125</v>
      </c>
      <c r="BQ364">
        <v>0.98181799999999997</v>
      </c>
      <c r="BR364">
        <v>0.05</v>
      </c>
      <c r="BS364">
        <v>50</v>
      </c>
      <c r="BT364">
        <v>50</v>
      </c>
      <c r="BU364">
        <v>0.127273</v>
      </c>
      <c r="BV364">
        <v>34.545454999999997</v>
      </c>
      <c r="BW364">
        <v>50</v>
      </c>
      <c r="BX364" t="s">
        <v>125</v>
      </c>
      <c r="BY364" t="s">
        <v>125</v>
      </c>
      <c r="BZ364" t="s">
        <v>125</v>
      </c>
      <c r="CA364" t="s">
        <v>125</v>
      </c>
      <c r="CB364" t="s">
        <v>125</v>
      </c>
      <c r="CC364" t="s">
        <v>125</v>
      </c>
      <c r="CD364">
        <v>0.98305100000000001</v>
      </c>
      <c r="CE364">
        <v>50</v>
      </c>
      <c r="CF364">
        <v>50</v>
      </c>
      <c r="CG364" t="s">
        <v>125</v>
      </c>
      <c r="CH364" t="s">
        <v>125</v>
      </c>
      <c r="CI364" t="s">
        <v>125</v>
      </c>
      <c r="CJ364" t="s">
        <v>125</v>
      </c>
      <c r="CK364" t="s">
        <v>125</v>
      </c>
      <c r="CL364" t="s">
        <v>125</v>
      </c>
      <c r="CM364" t="s">
        <v>125</v>
      </c>
      <c r="CN364" t="s">
        <v>125</v>
      </c>
      <c r="CO364" t="s">
        <v>125</v>
      </c>
      <c r="CP364" t="s">
        <v>125</v>
      </c>
      <c r="CQ364">
        <v>0.73426599999999997</v>
      </c>
      <c r="CR364">
        <v>1</v>
      </c>
      <c r="CS364">
        <v>48.951048999999998</v>
      </c>
      <c r="CT364">
        <v>50</v>
      </c>
      <c r="CU364" t="s">
        <v>125</v>
      </c>
      <c r="CV364" t="s">
        <v>125</v>
      </c>
      <c r="CW364" t="s">
        <v>125</v>
      </c>
      <c r="CX364" t="s">
        <v>125</v>
      </c>
      <c r="CY364" t="s">
        <v>125</v>
      </c>
      <c r="CZ364" t="s">
        <v>125</v>
      </c>
      <c r="DA364">
        <v>15.314097</v>
      </c>
      <c r="DB364">
        <v>17.400950000000002</v>
      </c>
      <c r="DC364">
        <v>16.332519999999999</v>
      </c>
      <c r="DD364" t="s">
        <v>125</v>
      </c>
      <c r="DE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Q364" t="s">
        <v>126</v>
      </c>
    </row>
    <row r="365" spans="1:121" x14ac:dyDescent="0.15">
      <c r="A365">
        <v>2018</v>
      </c>
      <c r="B365" t="s">
        <v>136</v>
      </c>
      <c r="C365" t="str">
        <f>"0400011"</f>
        <v>0400011</v>
      </c>
      <c r="D365" t="s">
        <v>511</v>
      </c>
      <c r="E365" t="str">
        <f>"0400211"</f>
        <v>0400211</v>
      </c>
      <c r="F365" t="s">
        <v>328</v>
      </c>
      <c r="G365">
        <v>3</v>
      </c>
      <c r="H365">
        <v>5</v>
      </c>
      <c r="I365" t="s">
        <v>330</v>
      </c>
      <c r="J365" t="s">
        <v>331</v>
      </c>
      <c r="K365">
        <v>728.85201099999995</v>
      </c>
      <c r="L365">
        <v>850</v>
      </c>
      <c r="M365">
        <v>85.747294999999994</v>
      </c>
      <c r="N365">
        <v>1</v>
      </c>
      <c r="O365">
        <v>0</v>
      </c>
      <c r="P365">
        <v>79.013598000000002</v>
      </c>
      <c r="Q365">
        <v>50</v>
      </c>
      <c r="R365">
        <v>50</v>
      </c>
      <c r="S365">
        <v>70.500415000000004</v>
      </c>
      <c r="T365">
        <v>75</v>
      </c>
      <c r="U365">
        <v>47.000275999999999</v>
      </c>
      <c r="V365">
        <v>50</v>
      </c>
      <c r="W365">
        <v>77.595961000000003</v>
      </c>
      <c r="X365">
        <v>50</v>
      </c>
      <c r="Y365">
        <v>50</v>
      </c>
      <c r="Z365">
        <v>75</v>
      </c>
      <c r="AA365">
        <v>65.341316000000006</v>
      </c>
      <c r="AB365">
        <v>43.560876999999998</v>
      </c>
      <c r="AC365">
        <v>50</v>
      </c>
      <c r="AD365">
        <v>85.646859000000006</v>
      </c>
      <c r="AE365">
        <v>50</v>
      </c>
      <c r="AF365">
        <v>50</v>
      </c>
      <c r="AG365">
        <v>78.605222999999995</v>
      </c>
      <c r="AH365">
        <v>75</v>
      </c>
      <c r="AI365">
        <v>50</v>
      </c>
      <c r="AJ365">
        <v>50</v>
      </c>
      <c r="AK365">
        <v>4.49</v>
      </c>
      <c r="AL365">
        <v>9.65</v>
      </c>
      <c r="AM365">
        <v>-3.6</v>
      </c>
      <c r="AN365">
        <v>0.78613100000000002</v>
      </c>
      <c r="AO365">
        <v>78.613117000000003</v>
      </c>
      <c r="AP365">
        <v>100</v>
      </c>
      <c r="AQ365">
        <v>0.86772099999999996</v>
      </c>
      <c r="AR365">
        <v>86.772063000000003</v>
      </c>
      <c r="AS365">
        <v>100</v>
      </c>
      <c r="AT365">
        <v>0.74525300000000005</v>
      </c>
      <c r="AU365">
        <v>0.80110700000000001</v>
      </c>
      <c r="AV365">
        <v>74.525250999999997</v>
      </c>
      <c r="AW365">
        <v>100</v>
      </c>
      <c r="AX365">
        <v>0.75939000000000001</v>
      </c>
      <c r="AY365">
        <v>0.90633399999999997</v>
      </c>
      <c r="AZ365">
        <v>75.939004999999995</v>
      </c>
      <c r="BA365">
        <v>100</v>
      </c>
      <c r="BB365" t="s">
        <v>125</v>
      </c>
      <c r="BC365" t="s">
        <v>125</v>
      </c>
      <c r="BD365" t="s">
        <v>125</v>
      </c>
      <c r="BE365" t="s">
        <v>125</v>
      </c>
      <c r="BF365" t="s">
        <v>125</v>
      </c>
      <c r="BG365" t="s">
        <v>125</v>
      </c>
      <c r="BH365">
        <v>0</v>
      </c>
      <c r="BI365">
        <v>0.99489799999999995</v>
      </c>
      <c r="BJ365">
        <v>1</v>
      </c>
      <c r="BK365">
        <v>0.99242399999999997</v>
      </c>
      <c r="BL365">
        <v>0.98979600000000001</v>
      </c>
      <c r="BM365">
        <v>0.984375</v>
      </c>
      <c r="BN365">
        <v>0.99242399999999997</v>
      </c>
      <c r="BO365">
        <v>1</v>
      </c>
      <c r="BP365">
        <v>1</v>
      </c>
      <c r="BQ365">
        <v>1</v>
      </c>
      <c r="BR365">
        <v>5.1020000000000003E-2</v>
      </c>
      <c r="BS365">
        <v>49.795918</v>
      </c>
      <c r="BT365">
        <v>50</v>
      </c>
      <c r="BU365">
        <v>0.11666700000000001</v>
      </c>
      <c r="BV365">
        <v>36.666666999999997</v>
      </c>
      <c r="BW365">
        <v>50</v>
      </c>
      <c r="BX365" t="s">
        <v>125</v>
      </c>
      <c r="BY365" t="s">
        <v>125</v>
      </c>
      <c r="BZ365" t="s">
        <v>125</v>
      </c>
      <c r="CA365" t="s">
        <v>125</v>
      </c>
      <c r="CB365" t="s">
        <v>125</v>
      </c>
      <c r="CC365" t="s">
        <v>125</v>
      </c>
      <c r="CD365" t="s">
        <v>125</v>
      </c>
      <c r="CE365" t="s">
        <v>125</v>
      </c>
      <c r="CF365" t="s">
        <v>125</v>
      </c>
      <c r="CG365" t="s">
        <v>125</v>
      </c>
      <c r="CH365" t="s">
        <v>125</v>
      </c>
      <c r="CI365" t="s">
        <v>125</v>
      </c>
      <c r="CJ365" t="s">
        <v>125</v>
      </c>
      <c r="CK365" t="s">
        <v>125</v>
      </c>
      <c r="CL365" t="s">
        <v>125</v>
      </c>
      <c r="CM365" t="s">
        <v>125</v>
      </c>
      <c r="CN365" t="s">
        <v>125</v>
      </c>
      <c r="CO365" t="s">
        <v>125</v>
      </c>
      <c r="CP365" t="s">
        <v>125</v>
      </c>
      <c r="CQ365">
        <v>0.53968300000000002</v>
      </c>
      <c r="CR365">
        <v>0.95454499999999998</v>
      </c>
      <c r="CS365">
        <v>35.978836000000001</v>
      </c>
      <c r="CT365">
        <v>50</v>
      </c>
      <c r="CU365" t="s">
        <v>125</v>
      </c>
      <c r="CV365" t="s">
        <v>125</v>
      </c>
      <c r="CW365" t="s">
        <v>125</v>
      </c>
      <c r="CX365" t="s">
        <v>125</v>
      </c>
      <c r="CY365" t="s">
        <v>125</v>
      </c>
      <c r="CZ365" t="s">
        <v>125</v>
      </c>
      <c r="DA365">
        <v>15.314097</v>
      </c>
      <c r="DB365">
        <v>17.400950000000002</v>
      </c>
      <c r="DC365">
        <v>16.332519999999999</v>
      </c>
      <c r="DD365" t="s">
        <v>125</v>
      </c>
      <c r="DE365">
        <v>0</v>
      </c>
      <c r="DH365" t="s">
        <v>332</v>
      </c>
      <c r="DI365" t="s">
        <v>512</v>
      </c>
      <c r="DJ365">
        <v>0</v>
      </c>
      <c r="DK365">
        <v>1</v>
      </c>
      <c r="DL365">
        <v>1</v>
      </c>
      <c r="DM365">
        <v>1</v>
      </c>
      <c r="DN365">
        <v>0</v>
      </c>
      <c r="DO365">
        <v>0</v>
      </c>
      <c r="DQ365" t="s">
        <v>126</v>
      </c>
    </row>
    <row r="366" spans="1:121" x14ac:dyDescent="0.15">
      <c r="A366">
        <v>2018</v>
      </c>
      <c r="B366" t="s">
        <v>129</v>
      </c>
      <c r="C366" t="str">
        <f>"0410011"</f>
        <v>0410011</v>
      </c>
      <c r="D366" t="s">
        <v>513</v>
      </c>
      <c r="E366" t="str">
        <f>"0410111"</f>
        <v>0410111</v>
      </c>
      <c r="F366" t="s">
        <v>328</v>
      </c>
      <c r="G366" t="s">
        <v>329</v>
      </c>
      <c r="H366">
        <v>3</v>
      </c>
      <c r="J366" t="s">
        <v>331</v>
      </c>
      <c r="K366">
        <v>455.18487800000003</v>
      </c>
      <c r="L366">
        <v>500</v>
      </c>
      <c r="M366">
        <v>91.036975999999996</v>
      </c>
      <c r="N366">
        <v>1</v>
      </c>
      <c r="O366">
        <v>0</v>
      </c>
      <c r="P366">
        <v>75.225436000000002</v>
      </c>
      <c r="Q366">
        <v>100</v>
      </c>
      <c r="R366">
        <v>100</v>
      </c>
      <c r="S366">
        <v>67.886431000000002</v>
      </c>
      <c r="T366">
        <v>75</v>
      </c>
      <c r="U366">
        <v>90.515242000000001</v>
      </c>
      <c r="V366">
        <v>100</v>
      </c>
      <c r="W366">
        <v>70.238603999999995</v>
      </c>
      <c r="X366">
        <v>93.651471999999998</v>
      </c>
      <c r="Y366">
        <v>100</v>
      </c>
      <c r="Z366">
        <v>75</v>
      </c>
      <c r="AA366">
        <v>61.280864000000001</v>
      </c>
      <c r="AB366">
        <v>81.707819000000001</v>
      </c>
      <c r="AC366">
        <v>100</v>
      </c>
      <c r="AD366" t="s">
        <v>125</v>
      </c>
      <c r="AE366" t="s">
        <v>125</v>
      </c>
      <c r="AF366" t="s">
        <v>125</v>
      </c>
      <c r="AG366" t="s">
        <v>125</v>
      </c>
      <c r="AH366" t="s">
        <v>125</v>
      </c>
      <c r="AI366" t="s">
        <v>125</v>
      </c>
      <c r="AJ366" t="s">
        <v>125</v>
      </c>
      <c r="AK366">
        <v>7.11</v>
      </c>
      <c r="AL366">
        <v>13.71</v>
      </c>
      <c r="AM366" t="s">
        <v>125</v>
      </c>
      <c r="AN366" t="s">
        <v>125</v>
      </c>
      <c r="AO366" t="s">
        <v>125</v>
      </c>
      <c r="AP366" t="s">
        <v>125</v>
      </c>
      <c r="AQ366" t="s">
        <v>125</v>
      </c>
      <c r="AR366" t="s">
        <v>125</v>
      </c>
      <c r="AS366" t="s">
        <v>125</v>
      </c>
      <c r="AT366" t="s">
        <v>125</v>
      </c>
      <c r="AU366" t="s">
        <v>125</v>
      </c>
      <c r="AV366" t="s">
        <v>125</v>
      </c>
      <c r="AW366" t="s">
        <v>125</v>
      </c>
      <c r="AX366" t="s">
        <v>125</v>
      </c>
      <c r="AY366" t="s">
        <v>125</v>
      </c>
      <c r="AZ366" t="s">
        <v>125</v>
      </c>
      <c r="BA366" t="s">
        <v>125</v>
      </c>
      <c r="BB366" t="s">
        <v>125</v>
      </c>
      <c r="BC366" t="s">
        <v>125</v>
      </c>
      <c r="BD366" t="s">
        <v>125</v>
      </c>
      <c r="BE366" t="s">
        <v>125</v>
      </c>
      <c r="BF366" t="s">
        <v>125</v>
      </c>
      <c r="BG366" t="s">
        <v>125</v>
      </c>
      <c r="BH366">
        <v>0</v>
      </c>
      <c r="BI366">
        <v>0.98765400000000003</v>
      </c>
      <c r="BJ366">
        <v>1</v>
      </c>
      <c r="BK366">
        <v>0.97959200000000002</v>
      </c>
      <c r="BL366">
        <v>0.97530899999999998</v>
      </c>
      <c r="BM366">
        <v>0.96875</v>
      </c>
      <c r="BN366">
        <v>0.97959200000000002</v>
      </c>
      <c r="BO366" t="s">
        <v>125</v>
      </c>
      <c r="BP366" t="s">
        <v>125</v>
      </c>
      <c r="BQ366" t="s">
        <v>125</v>
      </c>
      <c r="BR366">
        <v>3.8061999999999999E-2</v>
      </c>
      <c r="BS366">
        <v>50</v>
      </c>
      <c r="BT366">
        <v>50</v>
      </c>
      <c r="BU366">
        <v>0.103448</v>
      </c>
      <c r="BV366">
        <v>39.310344999999998</v>
      </c>
      <c r="BW366">
        <v>50</v>
      </c>
      <c r="BX366" t="s">
        <v>125</v>
      </c>
      <c r="BY366" t="s">
        <v>125</v>
      </c>
      <c r="BZ366" t="s">
        <v>125</v>
      </c>
      <c r="CA366" t="s">
        <v>125</v>
      </c>
      <c r="CB366" t="s">
        <v>125</v>
      </c>
      <c r="CC366" t="s">
        <v>125</v>
      </c>
      <c r="CD366" t="s">
        <v>125</v>
      </c>
      <c r="CE366" t="s">
        <v>125</v>
      </c>
      <c r="CF366" t="s">
        <v>125</v>
      </c>
      <c r="CG366" t="s">
        <v>125</v>
      </c>
      <c r="CH366" t="s">
        <v>125</v>
      </c>
      <c r="CI366" t="s">
        <v>125</v>
      </c>
      <c r="CJ366" t="s">
        <v>125</v>
      </c>
      <c r="CK366" t="s">
        <v>125</v>
      </c>
      <c r="CL366" t="s">
        <v>125</v>
      </c>
      <c r="CM366" t="s">
        <v>125</v>
      </c>
      <c r="CN366" t="s">
        <v>125</v>
      </c>
      <c r="CO366" t="s">
        <v>125</v>
      </c>
      <c r="CP366" t="s">
        <v>125</v>
      </c>
      <c r="CQ366" t="s">
        <v>125</v>
      </c>
      <c r="CR366" t="s">
        <v>125</v>
      </c>
      <c r="CS366" t="s">
        <v>125</v>
      </c>
      <c r="CT366" t="s">
        <v>125</v>
      </c>
      <c r="CU366" t="s">
        <v>125</v>
      </c>
      <c r="CV366" t="s">
        <v>125</v>
      </c>
      <c r="CW366" t="s">
        <v>125</v>
      </c>
      <c r="CX366" t="s">
        <v>125</v>
      </c>
      <c r="CY366" t="s">
        <v>125</v>
      </c>
      <c r="CZ366" t="s">
        <v>125</v>
      </c>
      <c r="DA366">
        <v>15.314097</v>
      </c>
      <c r="DB366">
        <v>17.400950000000002</v>
      </c>
      <c r="DC366">
        <v>16.332519999999999</v>
      </c>
      <c r="DD366" t="s">
        <v>125</v>
      </c>
      <c r="DE366">
        <v>0</v>
      </c>
      <c r="DH366" t="s">
        <v>332</v>
      </c>
      <c r="DI366" t="s">
        <v>333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Q366" t="s">
        <v>126</v>
      </c>
    </row>
    <row r="367" spans="1:121" x14ac:dyDescent="0.15">
      <c r="A367">
        <v>2018</v>
      </c>
      <c r="B367" t="s">
        <v>129</v>
      </c>
      <c r="C367" t="str">
        <f>"0410011"</f>
        <v>0410011</v>
      </c>
      <c r="D367" t="s">
        <v>514</v>
      </c>
      <c r="E367" t="str">
        <f>"0416111"</f>
        <v>0416111</v>
      </c>
      <c r="F367" t="s">
        <v>328</v>
      </c>
      <c r="G367">
        <v>9</v>
      </c>
      <c r="H367">
        <v>12</v>
      </c>
      <c r="I367" t="s">
        <v>330</v>
      </c>
      <c r="J367" t="s">
        <v>331</v>
      </c>
      <c r="K367">
        <v>1180.319358</v>
      </c>
      <c r="L367">
        <v>1450</v>
      </c>
      <c r="M367">
        <v>81.401335000000003</v>
      </c>
      <c r="N367">
        <v>2</v>
      </c>
      <c r="O367">
        <v>0</v>
      </c>
      <c r="P367">
        <v>62.272221999999999</v>
      </c>
      <c r="Q367">
        <v>124.544444</v>
      </c>
      <c r="R367">
        <v>150</v>
      </c>
      <c r="S367">
        <v>54.592593000000001</v>
      </c>
      <c r="T367">
        <v>65.005650000000003</v>
      </c>
      <c r="U367">
        <v>109.185185</v>
      </c>
      <c r="V367">
        <v>150</v>
      </c>
      <c r="W367">
        <v>56.978471999999996</v>
      </c>
      <c r="X367">
        <v>113.95694399999999</v>
      </c>
      <c r="Y367">
        <v>150</v>
      </c>
      <c r="Z367">
        <v>60.344633000000002</v>
      </c>
      <c r="AA367">
        <v>47.521163999999999</v>
      </c>
      <c r="AB367">
        <v>95.042327999999998</v>
      </c>
      <c r="AC367">
        <v>150</v>
      </c>
      <c r="AD367">
        <v>56.276941000000001</v>
      </c>
      <c r="AE367">
        <v>75.035921999999999</v>
      </c>
      <c r="AF367">
        <v>100</v>
      </c>
      <c r="AG367">
        <v>53.438164999999998</v>
      </c>
      <c r="AH367">
        <v>57.270513000000001</v>
      </c>
      <c r="AI367">
        <v>71.250887000000006</v>
      </c>
      <c r="AJ367">
        <v>100</v>
      </c>
      <c r="AK367">
        <v>10.41</v>
      </c>
      <c r="AL367">
        <v>12.82</v>
      </c>
      <c r="AM367">
        <v>3.83</v>
      </c>
      <c r="AN367" t="s">
        <v>125</v>
      </c>
      <c r="AO367" t="s">
        <v>125</v>
      </c>
      <c r="AP367" t="s">
        <v>125</v>
      </c>
      <c r="AQ367" t="s">
        <v>125</v>
      </c>
      <c r="AR367" t="s">
        <v>125</v>
      </c>
      <c r="AS367" t="s">
        <v>125</v>
      </c>
      <c r="AT367" t="s">
        <v>125</v>
      </c>
      <c r="AU367" t="s">
        <v>125</v>
      </c>
      <c r="AV367" t="s">
        <v>125</v>
      </c>
      <c r="AW367" t="s">
        <v>125</v>
      </c>
      <c r="AX367" t="s">
        <v>125</v>
      </c>
      <c r="AY367" t="s">
        <v>125</v>
      </c>
      <c r="AZ367" t="s">
        <v>125</v>
      </c>
      <c r="BA367" t="s">
        <v>125</v>
      </c>
      <c r="BB367" t="s">
        <v>125</v>
      </c>
      <c r="BC367" t="s">
        <v>125</v>
      </c>
      <c r="BD367" t="s">
        <v>125</v>
      </c>
      <c r="BE367" t="s">
        <v>125</v>
      </c>
      <c r="BF367" t="s">
        <v>125</v>
      </c>
      <c r="BG367" t="s">
        <v>125</v>
      </c>
      <c r="BH367">
        <v>0</v>
      </c>
      <c r="BI367">
        <v>0.98765400000000003</v>
      </c>
      <c r="BJ367">
        <v>1</v>
      </c>
      <c r="BK367">
        <v>0.98333300000000001</v>
      </c>
      <c r="BL367">
        <v>0.98765400000000003</v>
      </c>
      <c r="BM367">
        <v>1</v>
      </c>
      <c r="BN367">
        <v>0.98333300000000001</v>
      </c>
      <c r="BO367">
        <v>1</v>
      </c>
      <c r="BP367">
        <v>1</v>
      </c>
      <c r="BQ367">
        <v>1</v>
      </c>
      <c r="BR367">
        <v>5.6425999999999997E-2</v>
      </c>
      <c r="BS367">
        <v>48.714734</v>
      </c>
      <c r="BT367">
        <v>50</v>
      </c>
      <c r="BU367">
        <v>8.1966999999999998E-2</v>
      </c>
      <c r="BV367">
        <v>43.606557000000002</v>
      </c>
      <c r="BW367">
        <v>50</v>
      </c>
      <c r="BX367">
        <v>0.98064499999999999</v>
      </c>
      <c r="BY367">
        <v>50</v>
      </c>
      <c r="BZ367">
        <v>50</v>
      </c>
      <c r="CA367">
        <v>0.50967700000000005</v>
      </c>
      <c r="CB367">
        <v>33.978495000000002</v>
      </c>
      <c r="CC367">
        <v>50</v>
      </c>
      <c r="CD367">
        <v>1</v>
      </c>
      <c r="CE367">
        <v>50</v>
      </c>
      <c r="CF367">
        <v>50</v>
      </c>
      <c r="CG367">
        <v>0.92857100000000004</v>
      </c>
      <c r="CH367">
        <v>98.784194999999997</v>
      </c>
      <c r="CI367">
        <v>100</v>
      </c>
      <c r="CJ367">
        <v>0</v>
      </c>
      <c r="CK367">
        <v>0.95454499999999998</v>
      </c>
      <c r="CL367">
        <v>100</v>
      </c>
      <c r="CM367">
        <v>100</v>
      </c>
      <c r="CN367">
        <v>0.55555600000000005</v>
      </c>
      <c r="CO367">
        <v>74.074073999999996</v>
      </c>
      <c r="CP367">
        <v>100</v>
      </c>
      <c r="CQ367">
        <v>0.63218399999999997</v>
      </c>
      <c r="CR367">
        <v>0.92553200000000002</v>
      </c>
      <c r="CS367">
        <v>42.145594000000003</v>
      </c>
      <c r="CT367">
        <v>50</v>
      </c>
      <c r="CU367">
        <v>0.68965500000000002</v>
      </c>
      <c r="CV367">
        <v>50</v>
      </c>
      <c r="CW367">
        <v>50</v>
      </c>
      <c r="CX367">
        <v>0.95454499999999998</v>
      </c>
      <c r="CY367">
        <v>0.94</v>
      </c>
      <c r="CZ367">
        <v>-1.4545000000000001E-2</v>
      </c>
      <c r="DA367">
        <v>15.314097</v>
      </c>
      <c r="DB367">
        <v>17.400950000000002</v>
      </c>
      <c r="DC367">
        <v>16.332519999999999</v>
      </c>
      <c r="DD367">
        <v>7.9891730000000001</v>
      </c>
      <c r="DE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Q367" t="s">
        <v>126</v>
      </c>
    </row>
    <row r="368" spans="1:121" x14ac:dyDescent="0.15">
      <c r="A368">
        <v>2018</v>
      </c>
      <c r="B368" t="s">
        <v>129</v>
      </c>
      <c r="C368" t="str">
        <f>"0410011"</f>
        <v>0410011</v>
      </c>
      <c r="D368" t="s">
        <v>515</v>
      </c>
      <c r="E368" t="str">
        <f>"0415111"</f>
        <v>0415111</v>
      </c>
      <c r="F368" t="s">
        <v>328</v>
      </c>
      <c r="G368">
        <v>4</v>
      </c>
      <c r="H368">
        <v>8</v>
      </c>
      <c r="I368" t="s">
        <v>330</v>
      </c>
      <c r="J368" t="s">
        <v>331</v>
      </c>
      <c r="K368">
        <v>717.33903499999997</v>
      </c>
      <c r="L368">
        <v>900</v>
      </c>
      <c r="M368">
        <v>79.704336999999995</v>
      </c>
      <c r="N368">
        <v>2</v>
      </c>
      <c r="O368">
        <v>0</v>
      </c>
      <c r="P368">
        <v>76.365863000000004</v>
      </c>
      <c r="Q368">
        <v>50</v>
      </c>
      <c r="R368">
        <v>50</v>
      </c>
      <c r="S368">
        <v>66.700846999999996</v>
      </c>
      <c r="T368">
        <v>75</v>
      </c>
      <c r="U368">
        <v>44.467232000000003</v>
      </c>
      <c r="V368">
        <v>50</v>
      </c>
      <c r="W368">
        <v>69.491283999999993</v>
      </c>
      <c r="X368">
        <v>46.327522999999999</v>
      </c>
      <c r="Y368">
        <v>50</v>
      </c>
      <c r="Z368">
        <v>74.612009</v>
      </c>
      <c r="AA368">
        <v>60.151082000000002</v>
      </c>
      <c r="AB368">
        <v>40.100721999999998</v>
      </c>
      <c r="AC368">
        <v>50</v>
      </c>
      <c r="AD368">
        <v>74.117000000000004</v>
      </c>
      <c r="AE368">
        <v>49.411332999999999</v>
      </c>
      <c r="AF368">
        <v>50</v>
      </c>
      <c r="AG368">
        <v>62.741289000000002</v>
      </c>
      <c r="AH368">
        <v>75</v>
      </c>
      <c r="AI368">
        <v>41.827525999999999</v>
      </c>
      <c r="AJ368">
        <v>50</v>
      </c>
      <c r="AK368">
        <v>8.2899999999999991</v>
      </c>
      <c r="AL368">
        <v>14.46</v>
      </c>
      <c r="AM368">
        <v>12.25</v>
      </c>
      <c r="AN368">
        <v>0.66315199999999996</v>
      </c>
      <c r="AO368">
        <v>66.315207999999998</v>
      </c>
      <c r="AP368">
        <v>100</v>
      </c>
      <c r="AQ368">
        <v>0.66435299999999997</v>
      </c>
      <c r="AR368">
        <v>66.435276999999999</v>
      </c>
      <c r="AS368">
        <v>100</v>
      </c>
      <c r="AT368">
        <v>0.63939299999999999</v>
      </c>
      <c r="AU368">
        <v>0.67554800000000004</v>
      </c>
      <c r="AV368">
        <v>63.939292999999999</v>
      </c>
      <c r="AW368">
        <v>100</v>
      </c>
      <c r="AX368">
        <v>0.643841</v>
      </c>
      <c r="AY368">
        <v>0.67501500000000003</v>
      </c>
      <c r="AZ368">
        <v>64.384140000000002</v>
      </c>
      <c r="BA368">
        <v>100</v>
      </c>
      <c r="BB368" t="s">
        <v>125</v>
      </c>
      <c r="BC368" t="s">
        <v>125</v>
      </c>
      <c r="BD368" t="s">
        <v>125</v>
      </c>
      <c r="BE368" t="s">
        <v>125</v>
      </c>
      <c r="BF368" t="s">
        <v>125</v>
      </c>
      <c r="BG368" t="s">
        <v>125</v>
      </c>
      <c r="BH368">
        <v>0</v>
      </c>
      <c r="BI368">
        <v>0.99455000000000005</v>
      </c>
      <c r="BJ368">
        <v>1</v>
      </c>
      <c r="BK368">
        <v>0.99152499999999999</v>
      </c>
      <c r="BL368">
        <v>0.98365100000000005</v>
      </c>
      <c r="BM368">
        <v>0.99236599999999997</v>
      </c>
      <c r="BN368">
        <v>0.97881399999999996</v>
      </c>
      <c r="BO368">
        <v>0.99310299999999996</v>
      </c>
      <c r="BP368">
        <v>1</v>
      </c>
      <c r="BQ368">
        <v>0.99</v>
      </c>
      <c r="BR368">
        <v>2.9973E-2</v>
      </c>
      <c r="BS368">
        <v>50</v>
      </c>
      <c r="BT368">
        <v>50</v>
      </c>
      <c r="BU368">
        <v>4.6511999999999998E-2</v>
      </c>
      <c r="BV368">
        <v>50</v>
      </c>
      <c r="BW368">
        <v>50</v>
      </c>
      <c r="BX368" t="s">
        <v>125</v>
      </c>
      <c r="BY368" t="s">
        <v>125</v>
      </c>
      <c r="BZ368" t="s">
        <v>125</v>
      </c>
      <c r="CA368" t="s">
        <v>125</v>
      </c>
      <c r="CB368" t="s">
        <v>125</v>
      </c>
      <c r="CC368" t="s">
        <v>125</v>
      </c>
      <c r="CD368">
        <v>1</v>
      </c>
      <c r="CE368">
        <v>50</v>
      </c>
      <c r="CF368">
        <v>50</v>
      </c>
      <c r="CG368" t="s">
        <v>125</v>
      </c>
      <c r="CH368" t="s">
        <v>125</v>
      </c>
      <c r="CI368" t="s">
        <v>125</v>
      </c>
      <c r="CJ368" t="s">
        <v>125</v>
      </c>
      <c r="CK368" t="s">
        <v>125</v>
      </c>
      <c r="CL368" t="s">
        <v>125</v>
      </c>
      <c r="CM368" t="s">
        <v>125</v>
      </c>
      <c r="CN368" t="s">
        <v>125</v>
      </c>
      <c r="CO368" t="s">
        <v>125</v>
      </c>
      <c r="CP368" t="s">
        <v>125</v>
      </c>
      <c r="CQ368">
        <v>0.51196200000000003</v>
      </c>
      <c r="CR368">
        <v>0.95433800000000002</v>
      </c>
      <c r="CS368">
        <v>34.130780999999999</v>
      </c>
      <c r="CT368">
        <v>50</v>
      </c>
      <c r="CU368" t="s">
        <v>125</v>
      </c>
      <c r="CV368" t="s">
        <v>125</v>
      </c>
      <c r="CW368" t="s">
        <v>125</v>
      </c>
      <c r="CX368" t="s">
        <v>125</v>
      </c>
      <c r="CY368" t="s">
        <v>125</v>
      </c>
      <c r="CZ368" t="s">
        <v>125</v>
      </c>
      <c r="DA368">
        <v>15.314097</v>
      </c>
      <c r="DB368">
        <v>17.400950000000002</v>
      </c>
      <c r="DC368">
        <v>16.332519999999999</v>
      </c>
      <c r="DD368" t="s">
        <v>125</v>
      </c>
      <c r="DE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Q368" t="s">
        <v>126</v>
      </c>
    </row>
    <row r="369" spans="1:121" x14ac:dyDescent="0.15">
      <c r="A369">
        <v>2018</v>
      </c>
      <c r="B369" t="s">
        <v>162</v>
      </c>
      <c r="C369" t="str">
        <f>"0420011"</f>
        <v>0420011</v>
      </c>
      <c r="D369" t="s">
        <v>516</v>
      </c>
      <c r="E369" t="str">
        <f>"0420311"</f>
        <v>0420311</v>
      </c>
      <c r="F369" t="s">
        <v>328</v>
      </c>
      <c r="G369">
        <v>4</v>
      </c>
      <c r="H369">
        <v>5</v>
      </c>
      <c r="I369" t="s">
        <v>330</v>
      </c>
      <c r="J369" t="s">
        <v>331</v>
      </c>
      <c r="K369">
        <v>654.85230799999999</v>
      </c>
      <c r="L369">
        <v>850</v>
      </c>
      <c r="M369">
        <v>77.041448000000003</v>
      </c>
      <c r="N369">
        <v>2</v>
      </c>
      <c r="O369">
        <v>0</v>
      </c>
      <c r="P369">
        <v>74.780066000000005</v>
      </c>
      <c r="Q369">
        <v>49.853377000000002</v>
      </c>
      <c r="R369">
        <v>50</v>
      </c>
      <c r="S369">
        <v>68.236913999999999</v>
      </c>
      <c r="T369">
        <v>75</v>
      </c>
      <c r="U369">
        <v>45.491275999999999</v>
      </c>
      <c r="V369">
        <v>50</v>
      </c>
      <c r="W369">
        <v>71.404353</v>
      </c>
      <c r="X369">
        <v>47.602902</v>
      </c>
      <c r="Y369">
        <v>50</v>
      </c>
      <c r="Z369">
        <v>74.452872999999997</v>
      </c>
      <c r="AA369">
        <v>64.536001999999996</v>
      </c>
      <c r="AB369">
        <v>43.024000999999998</v>
      </c>
      <c r="AC369">
        <v>50</v>
      </c>
      <c r="AD369">
        <v>72.608555999999993</v>
      </c>
      <c r="AE369">
        <v>48.405704</v>
      </c>
      <c r="AF369">
        <v>50</v>
      </c>
      <c r="AG369">
        <v>70.060015000000007</v>
      </c>
      <c r="AH369">
        <v>73.726793999999998</v>
      </c>
      <c r="AI369">
        <v>46.706676999999999</v>
      </c>
      <c r="AJ369">
        <v>50</v>
      </c>
      <c r="AK369">
        <v>6.76</v>
      </c>
      <c r="AL369">
        <v>9.91</v>
      </c>
      <c r="AM369">
        <v>3.66</v>
      </c>
      <c r="AN369">
        <v>0.62914700000000001</v>
      </c>
      <c r="AO369">
        <v>62.914675000000003</v>
      </c>
      <c r="AP369">
        <v>100</v>
      </c>
      <c r="AQ369">
        <v>0.68754700000000002</v>
      </c>
      <c r="AR369">
        <v>68.754664000000005</v>
      </c>
      <c r="AS369">
        <v>100</v>
      </c>
      <c r="AT369">
        <v>0.66304700000000005</v>
      </c>
      <c r="AU369">
        <v>0.61508200000000002</v>
      </c>
      <c r="AV369">
        <v>66.304693999999998</v>
      </c>
      <c r="AW369">
        <v>100</v>
      </c>
      <c r="AX369">
        <v>0.66364999999999996</v>
      </c>
      <c r="AY369">
        <v>0.69751399999999997</v>
      </c>
      <c r="AZ369">
        <v>66.365044999999995</v>
      </c>
      <c r="BA369">
        <v>100</v>
      </c>
      <c r="BB369" t="s">
        <v>125</v>
      </c>
      <c r="BC369" t="s">
        <v>125</v>
      </c>
      <c r="BD369" t="s">
        <v>125</v>
      </c>
      <c r="BE369" t="s">
        <v>125</v>
      </c>
      <c r="BF369" t="s">
        <v>125</v>
      </c>
      <c r="BG369" t="s">
        <v>125</v>
      </c>
      <c r="BH369">
        <v>0</v>
      </c>
      <c r="BI369">
        <v>0.98912999999999995</v>
      </c>
      <c r="BJ369">
        <v>0.98837200000000003</v>
      </c>
      <c r="BK369">
        <v>0.98947399999999996</v>
      </c>
      <c r="BL369">
        <v>0.98912999999999995</v>
      </c>
      <c r="BM369">
        <v>0.98837200000000003</v>
      </c>
      <c r="BN369">
        <v>0.98947399999999996</v>
      </c>
      <c r="BO369">
        <v>0.99300699999999997</v>
      </c>
      <c r="BP369">
        <v>1</v>
      </c>
      <c r="BQ369">
        <v>0.98989899999999997</v>
      </c>
      <c r="BR369">
        <v>6.1817999999999998E-2</v>
      </c>
      <c r="BS369">
        <v>47.636364</v>
      </c>
      <c r="BT369">
        <v>50</v>
      </c>
      <c r="BU369">
        <v>0.13750000000000001</v>
      </c>
      <c r="BV369">
        <v>32.5</v>
      </c>
      <c r="BW369">
        <v>50</v>
      </c>
      <c r="BX369" t="s">
        <v>125</v>
      </c>
      <c r="BY369" t="s">
        <v>125</v>
      </c>
      <c r="BZ369" t="s">
        <v>125</v>
      </c>
      <c r="CA369" t="s">
        <v>125</v>
      </c>
      <c r="CB369" t="s">
        <v>125</v>
      </c>
      <c r="CC369" t="s">
        <v>125</v>
      </c>
      <c r="CD369" t="s">
        <v>125</v>
      </c>
      <c r="CE369" t="s">
        <v>125</v>
      </c>
      <c r="CF369" t="s">
        <v>125</v>
      </c>
      <c r="CG369" t="s">
        <v>125</v>
      </c>
      <c r="CH369" t="s">
        <v>125</v>
      </c>
      <c r="CI369" t="s">
        <v>125</v>
      </c>
      <c r="CJ369" t="s">
        <v>125</v>
      </c>
      <c r="CK369" t="s">
        <v>125</v>
      </c>
      <c r="CL369" t="s">
        <v>125</v>
      </c>
      <c r="CM369" t="s">
        <v>125</v>
      </c>
      <c r="CN369" t="s">
        <v>125</v>
      </c>
      <c r="CO369" t="s">
        <v>125</v>
      </c>
      <c r="CP369" t="s">
        <v>125</v>
      </c>
      <c r="CQ369">
        <v>0.43939400000000001</v>
      </c>
      <c r="CR369">
        <v>0.99248099999999995</v>
      </c>
      <c r="CS369">
        <v>29.292929000000001</v>
      </c>
      <c r="CT369">
        <v>50</v>
      </c>
      <c r="CU369" t="s">
        <v>125</v>
      </c>
      <c r="CV369" t="s">
        <v>125</v>
      </c>
      <c r="CW369" t="s">
        <v>125</v>
      </c>
      <c r="CX369" t="s">
        <v>125</v>
      </c>
      <c r="CY369" t="s">
        <v>125</v>
      </c>
      <c r="CZ369" t="s">
        <v>125</v>
      </c>
      <c r="DA369">
        <v>15.314097</v>
      </c>
      <c r="DB369">
        <v>17.400950000000002</v>
      </c>
      <c r="DC369">
        <v>16.332519999999999</v>
      </c>
      <c r="DD369" t="s">
        <v>125</v>
      </c>
      <c r="DE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Q369" t="s">
        <v>126</v>
      </c>
    </row>
    <row r="370" spans="1:121" x14ac:dyDescent="0.15">
      <c r="A370">
        <v>2018</v>
      </c>
      <c r="B370" t="s">
        <v>162</v>
      </c>
      <c r="C370" t="str">
        <f>"0420011"</f>
        <v>0420011</v>
      </c>
      <c r="D370" t="s">
        <v>517</v>
      </c>
      <c r="E370" t="str">
        <f>"0426111"</f>
        <v>0426111</v>
      </c>
      <c r="F370" t="s">
        <v>328</v>
      </c>
      <c r="G370">
        <v>9</v>
      </c>
      <c r="H370">
        <v>12</v>
      </c>
      <c r="J370" t="s">
        <v>331</v>
      </c>
      <c r="K370">
        <v>1143.340361</v>
      </c>
      <c r="L370">
        <v>1450</v>
      </c>
      <c r="M370">
        <v>78.851059000000006</v>
      </c>
      <c r="N370">
        <v>3</v>
      </c>
      <c r="O370">
        <v>1</v>
      </c>
      <c r="P370">
        <v>62.576695999999998</v>
      </c>
      <c r="Q370">
        <v>125.153392</v>
      </c>
      <c r="R370">
        <v>150</v>
      </c>
      <c r="S370">
        <v>50.179012</v>
      </c>
      <c r="T370">
        <v>66.468992</v>
      </c>
      <c r="U370">
        <v>100.358025</v>
      </c>
      <c r="V370">
        <v>150</v>
      </c>
      <c r="W370">
        <v>55.421829000000002</v>
      </c>
      <c r="X370">
        <v>110.843658</v>
      </c>
      <c r="Y370">
        <v>150</v>
      </c>
      <c r="Z370">
        <v>57.600774999999999</v>
      </c>
      <c r="AA370">
        <v>48.481481000000002</v>
      </c>
      <c r="AB370">
        <v>96.962963000000002</v>
      </c>
      <c r="AC370">
        <v>150</v>
      </c>
      <c r="AD370">
        <v>54.071477000000002</v>
      </c>
      <c r="AE370">
        <v>72.095303000000001</v>
      </c>
      <c r="AF370">
        <v>100</v>
      </c>
      <c r="AG370">
        <v>47.008547</v>
      </c>
      <c r="AH370">
        <v>56.288908999999997</v>
      </c>
      <c r="AI370">
        <v>62.678063000000002</v>
      </c>
      <c r="AJ370">
        <v>100</v>
      </c>
      <c r="AK370">
        <v>16.28</v>
      </c>
      <c r="AL370">
        <v>9.11</v>
      </c>
      <c r="AM370">
        <v>9.2799999999999994</v>
      </c>
      <c r="AN370" t="s">
        <v>125</v>
      </c>
      <c r="AO370" t="s">
        <v>125</v>
      </c>
      <c r="AP370" t="s">
        <v>125</v>
      </c>
      <c r="AQ370" t="s">
        <v>125</v>
      </c>
      <c r="AR370" t="s">
        <v>125</v>
      </c>
      <c r="AS370" t="s">
        <v>125</v>
      </c>
      <c r="AT370" t="s">
        <v>125</v>
      </c>
      <c r="AU370" t="s">
        <v>125</v>
      </c>
      <c r="AV370" t="s">
        <v>125</v>
      </c>
      <c r="AW370" t="s">
        <v>125</v>
      </c>
      <c r="AX370" t="s">
        <v>125</v>
      </c>
      <c r="AY370" t="s">
        <v>125</v>
      </c>
      <c r="AZ370" t="s">
        <v>125</v>
      </c>
      <c r="BA370" t="s">
        <v>125</v>
      </c>
      <c r="BB370" t="s">
        <v>125</v>
      </c>
      <c r="BC370" t="s">
        <v>125</v>
      </c>
      <c r="BD370" t="s">
        <v>125</v>
      </c>
      <c r="BE370" t="s">
        <v>125</v>
      </c>
      <c r="BF370" t="s">
        <v>125</v>
      </c>
      <c r="BG370" t="s">
        <v>125</v>
      </c>
      <c r="BH370">
        <v>1</v>
      </c>
      <c r="BI370">
        <v>0.97435899999999998</v>
      </c>
      <c r="BJ370">
        <v>0.93103400000000003</v>
      </c>
      <c r="BK370">
        <v>0.98863599999999996</v>
      </c>
      <c r="BL370">
        <v>0.97435899999999998</v>
      </c>
      <c r="BM370">
        <v>0.93103400000000003</v>
      </c>
      <c r="BN370">
        <v>0.98863599999999996</v>
      </c>
      <c r="BO370">
        <v>0.974576</v>
      </c>
      <c r="BP370">
        <v>0.96551699999999996</v>
      </c>
      <c r="BQ370">
        <v>0.97752799999999995</v>
      </c>
      <c r="BR370">
        <v>9.4E-2</v>
      </c>
      <c r="BS370">
        <v>41.2</v>
      </c>
      <c r="BT370">
        <v>50</v>
      </c>
      <c r="BU370">
        <v>0.19819800000000001</v>
      </c>
      <c r="BV370">
        <v>20.36036</v>
      </c>
      <c r="BW370">
        <v>50</v>
      </c>
      <c r="BX370">
        <v>0.84210499999999999</v>
      </c>
      <c r="BY370">
        <v>50</v>
      </c>
      <c r="BZ370">
        <v>50</v>
      </c>
      <c r="CA370">
        <v>0.52226700000000004</v>
      </c>
      <c r="CB370">
        <v>34.817813999999998</v>
      </c>
      <c r="CC370">
        <v>50</v>
      </c>
      <c r="CD370">
        <v>0.98507500000000003</v>
      </c>
      <c r="CE370">
        <v>50</v>
      </c>
      <c r="CF370">
        <v>50</v>
      </c>
      <c r="CG370">
        <v>0.98130799999999996</v>
      </c>
      <c r="CH370">
        <v>100</v>
      </c>
      <c r="CI370">
        <v>100</v>
      </c>
      <c r="CJ370">
        <v>0</v>
      </c>
      <c r="CK370">
        <v>0.93103400000000003</v>
      </c>
      <c r="CL370">
        <v>99.046222</v>
      </c>
      <c r="CM370">
        <v>100</v>
      </c>
      <c r="CN370">
        <v>0.788462</v>
      </c>
      <c r="CO370">
        <v>100</v>
      </c>
      <c r="CP370">
        <v>100</v>
      </c>
      <c r="CQ370">
        <v>0.44736799999999999</v>
      </c>
      <c r="CR370">
        <v>0.94214900000000001</v>
      </c>
      <c r="CS370">
        <v>29.824560999999999</v>
      </c>
      <c r="CT370">
        <v>50</v>
      </c>
      <c r="CU370">
        <v>0.69399999999999995</v>
      </c>
      <c r="CV370">
        <v>50</v>
      </c>
      <c r="CW370">
        <v>50</v>
      </c>
      <c r="CX370">
        <v>0.93103400000000003</v>
      </c>
      <c r="CY370">
        <v>0.94</v>
      </c>
      <c r="CZ370">
        <v>8.966E-3</v>
      </c>
      <c r="DA370">
        <v>15.314097</v>
      </c>
      <c r="DB370">
        <v>17.400950000000002</v>
      </c>
      <c r="DC370">
        <v>16.332519999999999</v>
      </c>
      <c r="DD370">
        <v>7.9891730000000001</v>
      </c>
      <c r="DE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Q370" t="s">
        <v>126</v>
      </c>
    </row>
    <row r="371" spans="1:121" x14ac:dyDescent="0.15">
      <c r="A371">
        <v>2018</v>
      </c>
      <c r="B371" t="s">
        <v>162</v>
      </c>
      <c r="C371" t="str">
        <f>"0420011"</f>
        <v>0420011</v>
      </c>
      <c r="D371" t="s">
        <v>518</v>
      </c>
      <c r="E371" t="str">
        <f>"0425111"</f>
        <v>0425111</v>
      </c>
      <c r="F371" t="s">
        <v>328</v>
      </c>
      <c r="G371">
        <v>6</v>
      </c>
      <c r="H371">
        <v>8</v>
      </c>
      <c r="J371" t="s">
        <v>331</v>
      </c>
      <c r="K371">
        <v>629.05750699999999</v>
      </c>
      <c r="L371">
        <v>900</v>
      </c>
      <c r="M371">
        <v>69.895279000000002</v>
      </c>
      <c r="N371">
        <v>3</v>
      </c>
      <c r="O371">
        <v>1</v>
      </c>
      <c r="P371">
        <v>71.015489000000002</v>
      </c>
      <c r="Q371">
        <v>47.34366</v>
      </c>
      <c r="R371">
        <v>50</v>
      </c>
      <c r="S371">
        <v>59.654949000000002</v>
      </c>
      <c r="T371">
        <v>75</v>
      </c>
      <c r="U371">
        <v>39.769965999999997</v>
      </c>
      <c r="V371">
        <v>50</v>
      </c>
      <c r="W371">
        <v>65.874525000000006</v>
      </c>
      <c r="X371">
        <v>43.916350000000001</v>
      </c>
      <c r="Y371">
        <v>50</v>
      </c>
      <c r="Z371">
        <v>70.522341999999995</v>
      </c>
      <c r="AA371">
        <v>53.730227999999997</v>
      </c>
      <c r="AB371">
        <v>35.820152</v>
      </c>
      <c r="AC371">
        <v>50</v>
      </c>
      <c r="AD371">
        <v>71.123437999999993</v>
      </c>
      <c r="AE371">
        <v>47.415626000000003</v>
      </c>
      <c r="AF371">
        <v>50</v>
      </c>
      <c r="AG371">
        <v>62.539949999999997</v>
      </c>
      <c r="AH371">
        <v>74.751510999999994</v>
      </c>
      <c r="AI371">
        <v>41.693300000000001</v>
      </c>
      <c r="AJ371">
        <v>50</v>
      </c>
      <c r="AK371">
        <v>15.34</v>
      </c>
      <c r="AL371">
        <v>16.79</v>
      </c>
      <c r="AM371">
        <v>12.21</v>
      </c>
      <c r="AN371">
        <v>0.53565600000000002</v>
      </c>
      <c r="AO371">
        <v>53.565570999999998</v>
      </c>
      <c r="AP371">
        <v>100</v>
      </c>
      <c r="AQ371">
        <v>0.64138099999999998</v>
      </c>
      <c r="AR371">
        <v>64.138110999999995</v>
      </c>
      <c r="AS371">
        <v>100</v>
      </c>
      <c r="AT371">
        <v>0.46112999999999998</v>
      </c>
      <c r="AU371">
        <v>0.56235500000000005</v>
      </c>
      <c r="AV371">
        <v>46.112976000000003</v>
      </c>
      <c r="AW371">
        <v>100</v>
      </c>
      <c r="AX371">
        <v>0.56313000000000002</v>
      </c>
      <c r="AY371">
        <v>0.66941499999999998</v>
      </c>
      <c r="AZ371">
        <v>56.312973999999997</v>
      </c>
      <c r="BA371">
        <v>100</v>
      </c>
      <c r="BB371" t="s">
        <v>125</v>
      </c>
      <c r="BC371" t="s">
        <v>125</v>
      </c>
      <c r="BD371" t="s">
        <v>125</v>
      </c>
      <c r="BE371" t="s">
        <v>125</v>
      </c>
      <c r="BF371" t="s">
        <v>125</v>
      </c>
      <c r="BG371" t="s">
        <v>125</v>
      </c>
      <c r="BH371">
        <v>0</v>
      </c>
      <c r="BI371">
        <v>0.97629299999999997</v>
      </c>
      <c r="BJ371">
        <v>0.96946600000000005</v>
      </c>
      <c r="BK371">
        <v>0.97897900000000004</v>
      </c>
      <c r="BL371">
        <v>0.97624200000000005</v>
      </c>
      <c r="BM371">
        <v>0.96923099999999995</v>
      </c>
      <c r="BN371">
        <v>0.97897900000000004</v>
      </c>
      <c r="BO371">
        <v>0.98581600000000003</v>
      </c>
      <c r="BP371">
        <v>0.953488</v>
      </c>
      <c r="BQ371">
        <v>1</v>
      </c>
      <c r="BR371">
        <v>6.7244999999999999E-2</v>
      </c>
      <c r="BS371">
        <v>46.550975999999999</v>
      </c>
      <c r="BT371">
        <v>50</v>
      </c>
      <c r="BU371">
        <v>0.15079400000000001</v>
      </c>
      <c r="BV371">
        <v>29.841270000000002</v>
      </c>
      <c r="BW371">
        <v>50</v>
      </c>
      <c r="BX371" t="s">
        <v>125</v>
      </c>
      <c r="BY371" t="s">
        <v>125</v>
      </c>
      <c r="BZ371" t="s">
        <v>125</v>
      </c>
      <c r="CA371" t="s">
        <v>125</v>
      </c>
      <c r="CB371" t="s">
        <v>125</v>
      </c>
      <c r="CC371" t="s">
        <v>125</v>
      </c>
      <c r="CD371">
        <v>0.98540099999999997</v>
      </c>
      <c r="CE371">
        <v>50</v>
      </c>
      <c r="CF371">
        <v>50</v>
      </c>
      <c r="CG371" t="s">
        <v>125</v>
      </c>
      <c r="CH371" t="s">
        <v>125</v>
      </c>
      <c r="CI371" t="s">
        <v>125</v>
      </c>
      <c r="CJ371" t="s">
        <v>125</v>
      </c>
      <c r="CK371" t="s">
        <v>125</v>
      </c>
      <c r="CL371" t="s">
        <v>125</v>
      </c>
      <c r="CM371" t="s">
        <v>125</v>
      </c>
      <c r="CN371" t="s">
        <v>125</v>
      </c>
      <c r="CO371" t="s">
        <v>125</v>
      </c>
      <c r="CP371" t="s">
        <v>125</v>
      </c>
      <c r="CQ371">
        <v>0.39864899999999998</v>
      </c>
      <c r="CR371">
        <v>0.98996700000000004</v>
      </c>
      <c r="CS371">
        <v>26.576577</v>
      </c>
      <c r="CT371">
        <v>50</v>
      </c>
      <c r="CU371" t="s">
        <v>125</v>
      </c>
      <c r="CV371" t="s">
        <v>125</v>
      </c>
      <c r="CW371" t="s">
        <v>125</v>
      </c>
      <c r="CX371" t="s">
        <v>125</v>
      </c>
      <c r="CY371" t="s">
        <v>125</v>
      </c>
      <c r="CZ371" t="s">
        <v>125</v>
      </c>
      <c r="DA371">
        <v>15.314097</v>
      </c>
      <c r="DB371">
        <v>17.400950000000002</v>
      </c>
      <c r="DC371">
        <v>16.332519999999999</v>
      </c>
      <c r="DD371" t="s">
        <v>125</v>
      </c>
      <c r="DE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Q371" t="s">
        <v>126</v>
      </c>
    </row>
    <row r="372" spans="1:121" x14ac:dyDescent="0.15">
      <c r="A372">
        <v>2018</v>
      </c>
      <c r="B372" t="s">
        <v>162</v>
      </c>
      <c r="C372" t="str">
        <f>"0420011"</f>
        <v>0420011</v>
      </c>
      <c r="D372" t="s">
        <v>519</v>
      </c>
      <c r="E372" t="str">
        <f>"0420111"</f>
        <v>0420111</v>
      </c>
      <c r="F372" t="s">
        <v>328</v>
      </c>
      <c r="G372" t="s">
        <v>329</v>
      </c>
      <c r="H372">
        <v>3</v>
      </c>
      <c r="I372" t="s">
        <v>330</v>
      </c>
      <c r="J372" t="s">
        <v>331</v>
      </c>
      <c r="K372">
        <v>443.059572</v>
      </c>
      <c r="L372">
        <v>500</v>
      </c>
      <c r="M372">
        <v>88.611913999999999</v>
      </c>
      <c r="N372">
        <v>2</v>
      </c>
      <c r="O372">
        <v>1</v>
      </c>
      <c r="P372">
        <v>75.506281999999999</v>
      </c>
      <c r="Q372">
        <v>100</v>
      </c>
      <c r="R372">
        <v>100</v>
      </c>
      <c r="S372">
        <v>65.586619999999996</v>
      </c>
      <c r="T372">
        <v>75</v>
      </c>
      <c r="U372">
        <v>87.448826999999994</v>
      </c>
      <c r="V372">
        <v>100</v>
      </c>
      <c r="W372">
        <v>68.790205</v>
      </c>
      <c r="X372">
        <v>91.720273000000006</v>
      </c>
      <c r="Y372">
        <v>100</v>
      </c>
      <c r="Z372">
        <v>73.405440999999996</v>
      </c>
      <c r="AA372">
        <v>55.417853999999998</v>
      </c>
      <c r="AB372">
        <v>73.890472000000003</v>
      </c>
      <c r="AC372">
        <v>100</v>
      </c>
      <c r="AD372" t="s">
        <v>125</v>
      </c>
      <c r="AE372" t="s">
        <v>125</v>
      </c>
      <c r="AF372" t="s">
        <v>125</v>
      </c>
      <c r="AG372" t="s">
        <v>125</v>
      </c>
      <c r="AH372" t="s">
        <v>125</v>
      </c>
      <c r="AI372" t="s">
        <v>125</v>
      </c>
      <c r="AJ372" t="s">
        <v>125</v>
      </c>
      <c r="AK372">
        <v>9.41</v>
      </c>
      <c r="AL372">
        <v>17.98</v>
      </c>
      <c r="AM372" t="s">
        <v>125</v>
      </c>
      <c r="AN372" t="s">
        <v>125</v>
      </c>
      <c r="AO372" t="s">
        <v>125</v>
      </c>
      <c r="AP372" t="s">
        <v>125</v>
      </c>
      <c r="AQ372" t="s">
        <v>125</v>
      </c>
      <c r="AR372" t="s">
        <v>125</v>
      </c>
      <c r="AS372" t="s">
        <v>125</v>
      </c>
      <c r="AT372" t="s">
        <v>125</v>
      </c>
      <c r="AU372" t="s">
        <v>125</v>
      </c>
      <c r="AV372" t="s">
        <v>125</v>
      </c>
      <c r="AW372" t="s">
        <v>125</v>
      </c>
      <c r="AX372" t="s">
        <v>125</v>
      </c>
      <c r="AY372" t="s">
        <v>125</v>
      </c>
      <c r="AZ372" t="s">
        <v>125</v>
      </c>
      <c r="BA372" t="s">
        <v>125</v>
      </c>
      <c r="BB372" t="s">
        <v>125</v>
      </c>
      <c r="BC372" t="s">
        <v>125</v>
      </c>
      <c r="BD372" t="s">
        <v>125</v>
      </c>
      <c r="BE372" t="s">
        <v>125</v>
      </c>
      <c r="BF372" t="s">
        <v>125</v>
      </c>
      <c r="BG372" t="s">
        <v>125</v>
      </c>
      <c r="BH372">
        <v>0</v>
      </c>
      <c r="BI372">
        <v>0.987097</v>
      </c>
      <c r="BJ372">
        <v>0.95121999999999995</v>
      </c>
      <c r="BK372">
        <v>1</v>
      </c>
      <c r="BL372">
        <v>0.987097</v>
      </c>
      <c r="BM372">
        <v>0.95121999999999995</v>
      </c>
      <c r="BN372">
        <v>1</v>
      </c>
      <c r="BO372" t="s">
        <v>125</v>
      </c>
      <c r="BP372" t="s">
        <v>125</v>
      </c>
      <c r="BQ372" t="s">
        <v>125</v>
      </c>
      <c r="BR372">
        <v>4.4643000000000002E-2</v>
      </c>
      <c r="BS372">
        <v>50</v>
      </c>
      <c r="BT372">
        <v>50</v>
      </c>
      <c r="BU372">
        <v>0.1</v>
      </c>
      <c r="BV372">
        <v>40</v>
      </c>
      <c r="BW372">
        <v>50</v>
      </c>
      <c r="BX372" t="s">
        <v>125</v>
      </c>
      <c r="BY372" t="s">
        <v>125</v>
      </c>
      <c r="BZ372" t="s">
        <v>125</v>
      </c>
      <c r="CA372" t="s">
        <v>125</v>
      </c>
      <c r="CB372" t="s">
        <v>125</v>
      </c>
      <c r="CC372" t="s">
        <v>125</v>
      </c>
      <c r="CD372" t="s">
        <v>125</v>
      </c>
      <c r="CE372" t="s">
        <v>125</v>
      </c>
      <c r="CF372" t="s">
        <v>125</v>
      </c>
      <c r="CG372" t="s">
        <v>125</v>
      </c>
      <c r="CH372" t="s">
        <v>125</v>
      </c>
      <c r="CI372" t="s">
        <v>125</v>
      </c>
      <c r="CJ372" t="s">
        <v>125</v>
      </c>
      <c r="CK372" t="s">
        <v>125</v>
      </c>
      <c r="CL372" t="s">
        <v>125</v>
      </c>
      <c r="CM372" t="s">
        <v>125</v>
      </c>
      <c r="CN372" t="s">
        <v>125</v>
      </c>
      <c r="CO372" t="s">
        <v>125</v>
      </c>
      <c r="CP372" t="s">
        <v>125</v>
      </c>
      <c r="CQ372" t="s">
        <v>125</v>
      </c>
      <c r="CR372" t="s">
        <v>125</v>
      </c>
      <c r="CS372" t="s">
        <v>125</v>
      </c>
      <c r="CT372" t="s">
        <v>125</v>
      </c>
      <c r="CU372" t="s">
        <v>125</v>
      </c>
      <c r="CV372" t="s">
        <v>125</v>
      </c>
      <c r="CW372" t="s">
        <v>125</v>
      </c>
      <c r="CX372" t="s">
        <v>125</v>
      </c>
      <c r="CY372" t="s">
        <v>125</v>
      </c>
      <c r="CZ372" t="s">
        <v>125</v>
      </c>
      <c r="DA372">
        <v>15.314097</v>
      </c>
      <c r="DB372">
        <v>17.400950000000002</v>
      </c>
      <c r="DC372">
        <v>16.332519999999999</v>
      </c>
      <c r="DD372" t="s">
        <v>125</v>
      </c>
      <c r="DE372">
        <v>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Q372" t="s">
        <v>126</v>
      </c>
    </row>
    <row r="373" spans="1:121" x14ac:dyDescent="0.15">
      <c r="A373">
        <v>2018</v>
      </c>
      <c r="B373" t="s">
        <v>236</v>
      </c>
      <c r="C373" t="str">
        <f t="shared" ref="C373:C385" si="7">"0430011"</f>
        <v>0430011</v>
      </c>
      <c r="D373" t="s">
        <v>520</v>
      </c>
      <c r="E373" t="str">
        <f>"0430911"</f>
        <v>0430911</v>
      </c>
      <c r="F373" t="s">
        <v>328</v>
      </c>
      <c r="G373" t="s">
        <v>339</v>
      </c>
      <c r="H373">
        <v>5</v>
      </c>
      <c r="I373" t="s">
        <v>336</v>
      </c>
      <c r="J373" t="s">
        <v>331</v>
      </c>
      <c r="K373">
        <v>647.60121000000004</v>
      </c>
      <c r="L373">
        <v>950</v>
      </c>
      <c r="M373">
        <v>68.168548000000001</v>
      </c>
      <c r="N373">
        <v>3</v>
      </c>
      <c r="O373">
        <v>0</v>
      </c>
      <c r="P373">
        <v>59.928427999999997</v>
      </c>
      <c r="Q373">
        <v>39.952285000000003</v>
      </c>
      <c r="R373">
        <v>50</v>
      </c>
      <c r="S373">
        <v>57.686083000000004</v>
      </c>
      <c r="T373">
        <v>71.607308000000003</v>
      </c>
      <c r="U373">
        <v>38.457388000000002</v>
      </c>
      <c r="V373">
        <v>50</v>
      </c>
      <c r="W373">
        <v>51.657167000000001</v>
      </c>
      <c r="X373">
        <v>34.438110999999999</v>
      </c>
      <c r="Y373">
        <v>50</v>
      </c>
      <c r="Z373">
        <v>59.735677000000003</v>
      </c>
      <c r="AA373">
        <v>50.106093000000001</v>
      </c>
      <c r="AB373">
        <v>33.404062000000003</v>
      </c>
      <c r="AC373">
        <v>50</v>
      </c>
      <c r="AD373">
        <v>54.554839000000001</v>
      </c>
      <c r="AE373">
        <v>36.369892</v>
      </c>
      <c r="AF373">
        <v>50</v>
      </c>
      <c r="AG373">
        <v>52.106093000000001</v>
      </c>
      <c r="AH373" t="s">
        <v>125</v>
      </c>
      <c r="AI373">
        <v>34.737394999999999</v>
      </c>
      <c r="AJ373">
        <v>50</v>
      </c>
      <c r="AK373">
        <v>13.92</v>
      </c>
      <c r="AL373">
        <v>9.6199999999999992</v>
      </c>
      <c r="AM373" t="s">
        <v>125</v>
      </c>
      <c r="AN373">
        <v>0.65370700000000004</v>
      </c>
      <c r="AO373">
        <v>65.370749000000004</v>
      </c>
      <c r="AP373">
        <v>100</v>
      </c>
      <c r="AQ373">
        <v>0.62472000000000005</v>
      </c>
      <c r="AR373">
        <v>62.472028000000002</v>
      </c>
      <c r="AS373">
        <v>100</v>
      </c>
      <c r="AT373">
        <v>0.63281200000000004</v>
      </c>
      <c r="AU373" t="s">
        <v>125</v>
      </c>
      <c r="AV373">
        <v>63.281188</v>
      </c>
      <c r="AW373">
        <v>100</v>
      </c>
      <c r="AX373">
        <v>0.64162699999999995</v>
      </c>
      <c r="AY373" t="s">
        <v>125</v>
      </c>
      <c r="AZ373">
        <v>64.162705000000003</v>
      </c>
      <c r="BA373">
        <v>100</v>
      </c>
      <c r="BB373">
        <v>0.817361</v>
      </c>
      <c r="BC373">
        <v>40.868049999999997</v>
      </c>
      <c r="BD373">
        <v>50</v>
      </c>
      <c r="BE373">
        <v>0.48321199999999997</v>
      </c>
      <c r="BF373">
        <v>24.160616000000001</v>
      </c>
      <c r="BG373">
        <v>50</v>
      </c>
      <c r="BH373">
        <v>0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 t="s">
        <v>125</v>
      </c>
      <c r="BR373">
        <v>0.14285700000000001</v>
      </c>
      <c r="BS373">
        <v>31.428571000000002</v>
      </c>
      <c r="BT373">
        <v>50</v>
      </c>
      <c r="BU373">
        <v>0.15750900000000001</v>
      </c>
      <c r="BV373">
        <v>28.498168</v>
      </c>
      <c r="BW373">
        <v>50</v>
      </c>
      <c r="BX373" t="s">
        <v>125</v>
      </c>
      <c r="BY373" t="s">
        <v>125</v>
      </c>
      <c r="BZ373" t="s">
        <v>125</v>
      </c>
      <c r="CA373" t="s">
        <v>125</v>
      </c>
      <c r="CB373" t="s">
        <v>125</v>
      </c>
      <c r="CC373" t="s">
        <v>125</v>
      </c>
      <c r="CD373" t="s">
        <v>125</v>
      </c>
      <c r="CE373" t="s">
        <v>125</v>
      </c>
      <c r="CF373" t="s">
        <v>125</v>
      </c>
      <c r="CG373" t="s">
        <v>125</v>
      </c>
      <c r="CH373" t="s">
        <v>125</v>
      </c>
      <c r="CI373" t="s">
        <v>125</v>
      </c>
      <c r="CJ373" t="s">
        <v>125</v>
      </c>
      <c r="CK373" t="s">
        <v>125</v>
      </c>
      <c r="CL373" t="s">
        <v>125</v>
      </c>
      <c r="CM373" t="s">
        <v>125</v>
      </c>
      <c r="CN373" t="s">
        <v>125</v>
      </c>
      <c r="CO373" t="s">
        <v>125</v>
      </c>
      <c r="CP373" t="s">
        <v>125</v>
      </c>
      <c r="CQ373">
        <v>0.78723399999999999</v>
      </c>
      <c r="CR373">
        <v>1.021739</v>
      </c>
      <c r="CS373">
        <v>50</v>
      </c>
      <c r="CT373">
        <v>50</v>
      </c>
      <c r="CU373" t="s">
        <v>125</v>
      </c>
      <c r="CV373" t="s">
        <v>125</v>
      </c>
      <c r="CW373" t="s">
        <v>125</v>
      </c>
      <c r="CX373" t="s">
        <v>125</v>
      </c>
      <c r="CY373" t="s">
        <v>125</v>
      </c>
      <c r="CZ373" t="s">
        <v>125</v>
      </c>
      <c r="DA373">
        <v>15.314097</v>
      </c>
      <c r="DB373">
        <v>17.400950000000002</v>
      </c>
      <c r="DC373">
        <v>16.332519999999999</v>
      </c>
      <c r="DD373" t="s">
        <v>125</v>
      </c>
      <c r="DE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Q373" t="s">
        <v>126</v>
      </c>
    </row>
    <row r="374" spans="1:121" x14ac:dyDescent="0.15">
      <c r="A374">
        <v>2018</v>
      </c>
      <c r="B374" t="s">
        <v>236</v>
      </c>
      <c r="C374" t="str">
        <f t="shared" si="7"/>
        <v>0430011</v>
      </c>
      <c r="D374" t="s">
        <v>521</v>
      </c>
      <c r="E374" t="str">
        <f>"0436311"</f>
        <v>0436311</v>
      </c>
      <c r="F374" t="s">
        <v>328</v>
      </c>
      <c r="G374">
        <v>9</v>
      </c>
      <c r="H374">
        <v>12</v>
      </c>
      <c r="J374" t="s">
        <v>331</v>
      </c>
      <c r="K374">
        <v>990.84696799999995</v>
      </c>
      <c r="L374">
        <v>1050</v>
      </c>
      <c r="M374">
        <v>94.366377999999997</v>
      </c>
      <c r="N374">
        <v>1</v>
      </c>
      <c r="O374">
        <v>0</v>
      </c>
      <c r="P374">
        <v>66.937037000000004</v>
      </c>
      <c r="Q374">
        <v>133.87407400000001</v>
      </c>
      <c r="R374">
        <v>150</v>
      </c>
      <c r="S374" t="s">
        <v>125</v>
      </c>
      <c r="T374">
        <v>70.139785000000003</v>
      </c>
      <c r="U374" t="s">
        <v>125</v>
      </c>
      <c r="V374" t="s">
        <v>125</v>
      </c>
      <c r="W374">
        <v>59.766666999999998</v>
      </c>
      <c r="X374">
        <v>119.533333</v>
      </c>
      <c r="Y374">
        <v>150</v>
      </c>
      <c r="Z374">
        <v>63.27957</v>
      </c>
      <c r="AA374" t="s">
        <v>125</v>
      </c>
      <c r="AB374" t="s">
        <v>125</v>
      </c>
      <c r="AC374" t="s">
        <v>125</v>
      </c>
      <c r="AD374">
        <v>73.615385000000003</v>
      </c>
      <c r="AE374">
        <v>98.153846000000001</v>
      </c>
      <c r="AF374">
        <v>100</v>
      </c>
      <c r="AG374" t="s">
        <v>125</v>
      </c>
      <c r="AH374">
        <v>75</v>
      </c>
      <c r="AI374" t="s">
        <v>125</v>
      </c>
      <c r="AJ374" t="s">
        <v>125</v>
      </c>
      <c r="AK374" t="s">
        <v>125</v>
      </c>
      <c r="AL374" t="s">
        <v>125</v>
      </c>
      <c r="AM374" t="s">
        <v>125</v>
      </c>
      <c r="AN374" t="s">
        <v>125</v>
      </c>
      <c r="AO374" t="s">
        <v>125</v>
      </c>
      <c r="AP374" t="s">
        <v>125</v>
      </c>
      <c r="AQ374" t="s">
        <v>125</v>
      </c>
      <c r="AR374" t="s">
        <v>125</v>
      </c>
      <c r="AS374" t="s">
        <v>125</v>
      </c>
      <c r="AT374" t="s">
        <v>125</v>
      </c>
      <c r="AU374" t="s">
        <v>125</v>
      </c>
      <c r="AV374" t="s">
        <v>125</v>
      </c>
      <c r="AW374" t="s">
        <v>125</v>
      </c>
      <c r="AX374" t="s">
        <v>125</v>
      </c>
      <c r="AY374" t="s">
        <v>125</v>
      </c>
      <c r="AZ374" t="s">
        <v>125</v>
      </c>
      <c r="BA374" t="s">
        <v>125</v>
      </c>
      <c r="BB374" t="s">
        <v>125</v>
      </c>
      <c r="BC374" t="s">
        <v>125</v>
      </c>
      <c r="BD374" t="s">
        <v>125</v>
      </c>
      <c r="BE374" t="s">
        <v>125</v>
      </c>
      <c r="BF374" t="s">
        <v>125</v>
      </c>
      <c r="BG374" t="s">
        <v>125</v>
      </c>
      <c r="BH374">
        <v>0</v>
      </c>
      <c r="BI374">
        <v>1</v>
      </c>
      <c r="BJ374" t="s">
        <v>125</v>
      </c>
      <c r="BK374">
        <v>1</v>
      </c>
      <c r="BL374">
        <v>1</v>
      </c>
      <c r="BM374" t="s">
        <v>125</v>
      </c>
      <c r="BN374">
        <v>1</v>
      </c>
      <c r="BO374">
        <v>1</v>
      </c>
      <c r="BP374" t="s">
        <v>125</v>
      </c>
      <c r="BQ374">
        <v>1</v>
      </c>
      <c r="BR374">
        <v>3.2608999999999999E-2</v>
      </c>
      <c r="BS374">
        <v>50</v>
      </c>
      <c r="BT374">
        <v>50</v>
      </c>
      <c r="BU374">
        <v>1.5625E-2</v>
      </c>
      <c r="BV374">
        <v>50</v>
      </c>
      <c r="BW374">
        <v>50</v>
      </c>
      <c r="BX374">
        <v>1</v>
      </c>
      <c r="BY374">
        <v>50</v>
      </c>
      <c r="BZ374">
        <v>50</v>
      </c>
      <c r="CA374">
        <v>0.625</v>
      </c>
      <c r="CB374">
        <v>41.666666999999997</v>
      </c>
      <c r="CC374">
        <v>50</v>
      </c>
      <c r="CD374">
        <v>1</v>
      </c>
      <c r="CE374">
        <v>50</v>
      </c>
      <c r="CF374">
        <v>50</v>
      </c>
      <c r="CG374">
        <v>1</v>
      </c>
      <c r="CH374">
        <v>100</v>
      </c>
      <c r="CI374">
        <v>100</v>
      </c>
      <c r="CJ374">
        <v>0</v>
      </c>
      <c r="CK374">
        <v>1</v>
      </c>
      <c r="CL374">
        <v>100</v>
      </c>
      <c r="CM374">
        <v>100</v>
      </c>
      <c r="CN374">
        <v>0.86666699999999997</v>
      </c>
      <c r="CO374">
        <v>100</v>
      </c>
      <c r="CP374">
        <v>100</v>
      </c>
      <c r="CQ374">
        <v>0.71428599999999998</v>
      </c>
      <c r="CR374">
        <v>1</v>
      </c>
      <c r="CS374">
        <v>47.619047999999999</v>
      </c>
      <c r="CT374">
        <v>50</v>
      </c>
      <c r="CU374">
        <v>0.73369600000000001</v>
      </c>
      <c r="CV374">
        <v>50</v>
      </c>
      <c r="CW374">
        <v>50</v>
      </c>
      <c r="CX374">
        <v>1</v>
      </c>
      <c r="CY374">
        <v>0.94</v>
      </c>
      <c r="CZ374">
        <v>-0.06</v>
      </c>
      <c r="DA374">
        <v>15.314097</v>
      </c>
      <c r="DB374">
        <v>17.400950000000002</v>
      </c>
      <c r="DC374">
        <v>16.332519999999999</v>
      </c>
      <c r="DD374">
        <v>7.9891730000000001</v>
      </c>
      <c r="DE374">
        <v>0</v>
      </c>
      <c r="DH374" t="s">
        <v>332</v>
      </c>
      <c r="DI374" t="s">
        <v>333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Q374" t="s">
        <v>126</v>
      </c>
    </row>
    <row r="375" spans="1:121" x14ac:dyDescent="0.15">
      <c r="A375">
        <v>2018</v>
      </c>
      <c r="B375" t="s">
        <v>236</v>
      </c>
      <c r="C375" t="str">
        <f t="shared" si="7"/>
        <v>0430011</v>
      </c>
      <c r="D375" t="s">
        <v>522</v>
      </c>
      <c r="E375" t="str">
        <f>"0430611"</f>
        <v>0430611</v>
      </c>
      <c r="F375" t="s">
        <v>328</v>
      </c>
      <c r="G375" t="s">
        <v>339</v>
      </c>
      <c r="H375">
        <v>5</v>
      </c>
      <c r="I375" t="s">
        <v>336</v>
      </c>
      <c r="J375" t="s">
        <v>331</v>
      </c>
      <c r="K375">
        <v>575.31300499999998</v>
      </c>
      <c r="L375">
        <v>950</v>
      </c>
      <c r="M375">
        <v>60.559263999999999</v>
      </c>
      <c r="N375">
        <v>3</v>
      </c>
      <c r="O375">
        <v>0</v>
      </c>
      <c r="P375">
        <v>56.560769000000001</v>
      </c>
      <c r="Q375">
        <v>37.707178999999996</v>
      </c>
      <c r="R375">
        <v>50</v>
      </c>
      <c r="S375">
        <v>54.298546000000002</v>
      </c>
      <c r="T375">
        <v>66.659980000000004</v>
      </c>
      <c r="U375">
        <v>36.199030999999998</v>
      </c>
      <c r="V375">
        <v>50</v>
      </c>
      <c r="W375">
        <v>48.077032000000003</v>
      </c>
      <c r="X375">
        <v>32.051355000000001</v>
      </c>
      <c r="Y375">
        <v>50</v>
      </c>
      <c r="Z375">
        <v>56.066156999999997</v>
      </c>
      <c r="AA375">
        <v>46.273035999999998</v>
      </c>
      <c r="AB375">
        <v>30.848690999999999</v>
      </c>
      <c r="AC375">
        <v>50</v>
      </c>
      <c r="AD375">
        <v>53.485776999999999</v>
      </c>
      <c r="AE375">
        <v>35.657184999999998</v>
      </c>
      <c r="AF375">
        <v>50</v>
      </c>
      <c r="AG375">
        <v>51.693361000000003</v>
      </c>
      <c r="AH375" t="s">
        <v>125</v>
      </c>
      <c r="AI375">
        <v>34.462240999999999</v>
      </c>
      <c r="AJ375">
        <v>50</v>
      </c>
      <c r="AK375">
        <v>12.36</v>
      </c>
      <c r="AL375">
        <v>9.7899999999999991</v>
      </c>
      <c r="AM375" t="s">
        <v>125</v>
      </c>
      <c r="AN375">
        <v>0.608043</v>
      </c>
      <c r="AO375">
        <v>60.804287000000002</v>
      </c>
      <c r="AP375">
        <v>100</v>
      </c>
      <c r="AQ375">
        <v>0.48965399999999998</v>
      </c>
      <c r="AR375">
        <v>48.965404999999997</v>
      </c>
      <c r="AS375">
        <v>100</v>
      </c>
      <c r="AT375">
        <v>0.56328699999999998</v>
      </c>
      <c r="AU375">
        <v>0.78503199999999995</v>
      </c>
      <c r="AV375">
        <v>56.328699</v>
      </c>
      <c r="AW375">
        <v>100</v>
      </c>
      <c r="AX375">
        <v>0.46032600000000001</v>
      </c>
      <c r="AY375">
        <v>0.60696700000000003</v>
      </c>
      <c r="AZ375">
        <v>46.032592000000001</v>
      </c>
      <c r="BA375">
        <v>100</v>
      </c>
      <c r="BB375">
        <v>0.74463000000000001</v>
      </c>
      <c r="BC375">
        <v>37.231498000000002</v>
      </c>
      <c r="BD375">
        <v>50</v>
      </c>
      <c r="BE375">
        <v>0.55620999999999998</v>
      </c>
      <c r="BF375">
        <v>27.810517999999998</v>
      </c>
      <c r="BG375">
        <v>50</v>
      </c>
      <c r="BH375">
        <v>0</v>
      </c>
      <c r="BI375">
        <v>0.98901099999999997</v>
      </c>
      <c r="BJ375">
        <v>0.98666699999999996</v>
      </c>
      <c r="BK375">
        <v>1</v>
      </c>
      <c r="BL375">
        <v>0.98360700000000001</v>
      </c>
      <c r="BM375">
        <v>0.980132</v>
      </c>
      <c r="BN375">
        <v>1</v>
      </c>
      <c r="BO375">
        <v>1</v>
      </c>
      <c r="BP375">
        <v>1</v>
      </c>
      <c r="BQ375" t="s">
        <v>125</v>
      </c>
      <c r="BR375">
        <v>0.15426999999999999</v>
      </c>
      <c r="BS375">
        <v>29.146006</v>
      </c>
      <c r="BT375">
        <v>50</v>
      </c>
      <c r="BU375">
        <v>0.17940200000000001</v>
      </c>
      <c r="BV375">
        <v>24.119600999999999</v>
      </c>
      <c r="BW375">
        <v>50</v>
      </c>
      <c r="BX375" t="s">
        <v>125</v>
      </c>
      <c r="BY375" t="s">
        <v>125</v>
      </c>
      <c r="BZ375" t="s">
        <v>125</v>
      </c>
      <c r="CA375" t="s">
        <v>125</v>
      </c>
      <c r="CB375" t="s">
        <v>125</v>
      </c>
      <c r="CC375" t="s">
        <v>125</v>
      </c>
      <c r="CD375" t="s">
        <v>125</v>
      </c>
      <c r="CE375" t="s">
        <v>125</v>
      </c>
      <c r="CF375" t="s">
        <v>125</v>
      </c>
      <c r="CG375" t="s">
        <v>125</v>
      </c>
      <c r="CH375" t="s">
        <v>125</v>
      </c>
      <c r="CI375" t="s">
        <v>125</v>
      </c>
      <c r="CJ375" t="s">
        <v>125</v>
      </c>
      <c r="CK375" t="s">
        <v>125</v>
      </c>
      <c r="CL375" t="s">
        <v>125</v>
      </c>
      <c r="CM375" t="s">
        <v>125</v>
      </c>
      <c r="CN375" t="s">
        <v>125</v>
      </c>
      <c r="CO375" t="s">
        <v>125</v>
      </c>
      <c r="CP375" t="s">
        <v>125</v>
      </c>
      <c r="CQ375">
        <v>0.56923100000000004</v>
      </c>
      <c r="CR375">
        <v>1</v>
      </c>
      <c r="CS375">
        <v>37.948718</v>
      </c>
      <c r="CT375">
        <v>50</v>
      </c>
      <c r="CU375" t="s">
        <v>125</v>
      </c>
      <c r="CV375" t="s">
        <v>125</v>
      </c>
      <c r="CW375" t="s">
        <v>125</v>
      </c>
      <c r="CX375" t="s">
        <v>125</v>
      </c>
      <c r="CY375" t="s">
        <v>125</v>
      </c>
      <c r="CZ375" t="s">
        <v>125</v>
      </c>
      <c r="DA375">
        <v>15.314097</v>
      </c>
      <c r="DB375">
        <v>17.400950000000002</v>
      </c>
      <c r="DC375">
        <v>16.332519999999999</v>
      </c>
      <c r="DD375" t="s">
        <v>125</v>
      </c>
      <c r="DE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Q375" t="s">
        <v>126</v>
      </c>
    </row>
    <row r="376" spans="1:121" x14ac:dyDescent="0.15">
      <c r="A376">
        <v>2018</v>
      </c>
      <c r="B376" t="s">
        <v>236</v>
      </c>
      <c r="C376" t="str">
        <f t="shared" si="7"/>
        <v>0430011</v>
      </c>
      <c r="D376" t="s">
        <v>523</v>
      </c>
      <c r="E376" t="str">
        <f>"0432211"</f>
        <v>0432211</v>
      </c>
      <c r="F376" t="s">
        <v>328</v>
      </c>
      <c r="G376" t="s">
        <v>339</v>
      </c>
      <c r="H376">
        <v>5</v>
      </c>
      <c r="I376" t="s">
        <v>336</v>
      </c>
      <c r="J376" t="s">
        <v>331</v>
      </c>
      <c r="K376">
        <v>690.750857</v>
      </c>
      <c r="L376">
        <v>950</v>
      </c>
      <c r="M376">
        <v>72.710616999999999</v>
      </c>
      <c r="N376">
        <v>2</v>
      </c>
      <c r="O376">
        <v>0</v>
      </c>
      <c r="P376">
        <v>65.242673999999994</v>
      </c>
      <c r="Q376">
        <v>43.495116000000003</v>
      </c>
      <c r="R376">
        <v>50</v>
      </c>
      <c r="S376">
        <v>63.324449999999999</v>
      </c>
      <c r="T376">
        <v>72.012878000000001</v>
      </c>
      <c r="U376">
        <v>42.216299999999997</v>
      </c>
      <c r="V376">
        <v>50</v>
      </c>
      <c r="W376">
        <v>61.073461000000002</v>
      </c>
      <c r="X376">
        <v>40.71564</v>
      </c>
      <c r="Y376">
        <v>50</v>
      </c>
      <c r="Z376">
        <v>66.711008000000007</v>
      </c>
      <c r="AA376">
        <v>59.462733</v>
      </c>
      <c r="AB376">
        <v>39.641821999999998</v>
      </c>
      <c r="AC376">
        <v>50</v>
      </c>
      <c r="AD376">
        <v>58.551560000000002</v>
      </c>
      <c r="AE376">
        <v>39.034373000000002</v>
      </c>
      <c r="AF376">
        <v>50</v>
      </c>
      <c r="AG376">
        <v>57.540837000000003</v>
      </c>
      <c r="AH376" t="s">
        <v>125</v>
      </c>
      <c r="AI376">
        <v>38.360557999999997</v>
      </c>
      <c r="AJ376">
        <v>50</v>
      </c>
      <c r="AK376">
        <v>8.68</v>
      </c>
      <c r="AL376">
        <v>7.24</v>
      </c>
      <c r="AM376" t="s">
        <v>125</v>
      </c>
      <c r="AN376">
        <v>0.72936000000000001</v>
      </c>
      <c r="AO376">
        <v>72.935969999999998</v>
      </c>
      <c r="AP376">
        <v>100</v>
      </c>
      <c r="AQ376">
        <v>0.78898100000000004</v>
      </c>
      <c r="AR376">
        <v>78.898105000000001</v>
      </c>
      <c r="AS376">
        <v>100</v>
      </c>
      <c r="AT376">
        <v>0.72197699999999998</v>
      </c>
      <c r="AU376">
        <v>0.74959500000000001</v>
      </c>
      <c r="AV376">
        <v>72.197654999999997</v>
      </c>
      <c r="AW376">
        <v>100</v>
      </c>
      <c r="AX376">
        <v>0.77050799999999997</v>
      </c>
      <c r="AY376">
        <v>0.84029600000000004</v>
      </c>
      <c r="AZ376">
        <v>77.05077</v>
      </c>
      <c r="BA376">
        <v>100</v>
      </c>
      <c r="BB376">
        <v>0.42831599999999997</v>
      </c>
      <c r="BC376">
        <v>21.415794000000002</v>
      </c>
      <c r="BD376">
        <v>50</v>
      </c>
      <c r="BE376">
        <v>0.43436900000000001</v>
      </c>
      <c r="BF376">
        <v>21.718439</v>
      </c>
      <c r="BG376">
        <v>50</v>
      </c>
      <c r="BH376">
        <v>0</v>
      </c>
      <c r="BI376">
        <v>0.99438199999999999</v>
      </c>
      <c r="BJ376">
        <v>0.99290800000000001</v>
      </c>
      <c r="BK376">
        <v>1</v>
      </c>
      <c r="BL376">
        <v>0.99441299999999999</v>
      </c>
      <c r="BM376">
        <v>0.99295800000000001</v>
      </c>
      <c r="BN376">
        <v>1</v>
      </c>
      <c r="BO376">
        <v>0.98591499999999999</v>
      </c>
      <c r="BP376">
        <v>0.98181799999999997</v>
      </c>
      <c r="BQ376" t="s">
        <v>125</v>
      </c>
      <c r="BR376">
        <v>0.13411100000000001</v>
      </c>
      <c r="BS376">
        <v>33.177843000000003</v>
      </c>
      <c r="BT376">
        <v>50</v>
      </c>
      <c r="BU376">
        <v>0.15053800000000001</v>
      </c>
      <c r="BV376">
        <v>29.892472999999999</v>
      </c>
      <c r="BW376">
        <v>50</v>
      </c>
      <c r="BX376" t="s">
        <v>125</v>
      </c>
      <c r="BY376" t="s">
        <v>125</v>
      </c>
      <c r="BZ376" t="s">
        <v>125</v>
      </c>
      <c r="CA376" t="s">
        <v>125</v>
      </c>
      <c r="CB376" t="s">
        <v>125</v>
      </c>
      <c r="CC376" t="s">
        <v>125</v>
      </c>
      <c r="CD376" t="s">
        <v>125</v>
      </c>
      <c r="CE376" t="s">
        <v>125</v>
      </c>
      <c r="CF376" t="s">
        <v>125</v>
      </c>
      <c r="CG376" t="s">
        <v>125</v>
      </c>
      <c r="CH376" t="s">
        <v>125</v>
      </c>
      <c r="CI376" t="s">
        <v>125</v>
      </c>
      <c r="CJ376" t="s">
        <v>125</v>
      </c>
      <c r="CK376" t="s">
        <v>125</v>
      </c>
      <c r="CL376" t="s">
        <v>125</v>
      </c>
      <c r="CM376" t="s">
        <v>125</v>
      </c>
      <c r="CN376" t="s">
        <v>125</v>
      </c>
      <c r="CO376" t="s">
        <v>125</v>
      </c>
      <c r="CP376" t="s">
        <v>125</v>
      </c>
      <c r="CQ376">
        <v>0.6</v>
      </c>
      <c r="CR376">
        <v>1</v>
      </c>
      <c r="CS376">
        <v>40</v>
      </c>
      <c r="CT376">
        <v>50</v>
      </c>
      <c r="CU376" t="s">
        <v>125</v>
      </c>
      <c r="CV376" t="s">
        <v>125</v>
      </c>
      <c r="CW376" t="s">
        <v>125</v>
      </c>
      <c r="CX376" t="s">
        <v>125</v>
      </c>
      <c r="CY376" t="s">
        <v>125</v>
      </c>
      <c r="CZ376" t="s">
        <v>125</v>
      </c>
      <c r="DA376">
        <v>15.314097</v>
      </c>
      <c r="DB376">
        <v>17.400950000000002</v>
      </c>
      <c r="DC376">
        <v>16.332519999999999</v>
      </c>
      <c r="DD376" t="s">
        <v>125</v>
      </c>
      <c r="DE376">
        <v>0</v>
      </c>
      <c r="DH376" t="s">
        <v>332</v>
      </c>
      <c r="DI376" t="s">
        <v>524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Q376" t="s">
        <v>126</v>
      </c>
    </row>
    <row r="377" spans="1:121" x14ac:dyDescent="0.15">
      <c r="A377">
        <v>2018</v>
      </c>
      <c r="B377" t="s">
        <v>236</v>
      </c>
      <c r="C377" t="str">
        <f t="shared" si="7"/>
        <v>0430011</v>
      </c>
      <c r="D377" t="s">
        <v>525</v>
      </c>
      <c r="E377" t="str">
        <f>"0431011"</f>
        <v>0431011</v>
      </c>
      <c r="F377" t="s">
        <v>328</v>
      </c>
      <c r="G377" t="s">
        <v>339</v>
      </c>
      <c r="H377">
        <v>5</v>
      </c>
      <c r="I377" t="s">
        <v>336</v>
      </c>
      <c r="J377" t="s">
        <v>331</v>
      </c>
      <c r="K377">
        <v>727.01265100000001</v>
      </c>
      <c r="L377">
        <v>950</v>
      </c>
      <c r="M377">
        <v>76.527647999999999</v>
      </c>
      <c r="N377">
        <v>2</v>
      </c>
      <c r="O377">
        <v>0</v>
      </c>
      <c r="P377">
        <v>67.983979000000005</v>
      </c>
      <c r="Q377">
        <v>45.322653000000003</v>
      </c>
      <c r="R377">
        <v>50</v>
      </c>
      <c r="S377">
        <v>61.755076000000003</v>
      </c>
      <c r="T377">
        <v>75</v>
      </c>
      <c r="U377">
        <v>41.170051000000001</v>
      </c>
      <c r="V377">
        <v>50</v>
      </c>
      <c r="W377">
        <v>65.042983000000007</v>
      </c>
      <c r="X377">
        <v>43.361989000000001</v>
      </c>
      <c r="Y377">
        <v>50</v>
      </c>
      <c r="Z377">
        <v>71.944034000000002</v>
      </c>
      <c r="AA377">
        <v>59.184536999999999</v>
      </c>
      <c r="AB377">
        <v>39.456358000000002</v>
      </c>
      <c r="AC377">
        <v>50</v>
      </c>
      <c r="AD377">
        <v>64.432418999999996</v>
      </c>
      <c r="AE377">
        <v>42.954946</v>
      </c>
      <c r="AF377">
        <v>50</v>
      </c>
      <c r="AG377">
        <v>61.681097999999999</v>
      </c>
      <c r="AH377">
        <v>68.079520000000002</v>
      </c>
      <c r="AI377">
        <v>41.120731999999997</v>
      </c>
      <c r="AJ377">
        <v>50</v>
      </c>
      <c r="AK377">
        <v>13.24</v>
      </c>
      <c r="AL377">
        <v>12.75</v>
      </c>
      <c r="AM377">
        <v>6.39</v>
      </c>
      <c r="AN377">
        <v>0.72259600000000002</v>
      </c>
      <c r="AO377">
        <v>72.259619000000001</v>
      </c>
      <c r="AP377">
        <v>100</v>
      </c>
      <c r="AQ377">
        <v>0.76574500000000001</v>
      </c>
      <c r="AR377">
        <v>76.574451999999994</v>
      </c>
      <c r="AS377">
        <v>100</v>
      </c>
      <c r="AT377">
        <v>0.69803000000000004</v>
      </c>
      <c r="AU377">
        <v>0.75171200000000005</v>
      </c>
      <c r="AV377">
        <v>69.802987999999999</v>
      </c>
      <c r="AW377">
        <v>100</v>
      </c>
      <c r="AX377">
        <v>0.74222299999999997</v>
      </c>
      <c r="AY377">
        <v>0.79396999999999995</v>
      </c>
      <c r="AZ377">
        <v>74.222346000000002</v>
      </c>
      <c r="BA377">
        <v>100</v>
      </c>
      <c r="BB377">
        <v>0.78300599999999998</v>
      </c>
      <c r="BC377">
        <v>39.150314999999999</v>
      </c>
      <c r="BD377">
        <v>50</v>
      </c>
      <c r="BE377">
        <v>0.61739699999999997</v>
      </c>
      <c r="BF377">
        <v>30.869828999999999</v>
      </c>
      <c r="BG377">
        <v>50</v>
      </c>
      <c r="BH377">
        <v>0</v>
      </c>
      <c r="BI377">
        <v>0.99637699999999996</v>
      </c>
      <c r="BJ377">
        <v>0.99333300000000002</v>
      </c>
      <c r="BK377">
        <v>1</v>
      </c>
      <c r="BL377">
        <v>0.99278</v>
      </c>
      <c r="BM377">
        <v>0.99337699999999995</v>
      </c>
      <c r="BN377">
        <v>0.99206300000000003</v>
      </c>
      <c r="BO377">
        <v>1</v>
      </c>
      <c r="BP377">
        <v>1</v>
      </c>
      <c r="BQ377">
        <v>1</v>
      </c>
      <c r="BR377">
        <v>0.100559</v>
      </c>
      <c r="BS377">
        <v>39.888267999999997</v>
      </c>
      <c r="BT377">
        <v>50</v>
      </c>
      <c r="BU377">
        <v>0.15359500000000001</v>
      </c>
      <c r="BV377">
        <v>29.281046</v>
      </c>
      <c r="BW377">
        <v>50</v>
      </c>
      <c r="BX377" t="s">
        <v>125</v>
      </c>
      <c r="BY377" t="s">
        <v>125</v>
      </c>
      <c r="BZ377" t="s">
        <v>125</v>
      </c>
      <c r="CA377" t="s">
        <v>125</v>
      </c>
      <c r="CB377" t="s">
        <v>125</v>
      </c>
      <c r="CC377" t="s">
        <v>125</v>
      </c>
      <c r="CD377" t="s">
        <v>125</v>
      </c>
      <c r="CE377" t="s">
        <v>125</v>
      </c>
      <c r="CF377" t="s">
        <v>125</v>
      </c>
      <c r="CG377" t="s">
        <v>125</v>
      </c>
      <c r="CH377" t="s">
        <v>125</v>
      </c>
      <c r="CI377" t="s">
        <v>125</v>
      </c>
      <c r="CJ377" t="s">
        <v>125</v>
      </c>
      <c r="CK377" t="s">
        <v>125</v>
      </c>
      <c r="CL377" t="s">
        <v>125</v>
      </c>
      <c r="CM377" t="s">
        <v>125</v>
      </c>
      <c r="CN377" t="s">
        <v>125</v>
      </c>
      <c r="CO377" t="s">
        <v>125</v>
      </c>
      <c r="CP377" t="s">
        <v>125</v>
      </c>
      <c r="CQ377">
        <v>0.62365599999999999</v>
      </c>
      <c r="CR377">
        <v>1</v>
      </c>
      <c r="CS377">
        <v>41.577061</v>
      </c>
      <c r="CT377">
        <v>50</v>
      </c>
      <c r="CU377" t="s">
        <v>125</v>
      </c>
      <c r="CV377" t="s">
        <v>125</v>
      </c>
      <c r="CW377" t="s">
        <v>125</v>
      </c>
      <c r="CX377" t="s">
        <v>125</v>
      </c>
      <c r="CY377" t="s">
        <v>125</v>
      </c>
      <c r="CZ377" t="s">
        <v>125</v>
      </c>
      <c r="DA377">
        <v>15.314097</v>
      </c>
      <c r="DB377">
        <v>17.400950000000002</v>
      </c>
      <c r="DC377">
        <v>16.332519999999999</v>
      </c>
      <c r="DD377" t="s">
        <v>125</v>
      </c>
      <c r="DE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Q377" t="s">
        <v>126</v>
      </c>
    </row>
    <row r="378" spans="1:121" x14ac:dyDescent="0.15">
      <c r="A378">
        <v>2018</v>
      </c>
      <c r="B378" t="s">
        <v>236</v>
      </c>
      <c r="C378" t="str">
        <f t="shared" si="7"/>
        <v>0430011</v>
      </c>
      <c r="D378" t="s">
        <v>526</v>
      </c>
      <c r="E378" t="str">
        <f>"0436211"</f>
        <v>0436211</v>
      </c>
      <c r="F378" t="s">
        <v>328</v>
      </c>
      <c r="G378">
        <v>9</v>
      </c>
      <c r="H378">
        <v>12</v>
      </c>
      <c r="J378" t="s">
        <v>331</v>
      </c>
      <c r="K378">
        <v>1089.4808419999999</v>
      </c>
      <c r="L378">
        <v>1550</v>
      </c>
      <c r="M378">
        <v>70.289086999999995</v>
      </c>
      <c r="N378">
        <v>2</v>
      </c>
      <c r="O378">
        <v>0</v>
      </c>
      <c r="P378">
        <v>48.042484000000002</v>
      </c>
      <c r="Q378">
        <v>96.084967000000006</v>
      </c>
      <c r="R378">
        <v>150</v>
      </c>
      <c r="S378">
        <v>44.622222000000001</v>
      </c>
      <c r="T378">
        <v>52.928570999999998</v>
      </c>
      <c r="U378">
        <v>89.244444000000001</v>
      </c>
      <c r="V378">
        <v>150</v>
      </c>
      <c r="W378">
        <v>45.529412000000001</v>
      </c>
      <c r="X378">
        <v>91.058824000000001</v>
      </c>
      <c r="Y378">
        <v>150</v>
      </c>
      <c r="Z378">
        <v>49.607143000000001</v>
      </c>
      <c r="AA378">
        <v>42.674999999999997</v>
      </c>
      <c r="AB378">
        <v>85.35</v>
      </c>
      <c r="AC378">
        <v>150</v>
      </c>
      <c r="AD378">
        <v>50.530504999999998</v>
      </c>
      <c r="AE378">
        <v>67.374007000000006</v>
      </c>
      <c r="AF378">
        <v>100</v>
      </c>
      <c r="AG378">
        <v>46.596868000000001</v>
      </c>
      <c r="AH378">
        <v>56.098900999999998</v>
      </c>
      <c r="AI378">
        <v>62.129156999999999</v>
      </c>
      <c r="AJ378">
        <v>100</v>
      </c>
      <c r="AK378">
        <v>8.3000000000000007</v>
      </c>
      <c r="AL378">
        <v>6.93</v>
      </c>
      <c r="AM378">
        <v>9.5</v>
      </c>
      <c r="AN378" t="s">
        <v>125</v>
      </c>
      <c r="AO378" t="s">
        <v>125</v>
      </c>
      <c r="AP378" t="s">
        <v>125</v>
      </c>
      <c r="AQ378" t="s">
        <v>125</v>
      </c>
      <c r="AR378" t="s">
        <v>125</v>
      </c>
      <c r="AS378" t="s">
        <v>125</v>
      </c>
      <c r="AT378" t="s">
        <v>125</v>
      </c>
      <c r="AU378" t="s">
        <v>125</v>
      </c>
      <c r="AV378" t="s">
        <v>125</v>
      </c>
      <c r="AW378" t="s">
        <v>125</v>
      </c>
      <c r="AX378" t="s">
        <v>125</v>
      </c>
      <c r="AY378" t="s">
        <v>125</v>
      </c>
      <c r="AZ378" t="s">
        <v>125</v>
      </c>
      <c r="BA378" t="s">
        <v>125</v>
      </c>
      <c r="BB378">
        <v>0.46018300000000001</v>
      </c>
      <c r="BC378">
        <v>23.009139000000001</v>
      </c>
      <c r="BD378">
        <v>50</v>
      </c>
      <c r="BE378">
        <v>0.49631799999999998</v>
      </c>
      <c r="BF378">
        <v>24.815919999999998</v>
      </c>
      <c r="BG378">
        <v>50</v>
      </c>
      <c r="BH378">
        <v>0</v>
      </c>
      <c r="BI378">
        <v>0.99262899999999998</v>
      </c>
      <c r="BJ378">
        <v>0.99183699999999997</v>
      </c>
      <c r="BK378">
        <v>0.99382700000000002</v>
      </c>
      <c r="BL378">
        <v>0.99262899999999998</v>
      </c>
      <c r="BM378">
        <v>0.99183699999999997</v>
      </c>
      <c r="BN378">
        <v>0.99382700000000002</v>
      </c>
      <c r="BO378">
        <v>0.99259299999999995</v>
      </c>
      <c r="BP378">
        <v>0.98770500000000006</v>
      </c>
      <c r="BQ378">
        <v>1</v>
      </c>
      <c r="BR378">
        <v>8.0366999999999994E-2</v>
      </c>
      <c r="BS378">
        <v>43.926521000000001</v>
      </c>
      <c r="BT378">
        <v>50</v>
      </c>
      <c r="BU378">
        <v>0.111211</v>
      </c>
      <c r="BV378">
        <v>37.757848000000003</v>
      </c>
      <c r="BW378">
        <v>50</v>
      </c>
      <c r="BX378">
        <v>0.59761900000000001</v>
      </c>
      <c r="BY378">
        <v>39.841270000000002</v>
      </c>
      <c r="BZ378">
        <v>50</v>
      </c>
      <c r="CA378">
        <v>0.24166699999999999</v>
      </c>
      <c r="CB378">
        <v>16.111111000000001</v>
      </c>
      <c r="CC378">
        <v>50</v>
      </c>
      <c r="CD378">
        <v>0.83936699999999997</v>
      </c>
      <c r="CE378">
        <v>44.647154999999998</v>
      </c>
      <c r="CF378">
        <v>50</v>
      </c>
      <c r="CG378">
        <v>0.92682900000000001</v>
      </c>
      <c r="CH378">
        <v>98.598858000000007</v>
      </c>
      <c r="CI378">
        <v>100</v>
      </c>
      <c r="CJ378">
        <v>0</v>
      </c>
      <c r="CK378">
        <v>0.961538</v>
      </c>
      <c r="CL378">
        <v>100</v>
      </c>
      <c r="CM378">
        <v>100</v>
      </c>
      <c r="CN378">
        <v>0.64367799999999997</v>
      </c>
      <c r="CO378">
        <v>85.823755000000006</v>
      </c>
      <c r="CP378">
        <v>100</v>
      </c>
      <c r="CQ378">
        <v>0.50561800000000001</v>
      </c>
      <c r="CR378">
        <v>0.96112299999999995</v>
      </c>
      <c r="CS378">
        <v>33.707864999999998</v>
      </c>
      <c r="CT378">
        <v>50</v>
      </c>
      <c r="CU378">
        <v>0.63892099999999996</v>
      </c>
      <c r="CV378">
        <v>50</v>
      </c>
      <c r="CW378">
        <v>50</v>
      </c>
      <c r="CX378">
        <v>0.961538</v>
      </c>
      <c r="CY378">
        <v>0.94</v>
      </c>
      <c r="CZ378">
        <v>-2.1538000000000002E-2</v>
      </c>
      <c r="DA378">
        <v>15.314097</v>
      </c>
      <c r="DB378">
        <v>17.400950000000002</v>
      </c>
      <c r="DC378">
        <v>16.332519999999999</v>
      </c>
      <c r="DD378">
        <v>7.9891730000000001</v>
      </c>
      <c r="DE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Q378" t="s">
        <v>126</v>
      </c>
    </row>
    <row r="379" spans="1:121" x14ac:dyDescent="0.15">
      <c r="A379">
        <v>2018</v>
      </c>
      <c r="B379" t="s">
        <v>236</v>
      </c>
      <c r="C379" t="str">
        <f t="shared" si="7"/>
        <v>0430011</v>
      </c>
      <c r="D379" t="s">
        <v>527</v>
      </c>
      <c r="E379" t="str">
        <f>"0435111"</f>
        <v>0435111</v>
      </c>
      <c r="F379" t="s">
        <v>328</v>
      </c>
      <c r="G379">
        <v>6</v>
      </c>
      <c r="H379">
        <v>8</v>
      </c>
      <c r="I379" t="s">
        <v>336</v>
      </c>
      <c r="J379" t="s">
        <v>331</v>
      </c>
      <c r="K379">
        <v>577.22425599999997</v>
      </c>
      <c r="L379">
        <v>1000</v>
      </c>
      <c r="M379">
        <v>57.722425999999999</v>
      </c>
      <c r="N379">
        <v>3</v>
      </c>
      <c r="O379">
        <v>1</v>
      </c>
      <c r="P379">
        <v>56.376837999999999</v>
      </c>
      <c r="Q379">
        <v>37.584558999999999</v>
      </c>
      <c r="R379">
        <v>50</v>
      </c>
      <c r="S379">
        <v>52.690486</v>
      </c>
      <c r="T379">
        <v>68.110418999999993</v>
      </c>
      <c r="U379">
        <v>35.126990999999997</v>
      </c>
      <c r="V379">
        <v>50</v>
      </c>
      <c r="W379">
        <v>45.195915999999997</v>
      </c>
      <c r="X379">
        <v>30.130610999999998</v>
      </c>
      <c r="Y379">
        <v>50</v>
      </c>
      <c r="Z379">
        <v>55.818828000000003</v>
      </c>
      <c r="AA379">
        <v>41.826976000000002</v>
      </c>
      <c r="AB379">
        <v>27.884651000000002</v>
      </c>
      <c r="AC379">
        <v>50</v>
      </c>
      <c r="AD379">
        <v>51.045571000000002</v>
      </c>
      <c r="AE379">
        <v>34.030380000000001</v>
      </c>
      <c r="AF379">
        <v>50</v>
      </c>
      <c r="AG379">
        <v>47.898817000000001</v>
      </c>
      <c r="AH379">
        <v>59.538013999999997</v>
      </c>
      <c r="AI379">
        <v>31.932545000000001</v>
      </c>
      <c r="AJ379">
        <v>50</v>
      </c>
      <c r="AK379">
        <v>15.41</v>
      </c>
      <c r="AL379">
        <v>13.99</v>
      </c>
      <c r="AM379">
        <v>11.63</v>
      </c>
      <c r="AN379">
        <v>0.51470700000000003</v>
      </c>
      <c r="AO379">
        <v>51.470669999999998</v>
      </c>
      <c r="AP379">
        <v>100</v>
      </c>
      <c r="AQ379">
        <v>0.43217</v>
      </c>
      <c r="AR379">
        <v>43.216983999999997</v>
      </c>
      <c r="AS379">
        <v>100</v>
      </c>
      <c r="AT379">
        <v>0.51030200000000003</v>
      </c>
      <c r="AU379">
        <v>0.52748200000000001</v>
      </c>
      <c r="AV379">
        <v>51.030199000000003</v>
      </c>
      <c r="AW379">
        <v>100</v>
      </c>
      <c r="AX379">
        <v>0.42728500000000003</v>
      </c>
      <c r="AY379">
        <v>0.446075</v>
      </c>
      <c r="AZ379">
        <v>42.728465999999997</v>
      </c>
      <c r="BA379">
        <v>100</v>
      </c>
      <c r="BB379">
        <v>0.55133299999999996</v>
      </c>
      <c r="BC379">
        <v>27.566669999999998</v>
      </c>
      <c r="BD379">
        <v>50</v>
      </c>
      <c r="BE379">
        <v>0.50139800000000001</v>
      </c>
      <c r="BF379">
        <v>25.06992</v>
      </c>
      <c r="BG379">
        <v>50</v>
      </c>
      <c r="BH379">
        <v>0</v>
      </c>
      <c r="BI379">
        <v>0.99725299999999995</v>
      </c>
      <c r="BJ379">
        <v>0.99644100000000002</v>
      </c>
      <c r="BK379">
        <v>1</v>
      </c>
      <c r="BL379">
        <v>0.98901099999999997</v>
      </c>
      <c r="BM379">
        <v>0.98810900000000002</v>
      </c>
      <c r="BN379">
        <v>0.99203200000000002</v>
      </c>
      <c r="BO379">
        <v>0.98559099999999999</v>
      </c>
      <c r="BP379">
        <v>0.980545</v>
      </c>
      <c r="BQ379">
        <v>1</v>
      </c>
      <c r="BR379">
        <v>0.10835599999999999</v>
      </c>
      <c r="BS379">
        <v>38.328741999999998</v>
      </c>
      <c r="BT379">
        <v>50</v>
      </c>
      <c r="BU379">
        <v>0.12801899999999999</v>
      </c>
      <c r="BV379">
        <v>34.396135000000001</v>
      </c>
      <c r="BW379">
        <v>50</v>
      </c>
      <c r="BX379" t="s">
        <v>125</v>
      </c>
      <c r="BY379" t="s">
        <v>125</v>
      </c>
      <c r="BZ379" t="s">
        <v>125</v>
      </c>
      <c r="CA379" t="s">
        <v>125</v>
      </c>
      <c r="CB379" t="s">
        <v>125</v>
      </c>
      <c r="CC379" t="s">
        <v>125</v>
      </c>
      <c r="CD379">
        <v>0.86549699999999996</v>
      </c>
      <c r="CE379">
        <v>46.037078999999999</v>
      </c>
      <c r="CF379">
        <v>50</v>
      </c>
      <c r="CG379" t="s">
        <v>125</v>
      </c>
      <c r="CH379" t="s">
        <v>125</v>
      </c>
      <c r="CI379" t="s">
        <v>125</v>
      </c>
      <c r="CJ379" t="s">
        <v>125</v>
      </c>
      <c r="CK379" t="s">
        <v>125</v>
      </c>
      <c r="CL379" t="s">
        <v>125</v>
      </c>
      <c r="CM379" t="s">
        <v>125</v>
      </c>
      <c r="CN379" t="s">
        <v>125</v>
      </c>
      <c r="CO379" t="s">
        <v>125</v>
      </c>
      <c r="CP379" t="s">
        <v>125</v>
      </c>
      <c r="CQ379">
        <v>0.31034499999999998</v>
      </c>
      <c r="CR379">
        <v>1.0041549999999999</v>
      </c>
      <c r="CS379">
        <v>20.689654999999998</v>
      </c>
      <c r="CT379">
        <v>50</v>
      </c>
      <c r="CU379" t="s">
        <v>125</v>
      </c>
      <c r="CV379" t="s">
        <v>125</v>
      </c>
      <c r="CW379" t="s">
        <v>125</v>
      </c>
      <c r="CX379" t="s">
        <v>125</v>
      </c>
      <c r="CY379" t="s">
        <v>125</v>
      </c>
      <c r="CZ379" t="s">
        <v>125</v>
      </c>
      <c r="DA379">
        <v>15.314097</v>
      </c>
      <c r="DB379">
        <v>17.400950000000002</v>
      </c>
      <c r="DC379">
        <v>16.332519999999999</v>
      </c>
      <c r="DD379" t="s">
        <v>125</v>
      </c>
      <c r="DE379">
        <v>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Q379" t="s">
        <v>126</v>
      </c>
    </row>
    <row r="380" spans="1:121" x14ac:dyDescent="0.15">
      <c r="A380">
        <v>2018</v>
      </c>
      <c r="B380" t="s">
        <v>236</v>
      </c>
      <c r="C380" t="str">
        <f t="shared" si="7"/>
        <v>0430011</v>
      </c>
      <c r="D380" t="s">
        <v>528</v>
      </c>
      <c r="E380" t="str">
        <f>"0432011"</f>
        <v>0432011</v>
      </c>
      <c r="F380" t="s">
        <v>328</v>
      </c>
      <c r="G380" t="s">
        <v>339</v>
      </c>
      <c r="H380">
        <v>5</v>
      </c>
      <c r="I380" t="s">
        <v>336</v>
      </c>
      <c r="J380" t="s">
        <v>331</v>
      </c>
      <c r="K380">
        <v>736.10019899999998</v>
      </c>
      <c r="L380">
        <v>950</v>
      </c>
      <c r="M380">
        <v>77.484230999999994</v>
      </c>
      <c r="N380">
        <v>2</v>
      </c>
      <c r="O380">
        <v>0</v>
      </c>
      <c r="P380">
        <v>71.007716000000002</v>
      </c>
      <c r="Q380">
        <v>47.338476999999997</v>
      </c>
      <c r="R380">
        <v>50</v>
      </c>
      <c r="S380">
        <v>67.256894000000003</v>
      </c>
      <c r="T380">
        <v>75</v>
      </c>
      <c r="U380">
        <v>44.83793</v>
      </c>
      <c r="V380">
        <v>50</v>
      </c>
      <c r="W380">
        <v>61.849159</v>
      </c>
      <c r="X380">
        <v>41.232773000000002</v>
      </c>
      <c r="Y380">
        <v>50</v>
      </c>
      <c r="Z380">
        <v>67.144532999999996</v>
      </c>
      <c r="AA380">
        <v>58.901220000000002</v>
      </c>
      <c r="AB380">
        <v>39.267479999999999</v>
      </c>
      <c r="AC380">
        <v>50</v>
      </c>
      <c r="AD380">
        <v>60.353316999999997</v>
      </c>
      <c r="AE380">
        <v>40.235545000000002</v>
      </c>
      <c r="AF380">
        <v>50</v>
      </c>
      <c r="AG380">
        <v>54.770429999999998</v>
      </c>
      <c r="AH380">
        <v>67.635344000000003</v>
      </c>
      <c r="AI380">
        <v>36.513620000000003</v>
      </c>
      <c r="AJ380">
        <v>50</v>
      </c>
      <c r="AK380">
        <v>7.74</v>
      </c>
      <c r="AL380">
        <v>8.24</v>
      </c>
      <c r="AM380">
        <v>12.86</v>
      </c>
      <c r="AN380">
        <v>0.79719499999999999</v>
      </c>
      <c r="AO380">
        <v>79.719538</v>
      </c>
      <c r="AP380">
        <v>100</v>
      </c>
      <c r="AQ380">
        <v>0.59343999999999997</v>
      </c>
      <c r="AR380">
        <v>59.343964</v>
      </c>
      <c r="AS380">
        <v>100</v>
      </c>
      <c r="AT380">
        <v>0.83401899999999995</v>
      </c>
      <c r="AU380">
        <v>0.74564200000000003</v>
      </c>
      <c r="AV380">
        <v>83.401926000000003</v>
      </c>
      <c r="AW380">
        <v>100</v>
      </c>
      <c r="AX380">
        <v>0.60035899999999998</v>
      </c>
      <c r="AY380">
        <v>0.58375200000000005</v>
      </c>
      <c r="AZ380">
        <v>60.035916999999998</v>
      </c>
      <c r="BA380">
        <v>100</v>
      </c>
      <c r="BB380">
        <v>0.75724000000000002</v>
      </c>
      <c r="BC380">
        <v>37.861994000000003</v>
      </c>
      <c r="BD380">
        <v>50</v>
      </c>
      <c r="BE380">
        <v>0.54580200000000001</v>
      </c>
      <c r="BF380">
        <v>27.290123999999999</v>
      </c>
      <c r="BG380">
        <v>50</v>
      </c>
      <c r="BH380">
        <v>0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5.7402000000000002E-2</v>
      </c>
      <c r="BS380">
        <v>48.519637000000003</v>
      </c>
      <c r="BT380">
        <v>50</v>
      </c>
      <c r="BU380">
        <v>7.4765999999999999E-2</v>
      </c>
      <c r="BV380">
        <v>45.046728999999999</v>
      </c>
      <c r="BW380">
        <v>50</v>
      </c>
      <c r="BX380" t="s">
        <v>125</v>
      </c>
      <c r="BY380" t="s">
        <v>125</v>
      </c>
      <c r="BZ380" t="s">
        <v>125</v>
      </c>
      <c r="CA380" t="s">
        <v>125</v>
      </c>
      <c r="CB380" t="s">
        <v>125</v>
      </c>
      <c r="CC380" t="s">
        <v>125</v>
      </c>
      <c r="CD380" t="s">
        <v>125</v>
      </c>
      <c r="CE380" t="s">
        <v>125</v>
      </c>
      <c r="CF380" t="s">
        <v>125</v>
      </c>
      <c r="CG380" t="s">
        <v>125</v>
      </c>
      <c r="CH380" t="s">
        <v>125</v>
      </c>
      <c r="CI380" t="s">
        <v>125</v>
      </c>
      <c r="CJ380" t="s">
        <v>125</v>
      </c>
      <c r="CK380" t="s">
        <v>125</v>
      </c>
      <c r="CL380" t="s">
        <v>125</v>
      </c>
      <c r="CM380" t="s">
        <v>125</v>
      </c>
      <c r="CN380" t="s">
        <v>125</v>
      </c>
      <c r="CO380" t="s">
        <v>125</v>
      </c>
      <c r="CP380" t="s">
        <v>125</v>
      </c>
      <c r="CQ380">
        <v>0.68181800000000004</v>
      </c>
      <c r="CR380">
        <v>1</v>
      </c>
      <c r="CS380">
        <v>45.454545000000003</v>
      </c>
      <c r="CT380">
        <v>50</v>
      </c>
      <c r="CU380" t="s">
        <v>125</v>
      </c>
      <c r="CV380" t="s">
        <v>125</v>
      </c>
      <c r="CW380" t="s">
        <v>125</v>
      </c>
      <c r="CX380" t="s">
        <v>125</v>
      </c>
      <c r="CY380" t="s">
        <v>125</v>
      </c>
      <c r="CZ380" t="s">
        <v>125</v>
      </c>
      <c r="DA380">
        <v>15.314097</v>
      </c>
      <c r="DB380">
        <v>17.400950000000002</v>
      </c>
      <c r="DC380">
        <v>16.332519999999999</v>
      </c>
      <c r="DD380" t="s">
        <v>125</v>
      </c>
      <c r="DE380">
        <v>0</v>
      </c>
      <c r="DH380" t="s">
        <v>332</v>
      </c>
      <c r="DI380" t="s">
        <v>529</v>
      </c>
      <c r="DJ380">
        <v>0</v>
      </c>
      <c r="DK380">
        <v>1</v>
      </c>
      <c r="DL380">
        <v>0</v>
      </c>
      <c r="DM380">
        <v>1</v>
      </c>
      <c r="DN380">
        <v>0</v>
      </c>
      <c r="DO380">
        <v>0</v>
      </c>
      <c r="DQ380" t="s">
        <v>126</v>
      </c>
    </row>
    <row r="381" spans="1:121" x14ac:dyDescent="0.15">
      <c r="A381">
        <v>2018</v>
      </c>
      <c r="B381" t="s">
        <v>236</v>
      </c>
      <c r="C381" t="str">
        <f t="shared" si="7"/>
        <v>0430011</v>
      </c>
      <c r="D381" t="s">
        <v>530</v>
      </c>
      <c r="E381" t="str">
        <f>"0430411"</f>
        <v>0430411</v>
      </c>
      <c r="F381" t="s">
        <v>328</v>
      </c>
      <c r="G381" t="s">
        <v>339</v>
      </c>
      <c r="H381">
        <v>5</v>
      </c>
      <c r="I381" t="s">
        <v>336</v>
      </c>
      <c r="J381" t="s">
        <v>331</v>
      </c>
      <c r="K381">
        <v>629.23961999999995</v>
      </c>
      <c r="L381">
        <v>950</v>
      </c>
      <c r="M381">
        <v>66.235748999999998</v>
      </c>
      <c r="N381">
        <v>3</v>
      </c>
      <c r="O381">
        <v>0</v>
      </c>
      <c r="P381">
        <v>67.333207999999999</v>
      </c>
      <c r="Q381">
        <v>44.888804999999998</v>
      </c>
      <c r="R381">
        <v>50</v>
      </c>
      <c r="S381">
        <v>62.998263000000001</v>
      </c>
      <c r="T381">
        <v>75</v>
      </c>
      <c r="U381">
        <v>41.998842000000003</v>
      </c>
      <c r="V381">
        <v>50</v>
      </c>
      <c r="W381">
        <v>56.502464000000003</v>
      </c>
      <c r="X381">
        <v>37.668309000000001</v>
      </c>
      <c r="Y381">
        <v>50</v>
      </c>
      <c r="Z381">
        <v>64.383179999999996</v>
      </c>
      <c r="AA381">
        <v>53.257463000000001</v>
      </c>
      <c r="AB381">
        <v>35.504975000000002</v>
      </c>
      <c r="AC381">
        <v>50</v>
      </c>
      <c r="AD381">
        <v>60.908154000000003</v>
      </c>
      <c r="AE381">
        <v>40.605435999999997</v>
      </c>
      <c r="AF381">
        <v>50</v>
      </c>
      <c r="AG381">
        <v>55.255789999999998</v>
      </c>
      <c r="AH381" t="s">
        <v>125</v>
      </c>
      <c r="AI381">
        <v>36.837192999999999</v>
      </c>
      <c r="AJ381">
        <v>50</v>
      </c>
      <c r="AK381">
        <v>12</v>
      </c>
      <c r="AL381">
        <v>11.12</v>
      </c>
      <c r="AM381" t="s">
        <v>125</v>
      </c>
      <c r="AN381">
        <v>0.72260400000000002</v>
      </c>
      <c r="AO381">
        <v>72.260352999999995</v>
      </c>
      <c r="AP381">
        <v>100</v>
      </c>
      <c r="AQ381">
        <v>0.60231299999999999</v>
      </c>
      <c r="AR381">
        <v>60.231321999999999</v>
      </c>
      <c r="AS381">
        <v>100</v>
      </c>
      <c r="AT381">
        <v>0.68056799999999995</v>
      </c>
      <c r="AU381">
        <v>0.806674</v>
      </c>
      <c r="AV381">
        <v>68.056820999999999</v>
      </c>
      <c r="AW381">
        <v>100</v>
      </c>
      <c r="AX381">
        <v>0.60201899999999997</v>
      </c>
      <c r="AY381">
        <v>0.60289300000000001</v>
      </c>
      <c r="AZ381">
        <v>60.201937999999998</v>
      </c>
      <c r="BA381">
        <v>100</v>
      </c>
      <c r="BB381">
        <v>0.78693100000000005</v>
      </c>
      <c r="BC381">
        <v>39.346569000000002</v>
      </c>
      <c r="BD381">
        <v>50</v>
      </c>
      <c r="BE381">
        <v>0.38197599999999998</v>
      </c>
      <c r="BF381">
        <v>19.098801000000002</v>
      </c>
      <c r="BG381">
        <v>50</v>
      </c>
      <c r="BH381">
        <v>0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 t="s">
        <v>125</v>
      </c>
      <c r="BR381">
        <v>0.20472399999999999</v>
      </c>
      <c r="BS381">
        <v>19.055118</v>
      </c>
      <c r="BT381">
        <v>50</v>
      </c>
      <c r="BU381">
        <v>0.25806499999999999</v>
      </c>
      <c r="BV381">
        <v>8.3870970000000007</v>
      </c>
      <c r="BW381">
        <v>50</v>
      </c>
      <c r="BX381" t="s">
        <v>125</v>
      </c>
      <c r="BY381" t="s">
        <v>125</v>
      </c>
      <c r="BZ381" t="s">
        <v>125</v>
      </c>
      <c r="CA381" t="s">
        <v>125</v>
      </c>
      <c r="CB381" t="s">
        <v>125</v>
      </c>
      <c r="CC381" t="s">
        <v>125</v>
      </c>
      <c r="CD381" t="s">
        <v>125</v>
      </c>
      <c r="CE381" t="s">
        <v>125</v>
      </c>
      <c r="CF381" t="s">
        <v>125</v>
      </c>
      <c r="CG381" t="s">
        <v>125</v>
      </c>
      <c r="CH381" t="s">
        <v>125</v>
      </c>
      <c r="CI381" t="s">
        <v>125</v>
      </c>
      <c r="CJ381" t="s">
        <v>125</v>
      </c>
      <c r="CK381" t="s">
        <v>125</v>
      </c>
      <c r="CL381" t="s">
        <v>125</v>
      </c>
      <c r="CM381" t="s">
        <v>125</v>
      </c>
      <c r="CN381" t="s">
        <v>125</v>
      </c>
      <c r="CO381" t="s">
        <v>125</v>
      </c>
      <c r="CP381" t="s">
        <v>125</v>
      </c>
      <c r="CQ381">
        <v>0.67647100000000004</v>
      </c>
      <c r="CR381">
        <v>0.95774599999999999</v>
      </c>
      <c r="CS381">
        <v>45.098039</v>
      </c>
      <c r="CT381">
        <v>50</v>
      </c>
      <c r="CU381" t="s">
        <v>125</v>
      </c>
      <c r="CV381" t="s">
        <v>125</v>
      </c>
      <c r="CW381" t="s">
        <v>125</v>
      </c>
      <c r="CX381" t="s">
        <v>125</v>
      </c>
      <c r="CY381" t="s">
        <v>125</v>
      </c>
      <c r="CZ381" t="s">
        <v>125</v>
      </c>
      <c r="DA381">
        <v>15.314097</v>
      </c>
      <c r="DB381">
        <v>17.400950000000002</v>
      </c>
      <c r="DC381">
        <v>16.332519999999999</v>
      </c>
      <c r="DD381" t="s">
        <v>125</v>
      </c>
      <c r="DE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Q381" t="s">
        <v>126</v>
      </c>
    </row>
    <row r="382" spans="1:121" x14ac:dyDescent="0.15">
      <c r="A382">
        <v>2018</v>
      </c>
      <c r="B382" t="s">
        <v>236</v>
      </c>
      <c r="C382" t="str">
        <f t="shared" si="7"/>
        <v>0430011</v>
      </c>
      <c r="D382" t="s">
        <v>531</v>
      </c>
      <c r="E382" t="str">
        <f>"0431811"</f>
        <v>0431811</v>
      </c>
      <c r="F382" t="s">
        <v>328</v>
      </c>
      <c r="G382" t="s">
        <v>339</v>
      </c>
      <c r="H382">
        <v>5</v>
      </c>
      <c r="I382" t="s">
        <v>336</v>
      </c>
      <c r="J382" t="s">
        <v>331</v>
      </c>
      <c r="K382">
        <v>601.04472699999997</v>
      </c>
      <c r="L382">
        <v>950</v>
      </c>
      <c r="M382">
        <v>63.267865999999998</v>
      </c>
      <c r="N382">
        <v>3</v>
      </c>
      <c r="O382">
        <v>0</v>
      </c>
      <c r="P382">
        <v>55.825719999999997</v>
      </c>
      <c r="Q382">
        <v>37.217146999999997</v>
      </c>
      <c r="R382">
        <v>50</v>
      </c>
      <c r="S382">
        <v>53.717112</v>
      </c>
      <c r="T382">
        <v>68.552678</v>
      </c>
      <c r="U382">
        <v>35.811408</v>
      </c>
      <c r="V382">
        <v>50</v>
      </c>
      <c r="W382">
        <v>46.895107000000003</v>
      </c>
      <c r="X382">
        <v>31.263404999999999</v>
      </c>
      <c r="Y382">
        <v>50</v>
      </c>
      <c r="Z382">
        <v>56.527757999999999</v>
      </c>
      <c r="AA382">
        <v>45.289664999999999</v>
      </c>
      <c r="AB382">
        <v>30.193110000000001</v>
      </c>
      <c r="AC382">
        <v>50</v>
      </c>
      <c r="AD382">
        <v>53.998367000000002</v>
      </c>
      <c r="AE382">
        <v>35.998911</v>
      </c>
      <c r="AF382">
        <v>50</v>
      </c>
      <c r="AG382">
        <v>51.711122000000003</v>
      </c>
      <c r="AH382" t="s">
        <v>125</v>
      </c>
      <c r="AI382">
        <v>34.474080999999998</v>
      </c>
      <c r="AJ382">
        <v>50</v>
      </c>
      <c r="AK382">
        <v>14.83</v>
      </c>
      <c r="AL382">
        <v>11.23</v>
      </c>
      <c r="AM382" t="s">
        <v>125</v>
      </c>
      <c r="AN382">
        <v>0.60628499999999996</v>
      </c>
      <c r="AO382">
        <v>60.628535999999997</v>
      </c>
      <c r="AP382">
        <v>100</v>
      </c>
      <c r="AQ382">
        <v>0.54816500000000001</v>
      </c>
      <c r="AR382">
        <v>54.816454999999998</v>
      </c>
      <c r="AS382">
        <v>100</v>
      </c>
      <c r="AT382">
        <v>0.57193099999999997</v>
      </c>
      <c r="AU382">
        <v>0.78898800000000002</v>
      </c>
      <c r="AV382">
        <v>57.193109999999997</v>
      </c>
      <c r="AW382">
        <v>100</v>
      </c>
      <c r="AX382">
        <v>0.54135800000000001</v>
      </c>
      <c r="AY382">
        <v>0.58405399999999996</v>
      </c>
      <c r="AZ382">
        <v>54.135787999999998</v>
      </c>
      <c r="BA382">
        <v>100</v>
      </c>
      <c r="BB382">
        <v>0.55996800000000002</v>
      </c>
      <c r="BC382">
        <v>27.998394000000001</v>
      </c>
      <c r="BD382">
        <v>50</v>
      </c>
      <c r="BE382">
        <v>0.556643</v>
      </c>
      <c r="BF382">
        <v>27.832160999999999</v>
      </c>
      <c r="BG382">
        <v>50</v>
      </c>
      <c r="BH382">
        <v>0</v>
      </c>
      <c r="BI382">
        <v>0.99543400000000004</v>
      </c>
      <c r="BJ382">
        <v>0.99465199999999998</v>
      </c>
      <c r="BK382">
        <v>1</v>
      </c>
      <c r="BL382">
        <v>0.99541299999999999</v>
      </c>
      <c r="BM382">
        <v>0.99462399999999995</v>
      </c>
      <c r="BN382">
        <v>1</v>
      </c>
      <c r="BO382">
        <v>1</v>
      </c>
      <c r="BP382">
        <v>1</v>
      </c>
      <c r="BQ382" t="s">
        <v>125</v>
      </c>
      <c r="BR382">
        <v>0.110276</v>
      </c>
      <c r="BS382">
        <v>37.944862000000001</v>
      </c>
      <c r="BT382">
        <v>50</v>
      </c>
      <c r="BU382">
        <v>0.12138699999999999</v>
      </c>
      <c r="BV382">
        <v>35.722543000000002</v>
      </c>
      <c r="BW382">
        <v>50</v>
      </c>
      <c r="BX382" t="s">
        <v>125</v>
      </c>
      <c r="BY382" t="s">
        <v>125</v>
      </c>
      <c r="BZ382" t="s">
        <v>125</v>
      </c>
      <c r="CA382" t="s">
        <v>125</v>
      </c>
      <c r="CB382" t="s">
        <v>125</v>
      </c>
      <c r="CC382" t="s">
        <v>125</v>
      </c>
      <c r="CD382" t="s">
        <v>125</v>
      </c>
      <c r="CE382" t="s">
        <v>125</v>
      </c>
      <c r="CF382" t="s">
        <v>125</v>
      </c>
      <c r="CG382" t="s">
        <v>125</v>
      </c>
      <c r="CH382" t="s">
        <v>125</v>
      </c>
      <c r="CI382" t="s">
        <v>125</v>
      </c>
      <c r="CJ382" t="s">
        <v>125</v>
      </c>
      <c r="CK382" t="s">
        <v>125</v>
      </c>
      <c r="CL382" t="s">
        <v>125</v>
      </c>
      <c r="CM382" t="s">
        <v>125</v>
      </c>
      <c r="CN382" t="s">
        <v>125</v>
      </c>
      <c r="CO382" t="s">
        <v>125</v>
      </c>
      <c r="CP382" t="s">
        <v>125</v>
      </c>
      <c r="CQ382">
        <v>0.59722200000000003</v>
      </c>
      <c r="CR382">
        <v>1.0140849999999999</v>
      </c>
      <c r="CS382">
        <v>39.814815000000003</v>
      </c>
      <c r="CT382">
        <v>50</v>
      </c>
      <c r="CU382" t="s">
        <v>125</v>
      </c>
      <c r="CV382" t="s">
        <v>125</v>
      </c>
      <c r="CW382" t="s">
        <v>125</v>
      </c>
      <c r="CX382" t="s">
        <v>125</v>
      </c>
      <c r="CY382" t="s">
        <v>125</v>
      </c>
      <c r="CZ382" t="s">
        <v>125</v>
      </c>
      <c r="DA382">
        <v>15.314097</v>
      </c>
      <c r="DB382">
        <v>17.400950000000002</v>
      </c>
      <c r="DC382">
        <v>16.332519999999999</v>
      </c>
      <c r="DD382" t="s">
        <v>125</v>
      </c>
      <c r="DE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Q382" t="s">
        <v>126</v>
      </c>
    </row>
    <row r="383" spans="1:121" x14ac:dyDescent="0.15">
      <c r="A383">
        <v>2018</v>
      </c>
      <c r="B383" t="s">
        <v>236</v>
      </c>
      <c r="C383" t="str">
        <f t="shared" si="7"/>
        <v>0430011</v>
      </c>
      <c r="D383" t="s">
        <v>532</v>
      </c>
      <c r="E383" t="str">
        <f>"0431211"</f>
        <v>0431211</v>
      </c>
      <c r="F383" t="s">
        <v>328</v>
      </c>
      <c r="G383" t="s">
        <v>329</v>
      </c>
      <c r="H383">
        <v>5</v>
      </c>
      <c r="I383" t="s">
        <v>336</v>
      </c>
      <c r="J383" t="s">
        <v>331</v>
      </c>
      <c r="K383">
        <v>618.57257400000003</v>
      </c>
      <c r="L383">
        <v>950</v>
      </c>
      <c r="M383">
        <v>65.112902000000005</v>
      </c>
      <c r="N383">
        <v>3</v>
      </c>
      <c r="O383">
        <v>0</v>
      </c>
      <c r="P383">
        <v>58.697513999999998</v>
      </c>
      <c r="Q383">
        <v>39.131675999999999</v>
      </c>
      <c r="R383">
        <v>50</v>
      </c>
      <c r="S383">
        <v>57.349893999999999</v>
      </c>
      <c r="T383" t="s">
        <v>125</v>
      </c>
      <c r="U383">
        <v>38.233263000000001</v>
      </c>
      <c r="V383">
        <v>50</v>
      </c>
      <c r="W383">
        <v>49.135486</v>
      </c>
      <c r="X383">
        <v>32.756990000000002</v>
      </c>
      <c r="Y383">
        <v>50</v>
      </c>
      <c r="Z383" t="s">
        <v>125</v>
      </c>
      <c r="AA383">
        <v>47.433534000000002</v>
      </c>
      <c r="AB383">
        <v>31.622356</v>
      </c>
      <c r="AC383">
        <v>50</v>
      </c>
      <c r="AD383">
        <v>54.344574999999999</v>
      </c>
      <c r="AE383">
        <v>36.229717000000001</v>
      </c>
      <c r="AF383">
        <v>50</v>
      </c>
      <c r="AG383">
        <v>53.086849000000001</v>
      </c>
      <c r="AH383" t="s">
        <v>125</v>
      </c>
      <c r="AI383">
        <v>35.391232000000002</v>
      </c>
      <c r="AJ383">
        <v>50</v>
      </c>
      <c r="AK383" t="s">
        <v>125</v>
      </c>
      <c r="AL383" t="s">
        <v>125</v>
      </c>
      <c r="AM383" t="s">
        <v>125</v>
      </c>
      <c r="AN383">
        <v>0.606931</v>
      </c>
      <c r="AO383">
        <v>60.693100000000001</v>
      </c>
      <c r="AP383">
        <v>100</v>
      </c>
      <c r="AQ383">
        <v>0.65545699999999996</v>
      </c>
      <c r="AR383">
        <v>65.545651000000007</v>
      </c>
      <c r="AS383">
        <v>100</v>
      </c>
      <c r="AT383">
        <v>0.60582499999999995</v>
      </c>
      <c r="AU383" t="s">
        <v>125</v>
      </c>
      <c r="AV383">
        <v>60.582456999999998</v>
      </c>
      <c r="AW383">
        <v>100</v>
      </c>
      <c r="AX383">
        <v>0.61777800000000005</v>
      </c>
      <c r="AY383" t="s">
        <v>125</v>
      </c>
      <c r="AZ383">
        <v>61.777773000000003</v>
      </c>
      <c r="BA383">
        <v>100</v>
      </c>
      <c r="BB383">
        <v>0.68450500000000003</v>
      </c>
      <c r="BC383">
        <v>34.225262000000001</v>
      </c>
      <c r="BD383">
        <v>50</v>
      </c>
      <c r="BE383">
        <v>0.55899900000000002</v>
      </c>
      <c r="BF383">
        <v>27.949954999999999</v>
      </c>
      <c r="BG383">
        <v>50</v>
      </c>
      <c r="BH383">
        <v>0</v>
      </c>
      <c r="BI383">
        <v>0.99275400000000003</v>
      </c>
      <c r="BJ383">
        <v>0.99187000000000003</v>
      </c>
      <c r="BK383" t="s">
        <v>125</v>
      </c>
      <c r="BL383">
        <v>0.99270099999999994</v>
      </c>
      <c r="BM383">
        <v>0.99180299999999999</v>
      </c>
      <c r="BN383" t="s">
        <v>125</v>
      </c>
      <c r="BO383">
        <v>0.97916700000000001</v>
      </c>
      <c r="BP383">
        <v>0.97674399999999995</v>
      </c>
      <c r="BQ383" t="s">
        <v>125</v>
      </c>
      <c r="BR383">
        <v>0.17948700000000001</v>
      </c>
      <c r="BS383">
        <v>24.102564000000001</v>
      </c>
      <c r="BT383">
        <v>50</v>
      </c>
      <c r="BU383">
        <v>0.198347</v>
      </c>
      <c r="BV383">
        <v>20.330579</v>
      </c>
      <c r="BW383">
        <v>50</v>
      </c>
      <c r="BX383" t="s">
        <v>125</v>
      </c>
      <c r="BY383" t="s">
        <v>125</v>
      </c>
      <c r="BZ383" t="s">
        <v>125</v>
      </c>
      <c r="CA383" t="s">
        <v>125</v>
      </c>
      <c r="CB383" t="s">
        <v>125</v>
      </c>
      <c r="CC383" t="s">
        <v>125</v>
      </c>
      <c r="CD383" t="s">
        <v>125</v>
      </c>
      <c r="CE383" t="s">
        <v>125</v>
      </c>
      <c r="CF383" t="s">
        <v>125</v>
      </c>
      <c r="CG383" t="s">
        <v>125</v>
      </c>
      <c r="CH383" t="s">
        <v>125</v>
      </c>
      <c r="CI383" t="s">
        <v>125</v>
      </c>
      <c r="CJ383" t="s">
        <v>125</v>
      </c>
      <c r="CK383" t="s">
        <v>125</v>
      </c>
      <c r="CL383" t="s">
        <v>125</v>
      </c>
      <c r="CM383" t="s">
        <v>125</v>
      </c>
      <c r="CN383" t="s">
        <v>125</v>
      </c>
      <c r="CO383" t="s">
        <v>125</v>
      </c>
      <c r="CP383" t="s">
        <v>125</v>
      </c>
      <c r="CQ383">
        <v>0.764706</v>
      </c>
      <c r="CR383">
        <v>1.030303</v>
      </c>
      <c r="CS383">
        <v>50</v>
      </c>
      <c r="CT383">
        <v>50</v>
      </c>
      <c r="CU383" t="s">
        <v>125</v>
      </c>
      <c r="CV383" t="s">
        <v>125</v>
      </c>
      <c r="CW383" t="s">
        <v>125</v>
      </c>
      <c r="CX383" t="s">
        <v>125</v>
      </c>
      <c r="CY383" t="s">
        <v>125</v>
      </c>
      <c r="CZ383" t="s">
        <v>125</v>
      </c>
      <c r="DA383">
        <v>15.314097</v>
      </c>
      <c r="DB383">
        <v>17.400950000000002</v>
      </c>
      <c r="DC383">
        <v>16.332519999999999</v>
      </c>
      <c r="DD383" t="s">
        <v>125</v>
      </c>
      <c r="DE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Q383" t="s">
        <v>126</v>
      </c>
    </row>
    <row r="384" spans="1:121" x14ac:dyDescent="0.15">
      <c r="A384">
        <v>2018</v>
      </c>
      <c r="B384" t="s">
        <v>236</v>
      </c>
      <c r="C384" t="str">
        <f t="shared" si="7"/>
        <v>0430011</v>
      </c>
      <c r="D384" t="s">
        <v>533</v>
      </c>
      <c r="E384" t="str">
        <f>"0432411"</f>
        <v>0432411</v>
      </c>
      <c r="F384" t="s">
        <v>328</v>
      </c>
      <c r="G384">
        <v>6</v>
      </c>
      <c r="H384">
        <v>8</v>
      </c>
      <c r="I384" t="s">
        <v>336</v>
      </c>
      <c r="J384" t="s">
        <v>331</v>
      </c>
      <c r="K384">
        <v>630.48247600000002</v>
      </c>
      <c r="L384">
        <v>900</v>
      </c>
      <c r="M384">
        <v>70.053607999999997</v>
      </c>
      <c r="N384">
        <v>3</v>
      </c>
      <c r="O384">
        <v>1</v>
      </c>
      <c r="P384">
        <v>63.071179000000001</v>
      </c>
      <c r="Q384">
        <v>42.047452999999997</v>
      </c>
      <c r="R384">
        <v>50</v>
      </c>
      <c r="S384">
        <v>56.228560000000002</v>
      </c>
      <c r="T384">
        <v>72.960902000000004</v>
      </c>
      <c r="U384">
        <v>37.485706999999998</v>
      </c>
      <c r="V384">
        <v>50</v>
      </c>
      <c r="W384">
        <v>55.349110000000003</v>
      </c>
      <c r="X384">
        <v>36.899406999999997</v>
      </c>
      <c r="Y384">
        <v>50</v>
      </c>
      <c r="Z384">
        <v>65.27852</v>
      </c>
      <c r="AA384">
        <v>48.403948999999997</v>
      </c>
      <c r="AB384">
        <v>32.269298999999997</v>
      </c>
      <c r="AC384">
        <v>50</v>
      </c>
      <c r="AD384">
        <v>63.066150999999998</v>
      </c>
      <c r="AE384">
        <v>42.0441</v>
      </c>
      <c r="AF384">
        <v>50</v>
      </c>
      <c r="AG384">
        <v>54.377930999999997</v>
      </c>
      <c r="AH384">
        <v>72.116378999999995</v>
      </c>
      <c r="AI384">
        <v>36.251953999999998</v>
      </c>
      <c r="AJ384">
        <v>50</v>
      </c>
      <c r="AK384">
        <v>16.73</v>
      </c>
      <c r="AL384">
        <v>16.87</v>
      </c>
      <c r="AM384">
        <v>17.73</v>
      </c>
      <c r="AN384">
        <v>0.53687499999999999</v>
      </c>
      <c r="AO384">
        <v>53.687457999999999</v>
      </c>
      <c r="AP384">
        <v>100</v>
      </c>
      <c r="AQ384">
        <v>0.64487000000000005</v>
      </c>
      <c r="AR384">
        <v>64.487016999999994</v>
      </c>
      <c r="AS384">
        <v>100</v>
      </c>
      <c r="AT384">
        <v>0.48432599999999998</v>
      </c>
      <c r="AU384">
        <v>0.60275100000000004</v>
      </c>
      <c r="AV384">
        <v>48.432611999999999</v>
      </c>
      <c r="AW384">
        <v>100</v>
      </c>
      <c r="AX384">
        <v>0.60946999999999996</v>
      </c>
      <c r="AY384">
        <v>0.68873600000000001</v>
      </c>
      <c r="AZ384">
        <v>60.946950000000001</v>
      </c>
      <c r="BA384">
        <v>100</v>
      </c>
      <c r="BB384" t="s">
        <v>125</v>
      </c>
      <c r="BC384" t="s">
        <v>125</v>
      </c>
      <c r="BD384" t="s">
        <v>125</v>
      </c>
      <c r="BE384" t="s">
        <v>125</v>
      </c>
      <c r="BF384" t="s">
        <v>125</v>
      </c>
      <c r="BG384" t="s">
        <v>125</v>
      </c>
      <c r="BH384">
        <v>0</v>
      </c>
      <c r="BI384">
        <v>0.99685500000000005</v>
      </c>
      <c r="BJ384">
        <v>0.99468100000000004</v>
      </c>
      <c r="BK384">
        <v>1</v>
      </c>
      <c r="BL384">
        <v>0.99369099999999999</v>
      </c>
      <c r="BM384">
        <v>0.98930499999999999</v>
      </c>
      <c r="BN384">
        <v>1</v>
      </c>
      <c r="BO384">
        <v>0.98989899999999997</v>
      </c>
      <c r="BP384">
        <v>0.98039200000000004</v>
      </c>
      <c r="BQ384">
        <v>1</v>
      </c>
      <c r="BR384">
        <v>6.0510000000000001E-2</v>
      </c>
      <c r="BS384">
        <v>47.898088999999999</v>
      </c>
      <c r="BT384">
        <v>50</v>
      </c>
      <c r="BU384">
        <v>7.9545000000000005E-2</v>
      </c>
      <c r="BV384">
        <v>44.090909000000003</v>
      </c>
      <c r="BW384">
        <v>50</v>
      </c>
      <c r="BX384" t="s">
        <v>125</v>
      </c>
      <c r="BY384" t="s">
        <v>125</v>
      </c>
      <c r="BZ384" t="s">
        <v>125</v>
      </c>
      <c r="CA384" t="s">
        <v>125</v>
      </c>
      <c r="CB384" t="s">
        <v>125</v>
      </c>
      <c r="CC384" t="s">
        <v>125</v>
      </c>
      <c r="CD384">
        <v>0.86597900000000005</v>
      </c>
      <c r="CE384">
        <v>46.062733000000001</v>
      </c>
      <c r="CF384">
        <v>50</v>
      </c>
      <c r="CG384" t="s">
        <v>125</v>
      </c>
      <c r="CH384" t="s">
        <v>125</v>
      </c>
      <c r="CI384" t="s">
        <v>125</v>
      </c>
      <c r="CJ384" t="s">
        <v>125</v>
      </c>
      <c r="CK384" t="s">
        <v>125</v>
      </c>
      <c r="CL384" t="s">
        <v>125</v>
      </c>
      <c r="CM384" t="s">
        <v>125</v>
      </c>
      <c r="CN384" t="s">
        <v>125</v>
      </c>
      <c r="CO384" t="s">
        <v>125</v>
      </c>
      <c r="CP384" t="s">
        <v>125</v>
      </c>
      <c r="CQ384">
        <v>0.56818199999999996</v>
      </c>
      <c r="CR384">
        <v>1.0232559999999999</v>
      </c>
      <c r="CS384">
        <v>37.878788</v>
      </c>
      <c r="CT384">
        <v>50</v>
      </c>
      <c r="CU384" t="s">
        <v>125</v>
      </c>
      <c r="CV384" t="s">
        <v>125</v>
      </c>
      <c r="CW384" t="s">
        <v>125</v>
      </c>
      <c r="CX384" t="s">
        <v>125</v>
      </c>
      <c r="CY384" t="s">
        <v>125</v>
      </c>
      <c r="CZ384" t="s">
        <v>125</v>
      </c>
      <c r="DA384">
        <v>15.314097</v>
      </c>
      <c r="DB384">
        <v>17.400950000000002</v>
      </c>
      <c r="DC384">
        <v>16.332519999999999</v>
      </c>
      <c r="DD384" t="s">
        <v>125</v>
      </c>
      <c r="DE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Q384" t="s">
        <v>126</v>
      </c>
    </row>
    <row r="385" spans="1:121" x14ac:dyDescent="0.15">
      <c r="A385">
        <v>2018</v>
      </c>
      <c r="B385" t="s">
        <v>236</v>
      </c>
      <c r="C385" t="str">
        <f t="shared" si="7"/>
        <v>0430011</v>
      </c>
      <c r="D385" t="s">
        <v>534</v>
      </c>
      <c r="E385" t="str">
        <f>"0436411"</f>
        <v>0436411</v>
      </c>
      <c r="F385" t="s">
        <v>328</v>
      </c>
      <c r="G385">
        <v>9</v>
      </c>
      <c r="H385">
        <v>12</v>
      </c>
      <c r="J385" t="s">
        <v>331</v>
      </c>
      <c r="K385">
        <v>433.58034500000002</v>
      </c>
      <c r="L385">
        <v>1000</v>
      </c>
      <c r="M385">
        <v>43.358035000000001</v>
      </c>
      <c r="N385">
        <v>3</v>
      </c>
      <c r="O385">
        <v>0</v>
      </c>
      <c r="P385">
        <v>30.468254000000002</v>
      </c>
      <c r="Q385">
        <v>60.936508000000003</v>
      </c>
      <c r="R385">
        <v>150</v>
      </c>
      <c r="S385" t="s">
        <v>125</v>
      </c>
      <c r="T385" t="s">
        <v>125</v>
      </c>
      <c r="U385" t="s">
        <v>125</v>
      </c>
      <c r="V385" t="s">
        <v>125</v>
      </c>
      <c r="W385">
        <v>28.285713999999999</v>
      </c>
      <c r="X385">
        <v>56.571429000000002</v>
      </c>
      <c r="Y385">
        <v>150</v>
      </c>
      <c r="Z385" t="s">
        <v>125</v>
      </c>
      <c r="AA385" t="s">
        <v>125</v>
      </c>
      <c r="AB385" t="s">
        <v>125</v>
      </c>
      <c r="AC385" t="s">
        <v>125</v>
      </c>
      <c r="AD385">
        <v>24.860806</v>
      </c>
      <c r="AE385">
        <v>33.147741000000003</v>
      </c>
      <c r="AF385">
        <v>100</v>
      </c>
      <c r="AG385" t="s">
        <v>125</v>
      </c>
      <c r="AH385" t="s">
        <v>125</v>
      </c>
      <c r="AI385" t="s">
        <v>125</v>
      </c>
      <c r="AJ385" t="s">
        <v>125</v>
      </c>
      <c r="AK385" t="s">
        <v>125</v>
      </c>
      <c r="AL385" t="s">
        <v>125</v>
      </c>
      <c r="AM385" t="s">
        <v>125</v>
      </c>
      <c r="AN385" t="s">
        <v>125</v>
      </c>
      <c r="AO385" t="s">
        <v>125</v>
      </c>
      <c r="AP385" t="s">
        <v>125</v>
      </c>
      <c r="AQ385" t="s">
        <v>125</v>
      </c>
      <c r="AR385" t="s">
        <v>125</v>
      </c>
      <c r="AS385" t="s">
        <v>125</v>
      </c>
      <c r="AT385" t="s">
        <v>125</v>
      </c>
      <c r="AU385" t="s">
        <v>125</v>
      </c>
      <c r="AV385" t="s">
        <v>125</v>
      </c>
      <c r="AW385" t="s">
        <v>125</v>
      </c>
      <c r="AX385" t="s">
        <v>125</v>
      </c>
      <c r="AY385" t="s">
        <v>125</v>
      </c>
      <c r="AZ385" t="s">
        <v>125</v>
      </c>
      <c r="BA385" t="s">
        <v>125</v>
      </c>
      <c r="BB385" t="s">
        <v>125</v>
      </c>
      <c r="BC385" t="s">
        <v>125</v>
      </c>
      <c r="BD385" t="s">
        <v>125</v>
      </c>
      <c r="BE385" t="s">
        <v>125</v>
      </c>
      <c r="BF385" t="s">
        <v>125</v>
      </c>
      <c r="BG385" t="s">
        <v>125</v>
      </c>
      <c r="BH385">
        <v>1</v>
      </c>
      <c r="BI385">
        <v>0.894737</v>
      </c>
      <c r="BJ385">
        <v>0.87096799999999996</v>
      </c>
      <c r="BK385" t="s">
        <v>125</v>
      </c>
      <c r="BL385">
        <v>0.894737</v>
      </c>
      <c r="BM385">
        <v>0.87096799999999996</v>
      </c>
      <c r="BN385" t="s">
        <v>125</v>
      </c>
      <c r="BO385">
        <v>0.9</v>
      </c>
      <c r="BP385">
        <v>0.87878800000000001</v>
      </c>
      <c r="BQ385" t="s">
        <v>125</v>
      </c>
      <c r="BR385">
        <v>0.72357700000000003</v>
      </c>
      <c r="BS385">
        <v>0</v>
      </c>
      <c r="BT385">
        <v>50</v>
      </c>
      <c r="BU385">
        <v>0.752475</v>
      </c>
      <c r="BV385">
        <v>0</v>
      </c>
      <c r="BW385">
        <v>50</v>
      </c>
      <c r="BX385">
        <v>0.31068000000000001</v>
      </c>
      <c r="BY385">
        <v>20.711974000000001</v>
      </c>
      <c r="BZ385">
        <v>50</v>
      </c>
      <c r="CA385">
        <v>9.7090000000000006E-3</v>
      </c>
      <c r="CB385">
        <v>0.64724899999999996</v>
      </c>
      <c r="CC385">
        <v>50</v>
      </c>
      <c r="CD385" t="s">
        <v>125</v>
      </c>
      <c r="CE385" t="s">
        <v>125</v>
      </c>
      <c r="CF385" t="s">
        <v>125</v>
      </c>
      <c r="CG385">
        <v>0.68</v>
      </c>
      <c r="CH385">
        <v>72.340425999999994</v>
      </c>
      <c r="CI385">
        <v>100</v>
      </c>
      <c r="CJ385">
        <v>0</v>
      </c>
      <c r="CK385">
        <v>0.73912999999999995</v>
      </c>
      <c r="CL385">
        <v>78.630897000000004</v>
      </c>
      <c r="CM385">
        <v>100</v>
      </c>
      <c r="CN385">
        <v>0.15384600000000001</v>
      </c>
      <c r="CO385">
        <v>20.512820999999999</v>
      </c>
      <c r="CP385">
        <v>100</v>
      </c>
      <c r="CQ385">
        <v>0.65</v>
      </c>
      <c r="CR385">
        <v>1</v>
      </c>
      <c r="CS385">
        <v>43.333333000000003</v>
      </c>
      <c r="CT385">
        <v>50</v>
      </c>
      <c r="CU385">
        <v>0.56097600000000003</v>
      </c>
      <c r="CV385">
        <v>46.747967000000003</v>
      </c>
      <c r="CW385">
        <v>50</v>
      </c>
      <c r="CX385">
        <v>0.73912999999999995</v>
      </c>
      <c r="CY385" t="s">
        <v>125</v>
      </c>
      <c r="CZ385" t="s">
        <v>125</v>
      </c>
      <c r="DA385">
        <v>15.314097</v>
      </c>
      <c r="DB385">
        <v>17.400950000000002</v>
      </c>
      <c r="DC385">
        <v>16.332519999999999</v>
      </c>
      <c r="DD385">
        <v>7.9891730000000001</v>
      </c>
      <c r="DE385">
        <v>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Q385" t="s">
        <v>126</v>
      </c>
    </row>
    <row r="386" spans="1:121" x14ac:dyDescent="0.15">
      <c r="A386">
        <v>2018</v>
      </c>
      <c r="B386" t="s">
        <v>218</v>
      </c>
      <c r="C386" t="str">
        <f t="shared" ref="C386:C392" si="8">"0440011"</f>
        <v>0440011</v>
      </c>
      <c r="D386" t="s">
        <v>535</v>
      </c>
      <c r="E386" t="str">
        <f>"0441711"</f>
        <v>0441711</v>
      </c>
      <c r="F386" t="s">
        <v>328</v>
      </c>
      <c r="G386">
        <v>1</v>
      </c>
      <c r="H386">
        <v>8</v>
      </c>
      <c r="J386" t="s">
        <v>331</v>
      </c>
      <c r="K386">
        <v>688.39340700000002</v>
      </c>
      <c r="L386">
        <v>900</v>
      </c>
      <c r="M386">
        <v>76.488156000000004</v>
      </c>
      <c r="N386">
        <v>2</v>
      </c>
      <c r="O386">
        <v>0</v>
      </c>
      <c r="P386">
        <v>69.805631000000005</v>
      </c>
      <c r="Q386">
        <v>46.537087999999997</v>
      </c>
      <c r="R386">
        <v>50</v>
      </c>
      <c r="S386">
        <v>66.815906999999996</v>
      </c>
      <c r="T386">
        <v>72.404392000000001</v>
      </c>
      <c r="U386">
        <v>44.543937999999997</v>
      </c>
      <c r="V386">
        <v>50</v>
      </c>
      <c r="W386">
        <v>63.204140000000002</v>
      </c>
      <c r="X386">
        <v>42.136093000000002</v>
      </c>
      <c r="Y386">
        <v>50</v>
      </c>
      <c r="Z386">
        <v>67.592292999999998</v>
      </c>
      <c r="AA386">
        <v>58.155822999999998</v>
      </c>
      <c r="AB386">
        <v>38.770547999999998</v>
      </c>
      <c r="AC386">
        <v>50</v>
      </c>
      <c r="AD386">
        <v>66.904522999999998</v>
      </c>
      <c r="AE386">
        <v>44.603014999999999</v>
      </c>
      <c r="AF386">
        <v>50</v>
      </c>
      <c r="AG386">
        <v>61.192771</v>
      </c>
      <c r="AH386">
        <v>70.560044000000005</v>
      </c>
      <c r="AI386">
        <v>40.795180999999999</v>
      </c>
      <c r="AJ386">
        <v>50</v>
      </c>
      <c r="AK386">
        <v>5.58</v>
      </c>
      <c r="AL386">
        <v>9.43</v>
      </c>
      <c r="AM386">
        <v>9.36</v>
      </c>
      <c r="AN386">
        <v>0.58704599999999996</v>
      </c>
      <c r="AO386">
        <v>58.704599000000002</v>
      </c>
      <c r="AP386">
        <v>100</v>
      </c>
      <c r="AQ386">
        <v>0.60491499999999998</v>
      </c>
      <c r="AR386">
        <v>60.491531999999999</v>
      </c>
      <c r="AS386">
        <v>100</v>
      </c>
      <c r="AT386">
        <v>0.61469799999999997</v>
      </c>
      <c r="AU386">
        <v>0.56537199999999999</v>
      </c>
      <c r="AV386">
        <v>61.469844999999999</v>
      </c>
      <c r="AW386">
        <v>100</v>
      </c>
      <c r="AX386">
        <v>0.59833199999999997</v>
      </c>
      <c r="AY386">
        <v>0.61007500000000003</v>
      </c>
      <c r="AZ386">
        <v>59.833190000000002</v>
      </c>
      <c r="BA386">
        <v>100</v>
      </c>
      <c r="BB386" t="s">
        <v>125</v>
      </c>
      <c r="BC386" t="s">
        <v>125</v>
      </c>
      <c r="BD386" t="s">
        <v>125</v>
      </c>
      <c r="BE386" t="s">
        <v>125</v>
      </c>
      <c r="BF386" t="s">
        <v>125</v>
      </c>
      <c r="BG386" t="s">
        <v>125</v>
      </c>
      <c r="BH386">
        <v>0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5.0632999999999997E-2</v>
      </c>
      <c r="BS386">
        <v>49.873418000000001</v>
      </c>
      <c r="BT386">
        <v>50</v>
      </c>
      <c r="BU386">
        <v>6.7164000000000001E-2</v>
      </c>
      <c r="BV386">
        <v>46.567163999999998</v>
      </c>
      <c r="BW386">
        <v>50</v>
      </c>
      <c r="BX386" t="s">
        <v>125</v>
      </c>
      <c r="BY386" t="s">
        <v>125</v>
      </c>
      <c r="BZ386" t="s">
        <v>125</v>
      </c>
      <c r="CA386" t="s">
        <v>125</v>
      </c>
      <c r="CB386" t="s">
        <v>125</v>
      </c>
      <c r="CC386" t="s">
        <v>125</v>
      </c>
      <c r="CD386">
        <v>0.95238100000000003</v>
      </c>
      <c r="CE386">
        <v>50</v>
      </c>
      <c r="CF386">
        <v>50</v>
      </c>
      <c r="CG386" t="s">
        <v>125</v>
      </c>
      <c r="CH386" t="s">
        <v>125</v>
      </c>
      <c r="CI386" t="s">
        <v>125</v>
      </c>
      <c r="CJ386" t="s">
        <v>125</v>
      </c>
      <c r="CK386" t="s">
        <v>125</v>
      </c>
      <c r="CL386" t="s">
        <v>125</v>
      </c>
      <c r="CM386" t="s">
        <v>125</v>
      </c>
      <c r="CN386" t="s">
        <v>125</v>
      </c>
      <c r="CO386" t="s">
        <v>125</v>
      </c>
      <c r="CP386" t="s">
        <v>125</v>
      </c>
      <c r="CQ386">
        <v>0.66101699999999997</v>
      </c>
      <c r="CR386">
        <v>0.95935000000000004</v>
      </c>
      <c r="CS386">
        <v>44.067796999999999</v>
      </c>
      <c r="CT386">
        <v>50</v>
      </c>
      <c r="CU386" t="s">
        <v>125</v>
      </c>
      <c r="CV386" t="s">
        <v>125</v>
      </c>
      <c r="CW386" t="s">
        <v>125</v>
      </c>
      <c r="CX386" t="s">
        <v>125</v>
      </c>
      <c r="CY386" t="s">
        <v>125</v>
      </c>
      <c r="CZ386" t="s">
        <v>125</v>
      </c>
      <c r="DA386">
        <v>15.314097</v>
      </c>
      <c r="DB386">
        <v>17.400950000000002</v>
      </c>
      <c r="DC386">
        <v>16.332519999999999</v>
      </c>
      <c r="DD386" t="s">
        <v>125</v>
      </c>
      <c r="DE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Q386" t="s">
        <v>126</v>
      </c>
    </row>
    <row r="387" spans="1:121" x14ac:dyDescent="0.15">
      <c r="A387">
        <v>2018</v>
      </c>
      <c r="B387" t="s">
        <v>218</v>
      </c>
      <c r="C387" t="str">
        <f t="shared" si="8"/>
        <v>0440011</v>
      </c>
      <c r="D387" t="s">
        <v>536</v>
      </c>
      <c r="E387" t="str">
        <f>"0440111"</f>
        <v>0440111</v>
      </c>
      <c r="F387" t="s">
        <v>328</v>
      </c>
      <c r="G387" t="s">
        <v>329</v>
      </c>
      <c r="H387">
        <v>2</v>
      </c>
      <c r="I387" t="s">
        <v>336</v>
      </c>
      <c r="J387" t="s">
        <v>331</v>
      </c>
      <c r="K387">
        <v>70.909091000000004</v>
      </c>
      <c r="L387">
        <v>100</v>
      </c>
      <c r="M387">
        <v>70.909091000000004</v>
      </c>
      <c r="N387" t="s">
        <v>125</v>
      </c>
      <c r="O387" t="s">
        <v>125</v>
      </c>
      <c r="P387" t="s">
        <v>125</v>
      </c>
      <c r="Q387" t="s">
        <v>125</v>
      </c>
      <c r="R387" t="s">
        <v>125</v>
      </c>
      <c r="S387" t="s">
        <v>125</v>
      </c>
      <c r="T387" t="s">
        <v>125</v>
      </c>
      <c r="U387" t="s">
        <v>125</v>
      </c>
      <c r="V387" t="s">
        <v>125</v>
      </c>
      <c r="W387" t="s">
        <v>125</v>
      </c>
      <c r="X387" t="s">
        <v>125</v>
      </c>
      <c r="Y387" t="s">
        <v>125</v>
      </c>
      <c r="Z387" t="s">
        <v>125</v>
      </c>
      <c r="AA387" t="s">
        <v>125</v>
      </c>
      <c r="AB387" t="s">
        <v>125</v>
      </c>
      <c r="AC387" t="s">
        <v>125</v>
      </c>
      <c r="AD387" t="s">
        <v>125</v>
      </c>
      <c r="AE387" t="s">
        <v>125</v>
      </c>
      <c r="AF387" t="s">
        <v>125</v>
      </c>
      <c r="AG387" t="s">
        <v>125</v>
      </c>
      <c r="AH387" t="s">
        <v>125</v>
      </c>
      <c r="AI387" t="s">
        <v>125</v>
      </c>
      <c r="AJ387" t="s">
        <v>125</v>
      </c>
      <c r="AK387" t="s">
        <v>125</v>
      </c>
      <c r="AL387" t="s">
        <v>125</v>
      </c>
      <c r="AM387" t="s">
        <v>125</v>
      </c>
      <c r="AN387" t="s">
        <v>125</v>
      </c>
      <c r="AO387" t="s">
        <v>125</v>
      </c>
      <c r="AP387" t="s">
        <v>125</v>
      </c>
      <c r="AQ387" t="s">
        <v>125</v>
      </c>
      <c r="AR387" t="s">
        <v>125</v>
      </c>
      <c r="AS387" t="s">
        <v>125</v>
      </c>
      <c r="AT387" t="s">
        <v>125</v>
      </c>
      <c r="AU387" t="s">
        <v>125</v>
      </c>
      <c r="AV387" t="s">
        <v>125</v>
      </c>
      <c r="AW387" t="s">
        <v>125</v>
      </c>
      <c r="AX387" t="s">
        <v>125</v>
      </c>
      <c r="AY387" t="s">
        <v>125</v>
      </c>
      <c r="AZ387" t="s">
        <v>125</v>
      </c>
      <c r="BA387" t="s">
        <v>125</v>
      </c>
      <c r="BB387" t="s">
        <v>125</v>
      </c>
      <c r="BC387" t="s">
        <v>125</v>
      </c>
      <c r="BD387" t="s">
        <v>125</v>
      </c>
      <c r="BE387" t="s">
        <v>125</v>
      </c>
      <c r="BF387" t="s">
        <v>125</v>
      </c>
      <c r="BG387" t="s">
        <v>125</v>
      </c>
      <c r="BH387" t="s">
        <v>125</v>
      </c>
      <c r="BI387" t="s">
        <v>125</v>
      </c>
      <c r="BJ387" t="s">
        <v>125</v>
      </c>
      <c r="BK387" t="s">
        <v>125</v>
      </c>
      <c r="BL387" t="s">
        <v>125</v>
      </c>
      <c r="BM387" t="s">
        <v>125</v>
      </c>
      <c r="BN387" t="s">
        <v>125</v>
      </c>
      <c r="BO387" t="s">
        <v>125</v>
      </c>
      <c r="BP387" t="s">
        <v>125</v>
      </c>
      <c r="BQ387" t="s">
        <v>125</v>
      </c>
      <c r="BR387">
        <v>0.1</v>
      </c>
      <c r="BS387">
        <v>40</v>
      </c>
      <c r="BT387">
        <v>50</v>
      </c>
      <c r="BU387">
        <v>0.145455</v>
      </c>
      <c r="BV387">
        <v>30.909091</v>
      </c>
      <c r="BW387">
        <v>50</v>
      </c>
      <c r="BX387" t="s">
        <v>125</v>
      </c>
      <c r="BY387" t="s">
        <v>125</v>
      </c>
      <c r="BZ387" t="s">
        <v>125</v>
      </c>
      <c r="CA387" t="s">
        <v>125</v>
      </c>
      <c r="CB387" t="s">
        <v>125</v>
      </c>
      <c r="CC387" t="s">
        <v>125</v>
      </c>
      <c r="CD387" t="s">
        <v>125</v>
      </c>
      <c r="CE387" t="s">
        <v>125</v>
      </c>
      <c r="CF387" t="s">
        <v>125</v>
      </c>
      <c r="CG387" t="s">
        <v>125</v>
      </c>
      <c r="CH387" t="s">
        <v>125</v>
      </c>
      <c r="CI387" t="s">
        <v>125</v>
      </c>
      <c r="CJ387" t="s">
        <v>125</v>
      </c>
      <c r="CK387" t="s">
        <v>125</v>
      </c>
      <c r="CL387" t="s">
        <v>125</v>
      </c>
      <c r="CM387" t="s">
        <v>125</v>
      </c>
      <c r="CN387" t="s">
        <v>125</v>
      </c>
      <c r="CO387" t="s">
        <v>125</v>
      </c>
      <c r="CP387" t="s">
        <v>125</v>
      </c>
      <c r="CQ387" t="s">
        <v>125</v>
      </c>
      <c r="CR387" t="s">
        <v>125</v>
      </c>
      <c r="CS387" t="s">
        <v>125</v>
      </c>
      <c r="CT387" t="s">
        <v>125</v>
      </c>
      <c r="CU387" t="s">
        <v>125</v>
      </c>
      <c r="CV387" t="s">
        <v>125</v>
      </c>
      <c r="CW387" t="s">
        <v>125</v>
      </c>
      <c r="CX387" t="s">
        <v>125</v>
      </c>
      <c r="CY387" t="s">
        <v>125</v>
      </c>
      <c r="CZ387" t="s">
        <v>125</v>
      </c>
      <c r="DA387" t="s">
        <v>125</v>
      </c>
      <c r="DB387" t="s">
        <v>125</v>
      </c>
      <c r="DC387" t="s">
        <v>125</v>
      </c>
      <c r="DD387" t="s">
        <v>125</v>
      </c>
      <c r="DE387" t="s">
        <v>125</v>
      </c>
      <c r="DJ387" t="s">
        <v>125</v>
      </c>
      <c r="DK387" t="s">
        <v>125</v>
      </c>
      <c r="DL387" t="s">
        <v>125</v>
      </c>
      <c r="DM387" t="s">
        <v>125</v>
      </c>
      <c r="DN387" t="s">
        <v>125</v>
      </c>
      <c r="DO387" t="s">
        <v>125</v>
      </c>
      <c r="DQ387" t="s">
        <v>126</v>
      </c>
    </row>
    <row r="388" spans="1:121" x14ac:dyDescent="0.15">
      <c r="A388">
        <v>2018</v>
      </c>
      <c r="B388" t="s">
        <v>218</v>
      </c>
      <c r="C388" t="str">
        <f t="shared" si="8"/>
        <v>0440011</v>
      </c>
      <c r="D388" t="s">
        <v>537</v>
      </c>
      <c r="E388" t="str">
        <f>"0441311"</f>
        <v>0441311</v>
      </c>
      <c r="F388" t="s">
        <v>328</v>
      </c>
      <c r="G388">
        <v>3</v>
      </c>
      <c r="H388">
        <v>5</v>
      </c>
      <c r="I388" t="s">
        <v>336</v>
      </c>
      <c r="J388" t="s">
        <v>331</v>
      </c>
      <c r="K388">
        <v>616.55712900000003</v>
      </c>
      <c r="L388">
        <v>850</v>
      </c>
      <c r="M388">
        <v>72.536133000000007</v>
      </c>
      <c r="N388">
        <v>3</v>
      </c>
      <c r="O388">
        <v>1</v>
      </c>
      <c r="P388">
        <v>63.667735</v>
      </c>
      <c r="Q388">
        <v>42.445157000000002</v>
      </c>
      <c r="R388">
        <v>50</v>
      </c>
      <c r="S388">
        <v>58.789195999999997</v>
      </c>
      <c r="T388">
        <v>74.328245999999993</v>
      </c>
      <c r="U388">
        <v>39.192798000000003</v>
      </c>
      <c r="V388">
        <v>50</v>
      </c>
      <c r="W388">
        <v>66.894779999999997</v>
      </c>
      <c r="X388">
        <v>44.596519999999998</v>
      </c>
      <c r="Y388">
        <v>50</v>
      </c>
      <c r="Z388">
        <v>75</v>
      </c>
      <c r="AA388">
        <v>62.403598000000002</v>
      </c>
      <c r="AB388">
        <v>41.602398999999998</v>
      </c>
      <c r="AC388">
        <v>50</v>
      </c>
      <c r="AD388">
        <v>66.465361999999999</v>
      </c>
      <c r="AE388">
        <v>44.310240999999998</v>
      </c>
      <c r="AF388">
        <v>50</v>
      </c>
      <c r="AG388">
        <v>59.737096999999999</v>
      </c>
      <c r="AH388">
        <v>75</v>
      </c>
      <c r="AI388">
        <v>39.824731</v>
      </c>
      <c r="AJ388">
        <v>50</v>
      </c>
      <c r="AK388">
        <v>15.53</v>
      </c>
      <c r="AL388">
        <v>12.59</v>
      </c>
      <c r="AM388">
        <v>15.26</v>
      </c>
      <c r="AN388">
        <v>0.54131700000000005</v>
      </c>
      <c r="AO388">
        <v>54.131739000000003</v>
      </c>
      <c r="AP388">
        <v>100</v>
      </c>
      <c r="AQ388">
        <v>0.70206800000000003</v>
      </c>
      <c r="AR388">
        <v>70.206819999999993</v>
      </c>
      <c r="AS388">
        <v>100</v>
      </c>
      <c r="AT388">
        <v>0.50673100000000004</v>
      </c>
      <c r="AU388">
        <v>0.59649099999999999</v>
      </c>
      <c r="AV388">
        <v>50.673116</v>
      </c>
      <c r="AW388">
        <v>100</v>
      </c>
      <c r="AX388">
        <v>0.67404299999999995</v>
      </c>
      <c r="AY388">
        <v>0.74677499999999997</v>
      </c>
      <c r="AZ388">
        <v>67.404296000000002</v>
      </c>
      <c r="BA388">
        <v>100</v>
      </c>
      <c r="BB388" t="s">
        <v>125</v>
      </c>
      <c r="BC388" t="s">
        <v>125</v>
      </c>
      <c r="BD388" t="s">
        <v>125</v>
      </c>
      <c r="BE388" t="s">
        <v>125</v>
      </c>
      <c r="BF388" t="s">
        <v>125</v>
      </c>
      <c r="BG388" t="s">
        <v>125</v>
      </c>
      <c r="BH388">
        <v>0</v>
      </c>
      <c r="BI388">
        <v>0.98936199999999996</v>
      </c>
      <c r="BJ388">
        <v>0.99236599999999997</v>
      </c>
      <c r="BK388">
        <v>0.982456</v>
      </c>
      <c r="BL388">
        <v>0.99468100000000004</v>
      </c>
      <c r="BM388">
        <v>0.99236599999999997</v>
      </c>
      <c r="BN388">
        <v>1</v>
      </c>
      <c r="BO388">
        <v>1</v>
      </c>
      <c r="BP388">
        <v>1</v>
      </c>
      <c r="BQ388">
        <v>1</v>
      </c>
      <c r="BR388">
        <v>0.10582</v>
      </c>
      <c r="BS388">
        <v>38.835979000000002</v>
      </c>
      <c r="BT388">
        <v>50</v>
      </c>
      <c r="BU388">
        <v>0.13333300000000001</v>
      </c>
      <c r="BV388">
        <v>33.333333000000003</v>
      </c>
      <c r="BW388">
        <v>50</v>
      </c>
      <c r="BX388" t="s">
        <v>125</v>
      </c>
      <c r="BY388" t="s">
        <v>125</v>
      </c>
      <c r="BZ388" t="s">
        <v>125</v>
      </c>
      <c r="CA388" t="s">
        <v>125</v>
      </c>
      <c r="CB388" t="s">
        <v>125</v>
      </c>
      <c r="CC388" t="s">
        <v>125</v>
      </c>
      <c r="CD388" t="s">
        <v>125</v>
      </c>
      <c r="CE388" t="s">
        <v>125</v>
      </c>
      <c r="CF388" t="s">
        <v>125</v>
      </c>
      <c r="CG388" t="s">
        <v>125</v>
      </c>
      <c r="CH388" t="s">
        <v>125</v>
      </c>
      <c r="CI388" t="s">
        <v>125</v>
      </c>
      <c r="CJ388" t="s">
        <v>125</v>
      </c>
      <c r="CK388" t="s">
        <v>125</v>
      </c>
      <c r="CL388" t="s">
        <v>125</v>
      </c>
      <c r="CM388" t="s">
        <v>125</v>
      </c>
      <c r="CN388" t="s">
        <v>125</v>
      </c>
      <c r="CO388" t="s">
        <v>125</v>
      </c>
      <c r="CP388" t="s">
        <v>125</v>
      </c>
      <c r="CQ388">
        <v>0.83928599999999998</v>
      </c>
      <c r="CR388">
        <v>0.96551699999999996</v>
      </c>
      <c r="CS388">
        <v>50</v>
      </c>
      <c r="CT388">
        <v>50</v>
      </c>
      <c r="CU388" t="s">
        <v>125</v>
      </c>
      <c r="CV388" t="s">
        <v>125</v>
      </c>
      <c r="CW388" t="s">
        <v>125</v>
      </c>
      <c r="CX388" t="s">
        <v>125</v>
      </c>
      <c r="CY388" t="s">
        <v>125</v>
      </c>
      <c r="CZ388" t="s">
        <v>125</v>
      </c>
      <c r="DA388">
        <v>15.314097</v>
      </c>
      <c r="DB388">
        <v>17.400950000000002</v>
      </c>
      <c r="DC388">
        <v>16.332519999999999</v>
      </c>
      <c r="DD388" t="s">
        <v>125</v>
      </c>
      <c r="DE388">
        <v>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Q388" t="s">
        <v>126</v>
      </c>
    </row>
    <row r="389" spans="1:121" x14ac:dyDescent="0.15">
      <c r="A389">
        <v>2018</v>
      </c>
      <c r="B389" t="s">
        <v>218</v>
      </c>
      <c r="C389" t="str">
        <f t="shared" si="8"/>
        <v>0440011</v>
      </c>
      <c r="D389" t="s">
        <v>538</v>
      </c>
      <c r="E389" t="str">
        <f>"0446111"</f>
        <v>0446111</v>
      </c>
      <c r="F389" t="s">
        <v>328</v>
      </c>
      <c r="G389">
        <v>9</v>
      </c>
      <c r="H389">
        <v>12</v>
      </c>
      <c r="I389" t="s">
        <v>336</v>
      </c>
      <c r="J389" t="s">
        <v>331</v>
      </c>
      <c r="K389">
        <v>1021.978008</v>
      </c>
      <c r="L389">
        <v>1550</v>
      </c>
      <c r="M389">
        <v>65.934065000000004</v>
      </c>
      <c r="N389">
        <v>3</v>
      </c>
      <c r="O389">
        <v>0</v>
      </c>
      <c r="P389">
        <v>49.23301</v>
      </c>
      <c r="Q389">
        <v>98.466019000000003</v>
      </c>
      <c r="R389">
        <v>150</v>
      </c>
      <c r="S389">
        <v>46.542579000000003</v>
      </c>
      <c r="T389">
        <v>54.574879000000003</v>
      </c>
      <c r="U389">
        <v>93.085158000000007</v>
      </c>
      <c r="V389">
        <v>150</v>
      </c>
      <c r="W389">
        <v>43.638080000000002</v>
      </c>
      <c r="X389">
        <v>87.276160000000004</v>
      </c>
      <c r="Y389">
        <v>150</v>
      </c>
      <c r="Z389">
        <v>50.270530999999998</v>
      </c>
      <c r="AA389">
        <v>40.297648000000002</v>
      </c>
      <c r="AB389">
        <v>80.595296000000005</v>
      </c>
      <c r="AC389">
        <v>150</v>
      </c>
      <c r="AD389">
        <v>50.229939000000002</v>
      </c>
      <c r="AE389">
        <v>66.973252000000002</v>
      </c>
      <c r="AF389">
        <v>100</v>
      </c>
      <c r="AG389">
        <v>47.439041000000003</v>
      </c>
      <c r="AH389">
        <v>55.649943999999998</v>
      </c>
      <c r="AI389">
        <v>63.252054999999999</v>
      </c>
      <c r="AJ389">
        <v>100</v>
      </c>
      <c r="AK389">
        <v>8.0299999999999994</v>
      </c>
      <c r="AL389">
        <v>9.9700000000000006</v>
      </c>
      <c r="AM389">
        <v>8.2100000000000009</v>
      </c>
      <c r="AN389" t="s">
        <v>125</v>
      </c>
      <c r="AO389" t="s">
        <v>125</v>
      </c>
      <c r="AP389" t="s">
        <v>125</v>
      </c>
      <c r="AQ389" t="s">
        <v>125</v>
      </c>
      <c r="AR389" t="s">
        <v>125</v>
      </c>
      <c r="AS389" t="s">
        <v>125</v>
      </c>
      <c r="AT389" t="s">
        <v>125</v>
      </c>
      <c r="AU389" t="s">
        <v>125</v>
      </c>
      <c r="AV389" t="s">
        <v>125</v>
      </c>
      <c r="AW389" t="s">
        <v>125</v>
      </c>
      <c r="AX389" t="s">
        <v>125</v>
      </c>
      <c r="AY389" t="s">
        <v>125</v>
      </c>
      <c r="AZ389" t="s">
        <v>125</v>
      </c>
      <c r="BA389" t="s">
        <v>125</v>
      </c>
      <c r="BB389">
        <v>0.45641900000000002</v>
      </c>
      <c r="BC389">
        <v>22.820961</v>
      </c>
      <c r="BD389">
        <v>50</v>
      </c>
      <c r="BE389">
        <v>0.52250600000000003</v>
      </c>
      <c r="BF389">
        <v>26.125298999999998</v>
      </c>
      <c r="BG389">
        <v>50</v>
      </c>
      <c r="BH389">
        <v>1</v>
      </c>
      <c r="BI389">
        <v>0.96929799999999999</v>
      </c>
      <c r="BJ389">
        <v>0.96731999999999996</v>
      </c>
      <c r="BK389">
        <v>0.973333</v>
      </c>
      <c r="BL389">
        <v>0.96929799999999999</v>
      </c>
      <c r="BM389">
        <v>0.96731999999999996</v>
      </c>
      <c r="BN389">
        <v>0.973333</v>
      </c>
      <c r="BO389">
        <v>0.94759800000000005</v>
      </c>
      <c r="BP389">
        <v>0.947712</v>
      </c>
      <c r="BQ389">
        <v>0.94736799999999999</v>
      </c>
      <c r="BR389">
        <v>0.213723</v>
      </c>
      <c r="BS389">
        <v>17.255343</v>
      </c>
      <c r="BT389">
        <v>50</v>
      </c>
      <c r="BU389">
        <v>0.27450999999999998</v>
      </c>
      <c r="BV389">
        <v>5.098039</v>
      </c>
      <c r="BW389">
        <v>50</v>
      </c>
      <c r="BX389">
        <v>0.799539</v>
      </c>
      <c r="BY389">
        <v>50</v>
      </c>
      <c r="BZ389">
        <v>50</v>
      </c>
      <c r="CA389">
        <v>0.202765</v>
      </c>
      <c r="CB389">
        <v>13.517664999999999</v>
      </c>
      <c r="CC389">
        <v>50</v>
      </c>
      <c r="CD389">
        <v>0.82222200000000001</v>
      </c>
      <c r="CE389">
        <v>43.735225</v>
      </c>
      <c r="CF389">
        <v>50</v>
      </c>
      <c r="CG389">
        <v>0.86363599999999996</v>
      </c>
      <c r="CH389">
        <v>91.876209000000003</v>
      </c>
      <c r="CI389">
        <v>100</v>
      </c>
      <c r="CJ389">
        <v>1</v>
      </c>
      <c r="CK389">
        <v>0.75714300000000001</v>
      </c>
      <c r="CL389">
        <v>80.547111999999998</v>
      </c>
      <c r="CM389">
        <v>100</v>
      </c>
      <c r="CN389">
        <v>0.64840200000000003</v>
      </c>
      <c r="CO389">
        <v>86.453576999999996</v>
      </c>
      <c r="CP389">
        <v>100</v>
      </c>
      <c r="CQ389">
        <v>0.87548599999999999</v>
      </c>
      <c r="CR389">
        <v>1.112554</v>
      </c>
      <c r="CS389">
        <v>50</v>
      </c>
      <c r="CT389">
        <v>50</v>
      </c>
      <c r="CU389">
        <v>0.53880799999999995</v>
      </c>
      <c r="CV389">
        <v>44.900637000000003</v>
      </c>
      <c r="CW389">
        <v>50</v>
      </c>
      <c r="CX389">
        <v>0.75714300000000001</v>
      </c>
      <c r="CY389">
        <v>0.9</v>
      </c>
      <c r="CZ389">
        <v>0.14285700000000001</v>
      </c>
      <c r="DA389">
        <v>15.314097</v>
      </c>
      <c r="DB389">
        <v>17.400950000000002</v>
      </c>
      <c r="DC389">
        <v>16.332519999999999</v>
      </c>
      <c r="DD389">
        <v>7.9891730000000001</v>
      </c>
      <c r="DE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Q389" t="s">
        <v>126</v>
      </c>
    </row>
    <row r="390" spans="1:121" x14ac:dyDescent="0.15">
      <c r="A390">
        <v>2018</v>
      </c>
      <c r="B390" t="s">
        <v>218</v>
      </c>
      <c r="C390" t="str">
        <f t="shared" si="8"/>
        <v>0440011</v>
      </c>
      <c r="D390" t="s">
        <v>539</v>
      </c>
      <c r="E390" t="str">
        <f>"0441011"</f>
        <v>0441011</v>
      </c>
      <c r="F390" t="s">
        <v>328</v>
      </c>
      <c r="G390" t="s">
        <v>339</v>
      </c>
      <c r="H390">
        <v>5</v>
      </c>
      <c r="I390" t="s">
        <v>336</v>
      </c>
      <c r="J390" t="s">
        <v>331</v>
      </c>
      <c r="K390">
        <v>569.35349099999996</v>
      </c>
      <c r="L390">
        <v>950</v>
      </c>
      <c r="M390">
        <v>59.931946000000003</v>
      </c>
      <c r="N390">
        <v>3</v>
      </c>
      <c r="O390">
        <v>0</v>
      </c>
      <c r="P390">
        <v>63.162016999999999</v>
      </c>
      <c r="Q390">
        <v>42.108010999999998</v>
      </c>
      <c r="R390">
        <v>50</v>
      </c>
      <c r="S390">
        <v>61.740834999999997</v>
      </c>
      <c r="T390">
        <v>70.386359999999996</v>
      </c>
      <c r="U390">
        <v>41.160556</v>
      </c>
      <c r="V390">
        <v>50</v>
      </c>
      <c r="W390">
        <v>52.218477999999998</v>
      </c>
      <c r="X390">
        <v>34.812319000000002</v>
      </c>
      <c r="Y390">
        <v>50</v>
      </c>
      <c r="Z390">
        <v>60.621552999999999</v>
      </c>
      <c r="AA390">
        <v>50.565413999999997</v>
      </c>
      <c r="AB390">
        <v>33.710276</v>
      </c>
      <c r="AC390">
        <v>50</v>
      </c>
      <c r="AD390">
        <v>61.228552000000001</v>
      </c>
      <c r="AE390">
        <v>40.819035</v>
      </c>
      <c r="AF390">
        <v>50</v>
      </c>
      <c r="AG390">
        <v>57.651952000000001</v>
      </c>
      <c r="AH390" t="s">
        <v>125</v>
      </c>
      <c r="AI390">
        <v>38.434635</v>
      </c>
      <c r="AJ390">
        <v>50</v>
      </c>
      <c r="AK390">
        <v>8.64</v>
      </c>
      <c r="AL390">
        <v>10.050000000000001</v>
      </c>
      <c r="AM390" t="s">
        <v>125</v>
      </c>
      <c r="AN390">
        <v>0.48657299999999998</v>
      </c>
      <c r="AO390">
        <v>48.657299000000002</v>
      </c>
      <c r="AP390">
        <v>100</v>
      </c>
      <c r="AQ390">
        <v>0.437776</v>
      </c>
      <c r="AR390">
        <v>43.777624000000003</v>
      </c>
      <c r="AS390">
        <v>100</v>
      </c>
      <c r="AT390">
        <v>0.48974099999999998</v>
      </c>
      <c r="AU390" t="s">
        <v>125</v>
      </c>
      <c r="AV390">
        <v>48.974138000000004</v>
      </c>
      <c r="AW390">
        <v>100</v>
      </c>
      <c r="AX390">
        <v>0.44958300000000001</v>
      </c>
      <c r="AY390" t="s">
        <v>125</v>
      </c>
      <c r="AZ390">
        <v>44.958297000000002</v>
      </c>
      <c r="BA390">
        <v>100</v>
      </c>
      <c r="BB390">
        <v>0.55873499999999998</v>
      </c>
      <c r="BC390">
        <v>27.936741000000001</v>
      </c>
      <c r="BD390">
        <v>50</v>
      </c>
      <c r="BE390">
        <v>0.31223400000000001</v>
      </c>
      <c r="BF390">
        <v>15.611704</v>
      </c>
      <c r="BG390">
        <v>50</v>
      </c>
      <c r="BH390">
        <v>0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 t="s">
        <v>125</v>
      </c>
      <c r="BR390">
        <v>0.14285700000000001</v>
      </c>
      <c r="BS390">
        <v>31.428571000000002</v>
      </c>
      <c r="BT390">
        <v>50</v>
      </c>
      <c r="BU390">
        <v>0.16517899999999999</v>
      </c>
      <c r="BV390">
        <v>26.964286000000001</v>
      </c>
      <c r="BW390">
        <v>50</v>
      </c>
      <c r="BX390" t="s">
        <v>125</v>
      </c>
      <c r="BY390" t="s">
        <v>125</v>
      </c>
      <c r="BZ390" t="s">
        <v>125</v>
      </c>
      <c r="CA390" t="s">
        <v>125</v>
      </c>
      <c r="CB390" t="s">
        <v>125</v>
      </c>
      <c r="CC390" t="s">
        <v>125</v>
      </c>
      <c r="CD390" t="s">
        <v>125</v>
      </c>
      <c r="CE390" t="s">
        <v>125</v>
      </c>
      <c r="CF390" t="s">
        <v>125</v>
      </c>
      <c r="CG390" t="s">
        <v>125</v>
      </c>
      <c r="CH390" t="s">
        <v>125</v>
      </c>
      <c r="CI390" t="s">
        <v>125</v>
      </c>
      <c r="CJ390" t="s">
        <v>125</v>
      </c>
      <c r="CK390" t="s">
        <v>125</v>
      </c>
      <c r="CL390" t="s">
        <v>125</v>
      </c>
      <c r="CM390" t="s">
        <v>125</v>
      </c>
      <c r="CN390" t="s">
        <v>125</v>
      </c>
      <c r="CO390" t="s">
        <v>125</v>
      </c>
      <c r="CP390" t="s">
        <v>125</v>
      </c>
      <c r="CQ390">
        <v>0.83673500000000001</v>
      </c>
      <c r="CR390">
        <v>0.90740699999999996</v>
      </c>
      <c r="CS390">
        <v>50</v>
      </c>
      <c r="CT390">
        <v>50</v>
      </c>
      <c r="CU390" t="s">
        <v>125</v>
      </c>
      <c r="CV390" t="s">
        <v>125</v>
      </c>
      <c r="CW390" t="s">
        <v>125</v>
      </c>
      <c r="CX390" t="s">
        <v>125</v>
      </c>
      <c r="CY390" t="s">
        <v>125</v>
      </c>
      <c r="CZ390" t="s">
        <v>125</v>
      </c>
      <c r="DA390">
        <v>15.314097</v>
      </c>
      <c r="DB390">
        <v>17.400950000000002</v>
      </c>
      <c r="DC390">
        <v>16.332519999999999</v>
      </c>
      <c r="DD390" t="s">
        <v>125</v>
      </c>
      <c r="DE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Q390" t="s">
        <v>126</v>
      </c>
    </row>
    <row r="391" spans="1:121" x14ac:dyDescent="0.15">
      <c r="A391">
        <v>2018</v>
      </c>
      <c r="B391" t="s">
        <v>218</v>
      </c>
      <c r="C391" t="str">
        <f t="shared" si="8"/>
        <v>0440011</v>
      </c>
      <c r="D391" t="s">
        <v>540</v>
      </c>
      <c r="E391" t="str">
        <f>"0445111"</f>
        <v>0445111</v>
      </c>
      <c r="F391" t="s">
        <v>328</v>
      </c>
      <c r="G391">
        <v>6</v>
      </c>
      <c r="H391">
        <v>8</v>
      </c>
      <c r="I391" t="s">
        <v>336</v>
      </c>
      <c r="J391" t="s">
        <v>331</v>
      </c>
      <c r="K391">
        <v>638.92700400000001</v>
      </c>
      <c r="L391">
        <v>1000</v>
      </c>
      <c r="M391">
        <v>63.892699999999998</v>
      </c>
      <c r="N391">
        <v>3</v>
      </c>
      <c r="O391">
        <v>0</v>
      </c>
      <c r="P391">
        <v>61.614404</v>
      </c>
      <c r="Q391">
        <v>41.076270000000001</v>
      </c>
      <c r="R391">
        <v>50</v>
      </c>
      <c r="S391">
        <v>57.739674999999998</v>
      </c>
      <c r="T391">
        <v>70.087146000000004</v>
      </c>
      <c r="U391">
        <v>38.493116999999998</v>
      </c>
      <c r="V391">
        <v>50</v>
      </c>
      <c r="W391">
        <v>52.869565999999999</v>
      </c>
      <c r="X391">
        <v>35.246378</v>
      </c>
      <c r="Y391">
        <v>50</v>
      </c>
      <c r="Z391">
        <v>61.076307</v>
      </c>
      <c r="AA391">
        <v>49.08184</v>
      </c>
      <c r="AB391">
        <v>32.721226999999999</v>
      </c>
      <c r="AC391">
        <v>50</v>
      </c>
      <c r="AD391">
        <v>51.935737000000003</v>
      </c>
      <c r="AE391">
        <v>34.623824999999997</v>
      </c>
      <c r="AF391">
        <v>50</v>
      </c>
      <c r="AG391">
        <v>49.602842000000003</v>
      </c>
      <c r="AH391">
        <v>57.445340999999999</v>
      </c>
      <c r="AI391">
        <v>33.068561000000003</v>
      </c>
      <c r="AJ391">
        <v>50</v>
      </c>
      <c r="AK391">
        <v>12.34</v>
      </c>
      <c r="AL391">
        <v>11.99</v>
      </c>
      <c r="AM391">
        <v>7.84</v>
      </c>
      <c r="AN391">
        <v>0.566083</v>
      </c>
      <c r="AO391">
        <v>56.608311</v>
      </c>
      <c r="AP391">
        <v>100</v>
      </c>
      <c r="AQ391">
        <v>0.51255099999999998</v>
      </c>
      <c r="AR391">
        <v>51.255099000000001</v>
      </c>
      <c r="AS391">
        <v>100</v>
      </c>
      <c r="AT391">
        <v>0.53416600000000003</v>
      </c>
      <c r="AU391">
        <v>0.63382700000000003</v>
      </c>
      <c r="AV391">
        <v>53.416552000000003</v>
      </c>
      <c r="AW391">
        <v>100</v>
      </c>
      <c r="AX391">
        <v>0.46880899999999998</v>
      </c>
      <c r="AY391">
        <v>0.604796</v>
      </c>
      <c r="AZ391">
        <v>46.88091</v>
      </c>
      <c r="BA391">
        <v>100</v>
      </c>
      <c r="BB391">
        <v>0.51042900000000002</v>
      </c>
      <c r="BC391">
        <v>25.521426000000002</v>
      </c>
      <c r="BD391">
        <v>50</v>
      </c>
      <c r="BE391">
        <v>0.51430500000000001</v>
      </c>
      <c r="BF391">
        <v>25.715250000000001</v>
      </c>
      <c r="BG391">
        <v>50</v>
      </c>
      <c r="BH391">
        <v>1</v>
      </c>
      <c r="BI391">
        <v>0.984344</v>
      </c>
      <c r="BJ391">
        <v>0.98039200000000004</v>
      </c>
      <c r="BK391">
        <v>0.993506</v>
      </c>
      <c r="BL391">
        <v>0.97847399999999995</v>
      </c>
      <c r="BM391">
        <v>0.97198899999999999</v>
      </c>
      <c r="BN391">
        <v>0.993506</v>
      </c>
      <c r="BO391">
        <v>0.95294100000000004</v>
      </c>
      <c r="BP391">
        <v>0.94262299999999999</v>
      </c>
      <c r="BQ391">
        <v>0.97916700000000001</v>
      </c>
      <c r="BR391">
        <v>0.115686</v>
      </c>
      <c r="BS391">
        <v>36.862744999999997</v>
      </c>
      <c r="BT391">
        <v>50</v>
      </c>
      <c r="BU391">
        <v>0.15109900000000001</v>
      </c>
      <c r="BV391">
        <v>29.78022</v>
      </c>
      <c r="BW391">
        <v>50</v>
      </c>
      <c r="BX391" t="s">
        <v>125</v>
      </c>
      <c r="BY391" t="s">
        <v>125</v>
      </c>
      <c r="BZ391" t="s">
        <v>125</v>
      </c>
      <c r="CA391" t="s">
        <v>125</v>
      </c>
      <c r="CB391" t="s">
        <v>125</v>
      </c>
      <c r="CC391" t="s">
        <v>125</v>
      </c>
      <c r="CD391">
        <v>0.89595400000000003</v>
      </c>
      <c r="CE391">
        <v>47.657114999999997</v>
      </c>
      <c r="CF391">
        <v>50</v>
      </c>
      <c r="CG391" t="s">
        <v>125</v>
      </c>
      <c r="CH391" t="s">
        <v>125</v>
      </c>
      <c r="CI391" t="s">
        <v>125</v>
      </c>
      <c r="CJ391" t="s">
        <v>125</v>
      </c>
      <c r="CK391" t="s">
        <v>125</v>
      </c>
      <c r="CL391" t="s">
        <v>125</v>
      </c>
      <c r="CM391" t="s">
        <v>125</v>
      </c>
      <c r="CN391" t="s">
        <v>125</v>
      </c>
      <c r="CO391" t="s">
        <v>125</v>
      </c>
      <c r="CP391" t="s">
        <v>125</v>
      </c>
      <c r="CQ391">
        <v>0.83006500000000005</v>
      </c>
      <c r="CR391">
        <v>0.930091</v>
      </c>
      <c r="CS391">
        <v>50</v>
      </c>
      <c r="CT391">
        <v>50</v>
      </c>
      <c r="CU391" t="s">
        <v>125</v>
      </c>
      <c r="CV391" t="s">
        <v>125</v>
      </c>
      <c r="CW391" t="s">
        <v>125</v>
      </c>
      <c r="CX391" t="s">
        <v>125</v>
      </c>
      <c r="CY391" t="s">
        <v>125</v>
      </c>
      <c r="CZ391" t="s">
        <v>125</v>
      </c>
      <c r="DA391">
        <v>15.314097</v>
      </c>
      <c r="DB391">
        <v>17.400950000000002</v>
      </c>
      <c r="DC391">
        <v>16.332519999999999</v>
      </c>
      <c r="DD391" t="s">
        <v>125</v>
      </c>
      <c r="DE391">
        <v>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Q391" t="s">
        <v>126</v>
      </c>
    </row>
    <row r="392" spans="1:121" x14ac:dyDescent="0.15">
      <c r="A392">
        <v>2018</v>
      </c>
      <c r="B392" t="s">
        <v>218</v>
      </c>
      <c r="C392" t="str">
        <f t="shared" si="8"/>
        <v>0440011</v>
      </c>
      <c r="D392" t="s">
        <v>541</v>
      </c>
      <c r="E392" t="str">
        <f>"0440711"</f>
        <v>0440711</v>
      </c>
      <c r="F392" t="s">
        <v>328</v>
      </c>
      <c r="G392" t="s">
        <v>339</v>
      </c>
      <c r="H392">
        <v>5</v>
      </c>
      <c r="I392" t="s">
        <v>336</v>
      </c>
      <c r="J392" t="s">
        <v>331</v>
      </c>
      <c r="K392">
        <v>712.30702199999996</v>
      </c>
      <c r="L392">
        <v>950</v>
      </c>
      <c r="M392">
        <v>74.979686000000001</v>
      </c>
      <c r="N392">
        <v>2</v>
      </c>
      <c r="O392">
        <v>0</v>
      </c>
      <c r="P392">
        <v>70.990843999999996</v>
      </c>
      <c r="Q392">
        <v>47.327229000000003</v>
      </c>
      <c r="R392">
        <v>50</v>
      </c>
      <c r="S392">
        <v>68.622202999999999</v>
      </c>
      <c r="T392">
        <v>75</v>
      </c>
      <c r="U392">
        <v>45.748136000000002</v>
      </c>
      <c r="V392">
        <v>50</v>
      </c>
      <c r="W392">
        <v>64.075142</v>
      </c>
      <c r="X392">
        <v>42.716760999999998</v>
      </c>
      <c r="Y392">
        <v>50</v>
      </c>
      <c r="Z392">
        <v>69.823598000000004</v>
      </c>
      <c r="AA392">
        <v>62.039230000000003</v>
      </c>
      <c r="AB392">
        <v>41.359487000000001</v>
      </c>
      <c r="AC392">
        <v>50</v>
      </c>
      <c r="AD392">
        <v>65.775160999999997</v>
      </c>
      <c r="AE392">
        <v>43.850107999999999</v>
      </c>
      <c r="AF392">
        <v>50</v>
      </c>
      <c r="AG392">
        <v>65.825716999999997</v>
      </c>
      <c r="AH392" t="s">
        <v>125</v>
      </c>
      <c r="AI392">
        <v>43.883811000000001</v>
      </c>
      <c r="AJ392">
        <v>50</v>
      </c>
      <c r="AK392">
        <v>6.37</v>
      </c>
      <c r="AL392">
        <v>7.78</v>
      </c>
      <c r="AM392" t="s">
        <v>125</v>
      </c>
      <c r="AN392">
        <v>0.81591400000000003</v>
      </c>
      <c r="AO392">
        <v>81.591419000000002</v>
      </c>
      <c r="AP392">
        <v>100</v>
      </c>
      <c r="AQ392">
        <v>0.50928200000000001</v>
      </c>
      <c r="AR392">
        <v>50.928220000000003</v>
      </c>
      <c r="AS392">
        <v>100</v>
      </c>
      <c r="AT392">
        <v>0.81241099999999999</v>
      </c>
      <c r="AU392">
        <v>0.82627099999999998</v>
      </c>
      <c r="AV392">
        <v>81.241107999999997</v>
      </c>
      <c r="AW392">
        <v>100</v>
      </c>
      <c r="AX392">
        <v>0.49923400000000001</v>
      </c>
      <c r="AY392">
        <v>0.53898999999999997</v>
      </c>
      <c r="AZ392">
        <v>49.923389</v>
      </c>
      <c r="BA392">
        <v>100</v>
      </c>
      <c r="BB392">
        <v>0.65286900000000003</v>
      </c>
      <c r="BC392">
        <v>32.643450000000001</v>
      </c>
      <c r="BD392">
        <v>50</v>
      </c>
      <c r="BE392">
        <v>0.358651</v>
      </c>
      <c r="BF392">
        <v>17.932538000000001</v>
      </c>
      <c r="BG392">
        <v>50</v>
      </c>
      <c r="BH392">
        <v>0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 t="s">
        <v>125</v>
      </c>
      <c r="BR392">
        <v>8.0420000000000005E-2</v>
      </c>
      <c r="BS392">
        <v>43.916083999999998</v>
      </c>
      <c r="BT392">
        <v>50</v>
      </c>
      <c r="BU392">
        <v>0.10377400000000001</v>
      </c>
      <c r="BV392">
        <v>39.245283000000001</v>
      </c>
      <c r="BW392">
        <v>50</v>
      </c>
      <c r="BX392" t="s">
        <v>125</v>
      </c>
      <c r="BY392" t="s">
        <v>125</v>
      </c>
      <c r="BZ392" t="s">
        <v>125</v>
      </c>
      <c r="CA392" t="s">
        <v>125</v>
      </c>
      <c r="CB392" t="s">
        <v>125</v>
      </c>
      <c r="CC392" t="s">
        <v>125</v>
      </c>
      <c r="CD392" t="s">
        <v>125</v>
      </c>
      <c r="CE392" t="s">
        <v>125</v>
      </c>
      <c r="CF392" t="s">
        <v>125</v>
      </c>
      <c r="CG392" t="s">
        <v>125</v>
      </c>
      <c r="CH392" t="s">
        <v>125</v>
      </c>
      <c r="CI392" t="s">
        <v>125</v>
      </c>
      <c r="CJ392" t="s">
        <v>125</v>
      </c>
      <c r="CK392" t="s">
        <v>125</v>
      </c>
      <c r="CL392" t="s">
        <v>125</v>
      </c>
      <c r="CM392" t="s">
        <v>125</v>
      </c>
      <c r="CN392" t="s">
        <v>125</v>
      </c>
      <c r="CO392" t="s">
        <v>125</v>
      </c>
      <c r="CP392" t="s">
        <v>125</v>
      </c>
      <c r="CQ392">
        <v>0.76363599999999998</v>
      </c>
      <c r="CR392">
        <v>1</v>
      </c>
      <c r="CS392">
        <v>50</v>
      </c>
      <c r="CT392">
        <v>50</v>
      </c>
      <c r="CU392" t="s">
        <v>125</v>
      </c>
      <c r="CV392" t="s">
        <v>125</v>
      </c>
      <c r="CW392" t="s">
        <v>125</v>
      </c>
      <c r="CX392" t="s">
        <v>125</v>
      </c>
      <c r="CY392" t="s">
        <v>125</v>
      </c>
      <c r="CZ392" t="s">
        <v>125</v>
      </c>
      <c r="DA392">
        <v>15.314097</v>
      </c>
      <c r="DB392">
        <v>17.400950000000002</v>
      </c>
      <c r="DC392">
        <v>16.332519999999999</v>
      </c>
      <c r="DD392" t="s">
        <v>125</v>
      </c>
      <c r="DE392">
        <v>0</v>
      </c>
      <c r="DH392" t="s">
        <v>332</v>
      </c>
      <c r="DI392" t="s">
        <v>529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Q392" t="s">
        <v>126</v>
      </c>
    </row>
    <row r="393" spans="1:121" x14ac:dyDescent="0.15">
      <c r="A393">
        <v>2018</v>
      </c>
      <c r="B393" t="s">
        <v>172</v>
      </c>
      <c r="C393" t="str">
        <f>"0450011"</f>
        <v>0450011</v>
      </c>
      <c r="D393" t="s">
        <v>542</v>
      </c>
      <c r="E393" t="str">
        <f>"0456111"</f>
        <v>0456111</v>
      </c>
      <c r="F393" t="s">
        <v>328</v>
      </c>
      <c r="G393">
        <v>9</v>
      </c>
      <c r="H393">
        <v>12</v>
      </c>
      <c r="I393" t="s">
        <v>330</v>
      </c>
      <c r="J393" t="s">
        <v>331</v>
      </c>
      <c r="K393">
        <v>1225.0350719999999</v>
      </c>
      <c r="L393">
        <v>1450</v>
      </c>
      <c r="M393">
        <v>84.485176999999993</v>
      </c>
      <c r="N393">
        <v>3</v>
      </c>
      <c r="O393">
        <v>1</v>
      </c>
      <c r="P393">
        <v>65.272988999999995</v>
      </c>
      <c r="Q393">
        <v>130.54597699999999</v>
      </c>
      <c r="R393">
        <v>150</v>
      </c>
      <c r="S393">
        <v>55.338462</v>
      </c>
      <c r="T393">
        <v>69.139720999999994</v>
      </c>
      <c r="U393">
        <v>110.676923</v>
      </c>
      <c r="V393">
        <v>150</v>
      </c>
      <c r="W393">
        <v>61.569443999999997</v>
      </c>
      <c r="X393">
        <v>123.13888900000001</v>
      </c>
      <c r="Y393">
        <v>150</v>
      </c>
      <c r="Z393">
        <v>65.407185999999996</v>
      </c>
      <c r="AA393">
        <v>51.709401999999997</v>
      </c>
      <c r="AB393">
        <v>103.418803</v>
      </c>
      <c r="AC393">
        <v>150</v>
      </c>
      <c r="AD393">
        <v>67.437935999999993</v>
      </c>
      <c r="AE393">
        <v>89.917248000000001</v>
      </c>
      <c r="AF393">
        <v>100</v>
      </c>
      <c r="AG393">
        <v>54.635444</v>
      </c>
      <c r="AH393">
        <v>72.267618999999996</v>
      </c>
      <c r="AI393">
        <v>72.847258999999994</v>
      </c>
      <c r="AJ393">
        <v>100</v>
      </c>
      <c r="AK393">
        <v>13.8</v>
      </c>
      <c r="AL393">
        <v>13.69</v>
      </c>
      <c r="AM393">
        <v>17.63</v>
      </c>
      <c r="AN393" t="s">
        <v>125</v>
      </c>
      <c r="AO393" t="s">
        <v>125</v>
      </c>
      <c r="AP393" t="s">
        <v>125</v>
      </c>
      <c r="AQ393" t="s">
        <v>125</v>
      </c>
      <c r="AR393" t="s">
        <v>125</v>
      </c>
      <c r="AS393" t="s">
        <v>125</v>
      </c>
      <c r="AT393" t="s">
        <v>125</v>
      </c>
      <c r="AU393" t="s">
        <v>125</v>
      </c>
      <c r="AV393" t="s">
        <v>125</v>
      </c>
      <c r="AW393" t="s">
        <v>125</v>
      </c>
      <c r="AX393" t="s">
        <v>125</v>
      </c>
      <c r="AY393" t="s">
        <v>125</v>
      </c>
      <c r="AZ393" t="s">
        <v>125</v>
      </c>
      <c r="BA393" t="s">
        <v>125</v>
      </c>
      <c r="BB393" t="s">
        <v>125</v>
      </c>
      <c r="BC393" t="s">
        <v>125</v>
      </c>
      <c r="BD393" t="s">
        <v>125</v>
      </c>
      <c r="BE393" t="s">
        <v>125</v>
      </c>
      <c r="BF393" t="s">
        <v>125</v>
      </c>
      <c r="BG393" t="s">
        <v>125</v>
      </c>
      <c r="BH393">
        <v>0</v>
      </c>
      <c r="BI393">
        <v>0.97510399999999997</v>
      </c>
      <c r="BJ393">
        <v>0.97058800000000001</v>
      </c>
      <c r="BK393">
        <v>0.97687900000000005</v>
      </c>
      <c r="BL393">
        <v>0.97510399999999997</v>
      </c>
      <c r="BM393">
        <v>0.97058800000000001</v>
      </c>
      <c r="BN393">
        <v>0.97687900000000005</v>
      </c>
      <c r="BO393">
        <v>0.97083299999999995</v>
      </c>
      <c r="BP393">
        <v>0.95588200000000001</v>
      </c>
      <c r="BQ393">
        <v>0.97674399999999995</v>
      </c>
      <c r="BR393">
        <v>6.0302000000000001E-2</v>
      </c>
      <c r="BS393">
        <v>47.939698</v>
      </c>
      <c r="BT393">
        <v>50</v>
      </c>
      <c r="BU393">
        <v>0.109155</v>
      </c>
      <c r="BV393">
        <v>38.169013999999997</v>
      </c>
      <c r="BW393">
        <v>50</v>
      </c>
      <c r="BX393">
        <v>0.96273299999999995</v>
      </c>
      <c r="BY393">
        <v>50</v>
      </c>
      <c r="BZ393">
        <v>50</v>
      </c>
      <c r="CA393">
        <v>0.60455499999999995</v>
      </c>
      <c r="CB393">
        <v>40.303657999999999</v>
      </c>
      <c r="CC393">
        <v>50</v>
      </c>
      <c r="CD393">
        <v>0.98795200000000005</v>
      </c>
      <c r="CE393">
        <v>50</v>
      </c>
      <c r="CF393">
        <v>50</v>
      </c>
      <c r="CG393">
        <v>0.96666700000000005</v>
      </c>
      <c r="CH393">
        <v>100</v>
      </c>
      <c r="CI393">
        <v>100</v>
      </c>
      <c r="CJ393">
        <v>0</v>
      </c>
      <c r="CK393">
        <v>0.91071400000000002</v>
      </c>
      <c r="CL393">
        <v>96.884497999999994</v>
      </c>
      <c r="CM393">
        <v>100</v>
      </c>
      <c r="CN393">
        <v>0.82375500000000001</v>
      </c>
      <c r="CO393">
        <v>100</v>
      </c>
      <c r="CP393">
        <v>100</v>
      </c>
      <c r="CQ393">
        <v>0.74885800000000002</v>
      </c>
      <c r="CR393">
        <v>0.8327</v>
      </c>
      <c r="CS393">
        <v>24.961948</v>
      </c>
      <c r="CT393">
        <v>50</v>
      </c>
      <c r="CU393">
        <v>0.55477399999999999</v>
      </c>
      <c r="CV393">
        <v>46.231155999999999</v>
      </c>
      <c r="CW393">
        <v>50</v>
      </c>
      <c r="CX393">
        <v>0.91071400000000002</v>
      </c>
      <c r="CY393">
        <v>0.94</v>
      </c>
      <c r="CZ393">
        <v>2.9286E-2</v>
      </c>
      <c r="DA393">
        <v>15.314097</v>
      </c>
      <c r="DB393">
        <v>17.400950000000002</v>
      </c>
      <c r="DC393">
        <v>16.332519999999999</v>
      </c>
      <c r="DD393">
        <v>7.9891730000000001</v>
      </c>
      <c r="DE393">
        <v>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Q393" t="s">
        <v>126</v>
      </c>
    </row>
    <row r="394" spans="1:121" x14ac:dyDescent="0.15">
      <c r="A394">
        <v>2018</v>
      </c>
      <c r="B394" t="s">
        <v>172</v>
      </c>
      <c r="C394" t="str">
        <f>"0450011"</f>
        <v>0450011</v>
      </c>
      <c r="D394" t="s">
        <v>543</v>
      </c>
      <c r="E394" t="str">
        <f>"0455111"</f>
        <v>0455111</v>
      </c>
      <c r="F394" t="s">
        <v>328</v>
      </c>
      <c r="G394">
        <v>5</v>
      </c>
      <c r="H394">
        <v>8</v>
      </c>
      <c r="I394" t="s">
        <v>330</v>
      </c>
      <c r="J394" t="s">
        <v>331</v>
      </c>
      <c r="K394">
        <v>685.71954600000004</v>
      </c>
      <c r="L394">
        <v>900</v>
      </c>
      <c r="M394">
        <v>76.191061000000005</v>
      </c>
      <c r="N394">
        <v>2</v>
      </c>
      <c r="O394">
        <v>0</v>
      </c>
      <c r="P394">
        <v>78.181197999999995</v>
      </c>
      <c r="Q394">
        <v>50</v>
      </c>
      <c r="R394">
        <v>50</v>
      </c>
      <c r="S394">
        <v>68.242115999999996</v>
      </c>
      <c r="T394">
        <v>75</v>
      </c>
      <c r="U394">
        <v>45.494743999999997</v>
      </c>
      <c r="V394">
        <v>50</v>
      </c>
      <c r="W394">
        <v>72.279112999999995</v>
      </c>
      <c r="X394">
        <v>48.186076</v>
      </c>
      <c r="Y394">
        <v>50</v>
      </c>
      <c r="Z394">
        <v>75</v>
      </c>
      <c r="AA394">
        <v>61.573791999999997</v>
      </c>
      <c r="AB394">
        <v>41.049194999999997</v>
      </c>
      <c r="AC394">
        <v>50</v>
      </c>
      <c r="AD394">
        <v>78.142221000000006</v>
      </c>
      <c r="AE394">
        <v>50</v>
      </c>
      <c r="AF394">
        <v>50</v>
      </c>
      <c r="AG394">
        <v>68.603526000000002</v>
      </c>
      <c r="AH394">
        <v>75</v>
      </c>
      <c r="AI394">
        <v>45.735683999999999</v>
      </c>
      <c r="AJ394">
        <v>50</v>
      </c>
      <c r="AK394">
        <v>6.75</v>
      </c>
      <c r="AL394">
        <v>13.42</v>
      </c>
      <c r="AM394">
        <v>6.39</v>
      </c>
      <c r="AN394">
        <v>0.60587000000000002</v>
      </c>
      <c r="AO394">
        <v>60.586976</v>
      </c>
      <c r="AP394">
        <v>100</v>
      </c>
      <c r="AQ394">
        <v>0.58669400000000005</v>
      </c>
      <c r="AR394">
        <v>58.669362999999997</v>
      </c>
      <c r="AS394">
        <v>100</v>
      </c>
      <c r="AT394">
        <v>0.56272599999999995</v>
      </c>
      <c r="AU394">
        <v>0.62606700000000004</v>
      </c>
      <c r="AV394">
        <v>56.272585999999997</v>
      </c>
      <c r="AW394">
        <v>100</v>
      </c>
      <c r="AX394">
        <v>0.48613800000000001</v>
      </c>
      <c r="AY394">
        <v>0.63376600000000005</v>
      </c>
      <c r="AZ394">
        <v>48.613812000000003</v>
      </c>
      <c r="BA394">
        <v>100</v>
      </c>
      <c r="BB394" t="s">
        <v>125</v>
      </c>
      <c r="BC394" t="s">
        <v>125</v>
      </c>
      <c r="BD394" t="s">
        <v>125</v>
      </c>
      <c r="BE394" t="s">
        <v>125</v>
      </c>
      <c r="BF394" t="s">
        <v>125</v>
      </c>
      <c r="BG394" t="s">
        <v>125</v>
      </c>
      <c r="BH394">
        <v>0</v>
      </c>
      <c r="BI394">
        <v>0.97413799999999995</v>
      </c>
      <c r="BJ394">
        <v>0.95340499999999995</v>
      </c>
      <c r="BK394">
        <v>0.98499099999999995</v>
      </c>
      <c r="BL394">
        <v>0.97413799999999995</v>
      </c>
      <c r="BM394">
        <v>0.95340499999999995</v>
      </c>
      <c r="BN394">
        <v>0.98499099999999995</v>
      </c>
      <c r="BO394">
        <v>0.97590399999999999</v>
      </c>
      <c r="BP394">
        <v>0.96453900000000004</v>
      </c>
      <c r="BQ394">
        <v>0.98175199999999996</v>
      </c>
      <c r="BR394">
        <v>4.3263000000000003E-2</v>
      </c>
      <c r="BS394">
        <v>50</v>
      </c>
      <c r="BT394">
        <v>50</v>
      </c>
      <c r="BU394">
        <v>8.1480999999999998E-2</v>
      </c>
      <c r="BV394">
        <v>43.703704000000002</v>
      </c>
      <c r="BW394">
        <v>50</v>
      </c>
      <c r="BX394" t="s">
        <v>125</v>
      </c>
      <c r="BY394" t="s">
        <v>125</v>
      </c>
      <c r="BZ394" t="s">
        <v>125</v>
      </c>
      <c r="CA394" t="s">
        <v>125</v>
      </c>
      <c r="CB394" t="s">
        <v>125</v>
      </c>
      <c r="CC394" t="s">
        <v>125</v>
      </c>
      <c r="CD394">
        <v>0.97619</v>
      </c>
      <c r="CE394">
        <v>50</v>
      </c>
      <c r="CF394">
        <v>50</v>
      </c>
      <c r="CG394" t="s">
        <v>125</v>
      </c>
      <c r="CH394" t="s">
        <v>125</v>
      </c>
      <c r="CI394" t="s">
        <v>125</v>
      </c>
      <c r="CJ394" t="s">
        <v>125</v>
      </c>
      <c r="CK394" t="s">
        <v>125</v>
      </c>
      <c r="CL394" t="s">
        <v>125</v>
      </c>
      <c r="CM394" t="s">
        <v>125</v>
      </c>
      <c r="CN394" t="s">
        <v>125</v>
      </c>
      <c r="CO394" t="s">
        <v>125</v>
      </c>
      <c r="CP394" t="s">
        <v>125</v>
      </c>
      <c r="CQ394">
        <v>0.56111100000000003</v>
      </c>
      <c r="CR394">
        <v>0.92071599999999998</v>
      </c>
      <c r="CS394">
        <v>37.407406999999999</v>
      </c>
      <c r="CT394">
        <v>50</v>
      </c>
      <c r="CU394" t="s">
        <v>125</v>
      </c>
      <c r="CV394" t="s">
        <v>125</v>
      </c>
      <c r="CW394" t="s">
        <v>125</v>
      </c>
      <c r="CX394" t="s">
        <v>125</v>
      </c>
      <c r="CY394" t="s">
        <v>125</v>
      </c>
      <c r="CZ394" t="s">
        <v>125</v>
      </c>
      <c r="DA394">
        <v>15.314097</v>
      </c>
      <c r="DB394">
        <v>17.400950000000002</v>
      </c>
      <c r="DC394">
        <v>16.332519999999999</v>
      </c>
      <c r="DD394" t="s">
        <v>125</v>
      </c>
      <c r="DE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Q394" t="s">
        <v>126</v>
      </c>
    </row>
    <row r="395" spans="1:121" x14ac:dyDescent="0.15">
      <c r="A395">
        <v>2018</v>
      </c>
      <c r="B395" t="s">
        <v>172</v>
      </c>
      <c r="C395" t="str">
        <f>"0450011"</f>
        <v>0450011</v>
      </c>
      <c r="D395" t="s">
        <v>544</v>
      </c>
      <c r="E395" t="str">
        <f>"0450111"</f>
        <v>0450111</v>
      </c>
      <c r="F395" t="s">
        <v>328</v>
      </c>
      <c r="G395" t="s">
        <v>339</v>
      </c>
      <c r="H395">
        <v>4</v>
      </c>
      <c r="I395" t="s">
        <v>330</v>
      </c>
      <c r="J395" t="s">
        <v>331</v>
      </c>
      <c r="K395">
        <v>491.53045700000001</v>
      </c>
      <c r="L395">
        <v>550</v>
      </c>
      <c r="M395">
        <v>89.369174000000001</v>
      </c>
      <c r="N395">
        <v>1</v>
      </c>
      <c r="O395">
        <v>0</v>
      </c>
      <c r="P395">
        <v>81.202011999999996</v>
      </c>
      <c r="Q395">
        <v>50</v>
      </c>
      <c r="R395">
        <v>50</v>
      </c>
      <c r="S395">
        <v>68.205472</v>
      </c>
      <c r="T395">
        <v>75</v>
      </c>
      <c r="U395">
        <v>45.470314999999999</v>
      </c>
      <c r="V395">
        <v>50</v>
      </c>
      <c r="W395">
        <v>81.671306999999999</v>
      </c>
      <c r="X395">
        <v>50</v>
      </c>
      <c r="Y395">
        <v>50</v>
      </c>
      <c r="Z395">
        <v>75</v>
      </c>
      <c r="AA395">
        <v>69.597611999999998</v>
      </c>
      <c r="AB395">
        <v>46.398408000000003</v>
      </c>
      <c r="AC395">
        <v>50</v>
      </c>
      <c r="AD395" t="s">
        <v>125</v>
      </c>
      <c r="AE395" t="s">
        <v>125</v>
      </c>
      <c r="AF395" t="s">
        <v>125</v>
      </c>
      <c r="AG395" t="s">
        <v>125</v>
      </c>
      <c r="AH395" t="s">
        <v>125</v>
      </c>
      <c r="AI395" t="s">
        <v>125</v>
      </c>
      <c r="AJ395" t="s">
        <v>125</v>
      </c>
      <c r="AK395">
        <v>6.79</v>
      </c>
      <c r="AL395">
        <v>5.4</v>
      </c>
      <c r="AM395" t="s">
        <v>125</v>
      </c>
      <c r="AN395">
        <v>0.77116899999999999</v>
      </c>
      <c r="AO395">
        <v>77.116926000000007</v>
      </c>
      <c r="AP395">
        <v>100</v>
      </c>
      <c r="AQ395">
        <v>0.76466400000000001</v>
      </c>
      <c r="AR395">
        <v>76.466376999999994</v>
      </c>
      <c r="AS395">
        <v>100</v>
      </c>
      <c r="AT395" t="s">
        <v>125</v>
      </c>
      <c r="AU395">
        <v>0.86785199999999996</v>
      </c>
      <c r="AV395" t="s">
        <v>125</v>
      </c>
      <c r="AW395" t="s">
        <v>125</v>
      </c>
      <c r="AX395" t="s">
        <v>125</v>
      </c>
      <c r="AY395">
        <v>0.82675900000000002</v>
      </c>
      <c r="AZ395" t="s">
        <v>125</v>
      </c>
      <c r="BA395" t="s">
        <v>125</v>
      </c>
      <c r="BB395" t="s">
        <v>125</v>
      </c>
      <c r="BC395" t="s">
        <v>125</v>
      </c>
      <c r="BD395" t="s">
        <v>125</v>
      </c>
      <c r="BE395" t="s">
        <v>125</v>
      </c>
      <c r="BF395" t="s">
        <v>125</v>
      </c>
      <c r="BG395" t="s">
        <v>125</v>
      </c>
      <c r="BH395">
        <v>0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 t="s">
        <v>125</v>
      </c>
      <c r="BP395" t="s">
        <v>125</v>
      </c>
      <c r="BQ395" t="s">
        <v>125</v>
      </c>
      <c r="BR395">
        <v>2.9155E-2</v>
      </c>
      <c r="BS395">
        <v>50</v>
      </c>
      <c r="BT395">
        <v>50</v>
      </c>
      <c r="BU395">
        <v>3.8835000000000001E-2</v>
      </c>
      <c r="BV395">
        <v>50</v>
      </c>
      <c r="BW395">
        <v>50</v>
      </c>
      <c r="BX395" t="s">
        <v>125</v>
      </c>
      <c r="BY395" t="s">
        <v>125</v>
      </c>
      <c r="BZ395" t="s">
        <v>125</v>
      </c>
      <c r="CA395" t="s">
        <v>125</v>
      </c>
      <c r="CB395" t="s">
        <v>125</v>
      </c>
      <c r="CC395" t="s">
        <v>125</v>
      </c>
      <c r="CD395" t="s">
        <v>125</v>
      </c>
      <c r="CE395" t="s">
        <v>125</v>
      </c>
      <c r="CF395" t="s">
        <v>125</v>
      </c>
      <c r="CG395" t="s">
        <v>125</v>
      </c>
      <c r="CH395" t="s">
        <v>125</v>
      </c>
      <c r="CI395" t="s">
        <v>125</v>
      </c>
      <c r="CJ395" t="s">
        <v>125</v>
      </c>
      <c r="CK395" t="s">
        <v>125</v>
      </c>
      <c r="CL395" t="s">
        <v>125</v>
      </c>
      <c r="CM395" t="s">
        <v>125</v>
      </c>
      <c r="CN395" t="s">
        <v>125</v>
      </c>
      <c r="CO395" t="s">
        <v>125</v>
      </c>
      <c r="CP395" t="s">
        <v>125</v>
      </c>
      <c r="CQ395">
        <v>0.69117600000000001</v>
      </c>
      <c r="CR395">
        <v>1</v>
      </c>
      <c r="CS395">
        <v>46.078431000000002</v>
      </c>
      <c r="CT395">
        <v>50</v>
      </c>
      <c r="CU395" t="s">
        <v>125</v>
      </c>
      <c r="CV395" t="s">
        <v>125</v>
      </c>
      <c r="CW395" t="s">
        <v>125</v>
      </c>
      <c r="CX395" t="s">
        <v>125</v>
      </c>
      <c r="CY395" t="s">
        <v>125</v>
      </c>
      <c r="CZ395" t="s">
        <v>125</v>
      </c>
      <c r="DA395">
        <v>15.314097</v>
      </c>
      <c r="DB395">
        <v>17.400950000000002</v>
      </c>
      <c r="DC395">
        <v>16.332519999999999</v>
      </c>
      <c r="DD395" t="s">
        <v>125</v>
      </c>
      <c r="DE395">
        <v>0</v>
      </c>
      <c r="DH395" t="s">
        <v>332</v>
      </c>
      <c r="DI395" t="s">
        <v>333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Q395" t="s">
        <v>126</v>
      </c>
    </row>
    <row r="396" spans="1:121" x14ac:dyDescent="0.15">
      <c r="A396">
        <v>2018</v>
      </c>
      <c r="B396" t="s">
        <v>172</v>
      </c>
      <c r="C396" t="str">
        <f>"0450011"</f>
        <v>0450011</v>
      </c>
      <c r="D396" t="s">
        <v>545</v>
      </c>
      <c r="E396" t="str">
        <f>"0450411"</f>
        <v>0450411</v>
      </c>
      <c r="F396" t="s">
        <v>328</v>
      </c>
      <c r="G396" t="s">
        <v>329</v>
      </c>
      <c r="H396">
        <v>4</v>
      </c>
      <c r="I396" t="s">
        <v>330</v>
      </c>
      <c r="J396" t="s">
        <v>331</v>
      </c>
      <c r="K396">
        <v>476.87580300000002</v>
      </c>
      <c r="L396">
        <v>550</v>
      </c>
      <c r="M396">
        <v>86.704690999999997</v>
      </c>
      <c r="N396">
        <v>1</v>
      </c>
      <c r="O396">
        <v>0</v>
      </c>
      <c r="P396">
        <v>81.015501999999998</v>
      </c>
      <c r="Q396">
        <v>50</v>
      </c>
      <c r="R396">
        <v>50</v>
      </c>
      <c r="S396">
        <v>70.301807999999994</v>
      </c>
      <c r="T396">
        <v>75</v>
      </c>
      <c r="U396">
        <v>46.867871999999998</v>
      </c>
      <c r="V396">
        <v>50</v>
      </c>
      <c r="W396">
        <v>82.650632999999999</v>
      </c>
      <c r="X396">
        <v>50</v>
      </c>
      <c r="Y396">
        <v>50</v>
      </c>
      <c r="Z396">
        <v>75</v>
      </c>
      <c r="AA396">
        <v>69.284471999999994</v>
      </c>
      <c r="AB396">
        <v>46.189647999999998</v>
      </c>
      <c r="AC396">
        <v>50</v>
      </c>
      <c r="AD396" t="s">
        <v>125</v>
      </c>
      <c r="AE396" t="s">
        <v>125</v>
      </c>
      <c r="AF396" t="s">
        <v>125</v>
      </c>
      <c r="AG396" t="s">
        <v>125</v>
      </c>
      <c r="AH396" t="s">
        <v>125</v>
      </c>
      <c r="AI396" t="s">
        <v>125</v>
      </c>
      <c r="AJ396" t="s">
        <v>125</v>
      </c>
      <c r="AK396">
        <v>4.6900000000000004</v>
      </c>
      <c r="AL396">
        <v>5.71</v>
      </c>
      <c r="AM396" t="s">
        <v>125</v>
      </c>
      <c r="AN396">
        <v>0.675682</v>
      </c>
      <c r="AO396">
        <v>67.568230999999997</v>
      </c>
      <c r="AP396">
        <v>100</v>
      </c>
      <c r="AQ396">
        <v>0.87967200000000001</v>
      </c>
      <c r="AR396">
        <v>87.967224000000002</v>
      </c>
      <c r="AS396">
        <v>100</v>
      </c>
      <c r="AT396" t="s">
        <v>125</v>
      </c>
      <c r="AU396">
        <v>0.71453500000000003</v>
      </c>
      <c r="AV396" t="s">
        <v>125</v>
      </c>
      <c r="AW396" t="s">
        <v>125</v>
      </c>
      <c r="AX396" t="s">
        <v>125</v>
      </c>
      <c r="AY396">
        <v>0.89326700000000003</v>
      </c>
      <c r="AZ396" t="s">
        <v>125</v>
      </c>
      <c r="BA396" t="s">
        <v>125</v>
      </c>
      <c r="BB396" t="s">
        <v>125</v>
      </c>
      <c r="BC396" t="s">
        <v>125</v>
      </c>
      <c r="BD396" t="s">
        <v>125</v>
      </c>
      <c r="BE396" t="s">
        <v>125</v>
      </c>
      <c r="BF396" t="s">
        <v>125</v>
      </c>
      <c r="BG396" t="s">
        <v>125</v>
      </c>
      <c r="BH396">
        <v>0</v>
      </c>
      <c r="BI396">
        <v>0.99193500000000001</v>
      </c>
      <c r="BJ396">
        <v>0.97560999999999998</v>
      </c>
      <c r="BK396">
        <v>1</v>
      </c>
      <c r="BL396">
        <v>0.99193500000000001</v>
      </c>
      <c r="BM396">
        <v>0.97560999999999998</v>
      </c>
      <c r="BN396">
        <v>1</v>
      </c>
      <c r="BO396" t="s">
        <v>125</v>
      </c>
      <c r="BP396" t="s">
        <v>125</v>
      </c>
      <c r="BQ396" t="s">
        <v>125</v>
      </c>
      <c r="BR396">
        <v>2.6936000000000002E-2</v>
      </c>
      <c r="BS396">
        <v>50</v>
      </c>
      <c r="BT396">
        <v>50</v>
      </c>
      <c r="BU396">
        <v>4.4248000000000003E-2</v>
      </c>
      <c r="BV396">
        <v>50</v>
      </c>
      <c r="BW396">
        <v>50</v>
      </c>
      <c r="BX396" t="s">
        <v>125</v>
      </c>
      <c r="BY396" t="s">
        <v>125</v>
      </c>
      <c r="BZ396" t="s">
        <v>125</v>
      </c>
      <c r="CA396" t="s">
        <v>125</v>
      </c>
      <c r="CB396" t="s">
        <v>125</v>
      </c>
      <c r="CC396" t="s">
        <v>125</v>
      </c>
      <c r="CD396" t="s">
        <v>125</v>
      </c>
      <c r="CE396" t="s">
        <v>125</v>
      </c>
      <c r="CF396" t="s">
        <v>125</v>
      </c>
      <c r="CG396" t="s">
        <v>125</v>
      </c>
      <c r="CH396" t="s">
        <v>125</v>
      </c>
      <c r="CI396" t="s">
        <v>125</v>
      </c>
      <c r="CJ396" t="s">
        <v>125</v>
      </c>
      <c r="CK396" t="s">
        <v>125</v>
      </c>
      <c r="CL396" t="s">
        <v>125</v>
      </c>
      <c r="CM396" t="s">
        <v>125</v>
      </c>
      <c r="CN396" t="s">
        <v>125</v>
      </c>
      <c r="CO396" t="s">
        <v>125</v>
      </c>
      <c r="CP396" t="s">
        <v>125</v>
      </c>
      <c r="CQ396">
        <v>0.42424200000000001</v>
      </c>
      <c r="CR396">
        <v>0.95652199999999998</v>
      </c>
      <c r="CS396">
        <v>28.282827999999999</v>
      </c>
      <c r="CT396">
        <v>50</v>
      </c>
      <c r="CU396" t="s">
        <v>125</v>
      </c>
      <c r="CV396" t="s">
        <v>125</v>
      </c>
      <c r="CW396" t="s">
        <v>125</v>
      </c>
      <c r="CX396" t="s">
        <v>125</v>
      </c>
      <c r="CY396" t="s">
        <v>125</v>
      </c>
      <c r="CZ396" t="s">
        <v>125</v>
      </c>
      <c r="DA396">
        <v>15.314097</v>
      </c>
      <c r="DB396">
        <v>17.400950000000002</v>
      </c>
      <c r="DC396">
        <v>16.332519999999999</v>
      </c>
      <c r="DD396" t="s">
        <v>125</v>
      </c>
      <c r="DE396">
        <v>0</v>
      </c>
      <c r="DH396" t="s">
        <v>332</v>
      </c>
      <c r="DI396" t="s">
        <v>546</v>
      </c>
      <c r="DJ396">
        <v>1</v>
      </c>
      <c r="DK396">
        <v>0</v>
      </c>
      <c r="DL396">
        <v>1</v>
      </c>
      <c r="DM396">
        <v>0</v>
      </c>
      <c r="DN396">
        <v>0</v>
      </c>
      <c r="DO396">
        <v>0</v>
      </c>
      <c r="DQ396" t="s">
        <v>126</v>
      </c>
    </row>
    <row r="397" spans="1:121" x14ac:dyDescent="0.15">
      <c r="A397">
        <v>2018</v>
      </c>
      <c r="B397" t="s">
        <v>172</v>
      </c>
      <c r="C397" t="str">
        <f>"0450011"</f>
        <v>0450011</v>
      </c>
      <c r="D397" t="s">
        <v>547</v>
      </c>
      <c r="E397" t="str">
        <f>"0450211"</f>
        <v>0450211</v>
      </c>
      <c r="F397" t="s">
        <v>328</v>
      </c>
      <c r="G397" t="s">
        <v>339</v>
      </c>
      <c r="H397">
        <v>4</v>
      </c>
      <c r="I397" t="s">
        <v>330</v>
      </c>
      <c r="J397" t="s">
        <v>331</v>
      </c>
      <c r="K397">
        <v>523.08658600000001</v>
      </c>
      <c r="L397">
        <v>550</v>
      </c>
      <c r="M397">
        <v>95.106651999999997</v>
      </c>
      <c r="N397">
        <v>2</v>
      </c>
      <c r="O397">
        <v>0</v>
      </c>
      <c r="P397">
        <v>84.200078000000005</v>
      </c>
      <c r="Q397">
        <v>50</v>
      </c>
      <c r="R397">
        <v>50</v>
      </c>
      <c r="S397">
        <v>75.011348999999996</v>
      </c>
      <c r="T397">
        <v>75</v>
      </c>
      <c r="U397">
        <v>50</v>
      </c>
      <c r="V397">
        <v>50</v>
      </c>
      <c r="W397">
        <v>81.373925</v>
      </c>
      <c r="X397">
        <v>50</v>
      </c>
      <c r="Y397">
        <v>50</v>
      </c>
      <c r="Z397">
        <v>75</v>
      </c>
      <c r="AA397">
        <v>72.099492999999995</v>
      </c>
      <c r="AB397">
        <v>48.066329000000003</v>
      </c>
      <c r="AC397">
        <v>50</v>
      </c>
      <c r="AD397" t="s">
        <v>125</v>
      </c>
      <c r="AE397" t="s">
        <v>125</v>
      </c>
      <c r="AF397" t="s">
        <v>125</v>
      </c>
      <c r="AG397" t="s">
        <v>125</v>
      </c>
      <c r="AH397" t="s">
        <v>125</v>
      </c>
      <c r="AI397" t="s">
        <v>125</v>
      </c>
      <c r="AJ397" t="s">
        <v>125</v>
      </c>
      <c r="AK397">
        <v>-0.01</v>
      </c>
      <c r="AL397">
        <v>2.9</v>
      </c>
      <c r="AM397" t="s">
        <v>125</v>
      </c>
      <c r="AN397">
        <v>0.91287200000000002</v>
      </c>
      <c r="AO397">
        <v>91.287201999999994</v>
      </c>
      <c r="AP397">
        <v>100</v>
      </c>
      <c r="AQ397">
        <v>0.91140500000000002</v>
      </c>
      <c r="AR397">
        <v>91.140461999999999</v>
      </c>
      <c r="AS397">
        <v>100</v>
      </c>
      <c r="AT397" t="s">
        <v>125</v>
      </c>
      <c r="AU397">
        <v>0.91269800000000001</v>
      </c>
      <c r="AV397" t="s">
        <v>125</v>
      </c>
      <c r="AW397" t="s">
        <v>125</v>
      </c>
      <c r="AX397" t="s">
        <v>125</v>
      </c>
      <c r="AY397">
        <v>0.99287700000000001</v>
      </c>
      <c r="AZ397" t="s">
        <v>125</v>
      </c>
      <c r="BA397" t="s">
        <v>125</v>
      </c>
      <c r="BB397" t="s">
        <v>125</v>
      </c>
      <c r="BC397" t="s">
        <v>125</v>
      </c>
      <c r="BD397" t="s">
        <v>125</v>
      </c>
      <c r="BE397" t="s">
        <v>125</v>
      </c>
      <c r="BF397" t="s">
        <v>125</v>
      </c>
      <c r="BG397" t="s">
        <v>125</v>
      </c>
      <c r="BH397">
        <v>1</v>
      </c>
      <c r="BI397">
        <v>0.95454499999999998</v>
      </c>
      <c r="BJ397">
        <v>0.92592600000000003</v>
      </c>
      <c r="BK397">
        <v>0.97435899999999998</v>
      </c>
      <c r="BL397">
        <v>0.95454499999999998</v>
      </c>
      <c r="BM397">
        <v>0.92592600000000003</v>
      </c>
      <c r="BN397">
        <v>0.97435899999999998</v>
      </c>
      <c r="BO397" t="s">
        <v>125</v>
      </c>
      <c r="BP397" t="s">
        <v>125</v>
      </c>
      <c r="BQ397" t="s">
        <v>125</v>
      </c>
      <c r="BR397">
        <v>1.7045000000000001E-2</v>
      </c>
      <c r="BS397">
        <v>50</v>
      </c>
      <c r="BT397">
        <v>50</v>
      </c>
      <c r="BU397">
        <v>1.6129000000000001E-2</v>
      </c>
      <c r="BV397">
        <v>50</v>
      </c>
      <c r="BW397">
        <v>50</v>
      </c>
      <c r="BX397" t="s">
        <v>125</v>
      </c>
      <c r="BY397" t="s">
        <v>125</v>
      </c>
      <c r="BZ397" t="s">
        <v>125</v>
      </c>
      <c r="CA397" t="s">
        <v>125</v>
      </c>
      <c r="CB397" t="s">
        <v>125</v>
      </c>
      <c r="CC397" t="s">
        <v>125</v>
      </c>
      <c r="CD397" t="s">
        <v>125</v>
      </c>
      <c r="CE397" t="s">
        <v>125</v>
      </c>
      <c r="CF397" t="s">
        <v>125</v>
      </c>
      <c r="CG397" t="s">
        <v>125</v>
      </c>
      <c r="CH397" t="s">
        <v>125</v>
      </c>
      <c r="CI397" t="s">
        <v>125</v>
      </c>
      <c r="CJ397" t="s">
        <v>125</v>
      </c>
      <c r="CK397" t="s">
        <v>125</v>
      </c>
      <c r="CL397" t="s">
        <v>125</v>
      </c>
      <c r="CM397" t="s">
        <v>125</v>
      </c>
      <c r="CN397" t="s">
        <v>125</v>
      </c>
      <c r="CO397" t="s">
        <v>125</v>
      </c>
      <c r="CP397" t="s">
        <v>125</v>
      </c>
      <c r="CQ397">
        <v>0.63888900000000004</v>
      </c>
      <c r="CR397">
        <v>1.0285709999999999</v>
      </c>
      <c r="CS397">
        <v>42.592593000000001</v>
      </c>
      <c r="CT397">
        <v>50</v>
      </c>
      <c r="CU397" t="s">
        <v>125</v>
      </c>
      <c r="CV397" t="s">
        <v>125</v>
      </c>
      <c r="CW397" t="s">
        <v>125</v>
      </c>
      <c r="CX397" t="s">
        <v>125</v>
      </c>
      <c r="CY397" t="s">
        <v>125</v>
      </c>
      <c r="CZ397" t="s">
        <v>125</v>
      </c>
      <c r="DA397">
        <v>15.314097</v>
      </c>
      <c r="DB397">
        <v>17.400950000000002</v>
      </c>
      <c r="DC397">
        <v>16.332519999999999</v>
      </c>
      <c r="DD397" t="s">
        <v>125</v>
      </c>
      <c r="DE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Q397" t="s">
        <v>126</v>
      </c>
    </row>
    <row r="398" spans="1:121" x14ac:dyDescent="0.15">
      <c r="A398">
        <v>2018</v>
      </c>
      <c r="B398" t="s">
        <v>147</v>
      </c>
      <c r="C398" t="str">
        <f>"0460011"</f>
        <v>0460011</v>
      </c>
      <c r="D398" t="s">
        <v>548</v>
      </c>
      <c r="E398" t="str">
        <f>"0465111"</f>
        <v>0465111</v>
      </c>
      <c r="F398" t="s">
        <v>328</v>
      </c>
      <c r="G398">
        <v>6</v>
      </c>
      <c r="H398">
        <v>8</v>
      </c>
      <c r="I398" t="s">
        <v>330</v>
      </c>
      <c r="J398" t="s">
        <v>331</v>
      </c>
      <c r="K398">
        <v>739.60075700000004</v>
      </c>
      <c r="L398">
        <v>900</v>
      </c>
      <c r="M398">
        <v>82.177862000000005</v>
      </c>
      <c r="N398">
        <v>3</v>
      </c>
      <c r="O398">
        <v>0</v>
      </c>
      <c r="P398">
        <v>84.801873999999998</v>
      </c>
      <c r="Q398">
        <v>50</v>
      </c>
      <c r="R398">
        <v>50</v>
      </c>
      <c r="S398">
        <v>75.126945000000006</v>
      </c>
      <c r="T398">
        <v>75</v>
      </c>
      <c r="U398">
        <v>50</v>
      </c>
      <c r="V398">
        <v>50</v>
      </c>
      <c r="W398">
        <v>77.526660000000007</v>
      </c>
      <c r="X398">
        <v>50</v>
      </c>
      <c r="Y398">
        <v>50</v>
      </c>
      <c r="Z398">
        <v>75</v>
      </c>
      <c r="AA398">
        <v>67.047216000000006</v>
      </c>
      <c r="AB398">
        <v>44.698143999999999</v>
      </c>
      <c r="AC398">
        <v>50</v>
      </c>
      <c r="AD398">
        <v>74.882936999999998</v>
      </c>
      <c r="AE398">
        <v>49.921957999999997</v>
      </c>
      <c r="AF398">
        <v>50</v>
      </c>
      <c r="AG398">
        <v>68.048903999999993</v>
      </c>
      <c r="AH398">
        <v>75</v>
      </c>
      <c r="AI398">
        <v>45.365935999999998</v>
      </c>
      <c r="AJ398">
        <v>50</v>
      </c>
      <c r="AK398">
        <v>-0.12</v>
      </c>
      <c r="AL398">
        <v>7.95</v>
      </c>
      <c r="AM398">
        <v>6.95</v>
      </c>
      <c r="AN398">
        <v>0.67343600000000003</v>
      </c>
      <c r="AO398">
        <v>67.343603000000002</v>
      </c>
      <c r="AP398">
        <v>100</v>
      </c>
      <c r="AQ398">
        <v>0.69203700000000001</v>
      </c>
      <c r="AR398">
        <v>69.203706999999994</v>
      </c>
      <c r="AS398">
        <v>100</v>
      </c>
      <c r="AT398">
        <v>0.55508900000000005</v>
      </c>
      <c r="AU398">
        <v>0.70174599999999998</v>
      </c>
      <c r="AV398">
        <v>55.508910999999998</v>
      </c>
      <c r="AW398">
        <v>100</v>
      </c>
      <c r="AX398">
        <v>0.66043300000000005</v>
      </c>
      <c r="AY398">
        <v>0.69944399999999995</v>
      </c>
      <c r="AZ398">
        <v>66.043346999999997</v>
      </c>
      <c r="BA398">
        <v>100</v>
      </c>
      <c r="BB398" t="s">
        <v>125</v>
      </c>
      <c r="BC398" t="s">
        <v>125</v>
      </c>
      <c r="BD398" t="s">
        <v>125</v>
      </c>
      <c r="BE398" t="s">
        <v>125</v>
      </c>
      <c r="BF398" t="s">
        <v>125</v>
      </c>
      <c r="BG398" t="s">
        <v>125</v>
      </c>
      <c r="BH398">
        <v>1</v>
      </c>
      <c r="BI398">
        <v>0.97916700000000001</v>
      </c>
      <c r="BJ398">
        <v>0.94666700000000004</v>
      </c>
      <c r="BK398">
        <v>0.988506</v>
      </c>
      <c r="BL398">
        <v>0.97619</v>
      </c>
      <c r="BM398">
        <v>0.93333299999999997</v>
      </c>
      <c r="BN398">
        <v>0.988506</v>
      </c>
      <c r="BO398">
        <v>0.98373999999999995</v>
      </c>
      <c r="BP398">
        <v>0.96</v>
      </c>
      <c r="BQ398">
        <v>0.98979600000000001</v>
      </c>
      <c r="BR398">
        <v>4.1667000000000003E-2</v>
      </c>
      <c r="BS398">
        <v>50</v>
      </c>
      <c r="BT398">
        <v>50</v>
      </c>
      <c r="BU398">
        <v>4.3478000000000003E-2</v>
      </c>
      <c r="BV398">
        <v>50</v>
      </c>
      <c r="BW398">
        <v>50</v>
      </c>
      <c r="BX398" t="s">
        <v>125</v>
      </c>
      <c r="BY398" t="s">
        <v>125</v>
      </c>
      <c r="BZ398" t="s">
        <v>125</v>
      </c>
      <c r="CA398" t="s">
        <v>125</v>
      </c>
      <c r="CB398" t="s">
        <v>125</v>
      </c>
      <c r="CC398" t="s">
        <v>125</v>
      </c>
      <c r="CD398">
        <v>0.98876399999999998</v>
      </c>
      <c r="CE398">
        <v>50</v>
      </c>
      <c r="CF398">
        <v>50</v>
      </c>
      <c r="CG398" t="s">
        <v>125</v>
      </c>
      <c r="CH398" t="s">
        <v>125</v>
      </c>
      <c r="CI398" t="s">
        <v>125</v>
      </c>
      <c r="CJ398" t="s">
        <v>125</v>
      </c>
      <c r="CK398" t="s">
        <v>125</v>
      </c>
      <c r="CL398" t="s">
        <v>125</v>
      </c>
      <c r="CM398" t="s">
        <v>125</v>
      </c>
      <c r="CN398" t="s">
        <v>125</v>
      </c>
      <c r="CO398" t="s">
        <v>125</v>
      </c>
      <c r="CP398" t="s">
        <v>125</v>
      </c>
      <c r="CQ398">
        <v>0.62272700000000003</v>
      </c>
      <c r="CR398">
        <v>0.95238100000000003</v>
      </c>
      <c r="CS398">
        <v>41.515152</v>
      </c>
      <c r="CT398">
        <v>50</v>
      </c>
      <c r="CU398" t="s">
        <v>125</v>
      </c>
      <c r="CV398" t="s">
        <v>125</v>
      </c>
      <c r="CW398" t="s">
        <v>125</v>
      </c>
      <c r="CX398" t="s">
        <v>125</v>
      </c>
      <c r="CY398" t="s">
        <v>125</v>
      </c>
      <c r="CZ398" t="s">
        <v>125</v>
      </c>
      <c r="DA398">
        <v>15.314097</v>
      </c>
      <c r="DB398">
        <v>17.400950000000002</v>
      </c>
      <c r="DC398">
        <v>16.332519999999999</v>
      </c>
      <c r="DD398" t="s">
        <v>125</v>
      </c>
      <c r="DE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Q398" t="s">
        <v>126</v>
      </c>
    </row>
    <row r="399" spans="1:121" x14ac:dyDescent="0.15">
      <c r="A399">
        <v>2018</v>
      </c>
      <c r="B399" t="s">
        <v>147</v>
      </c>
      <c r="C399" t="str">
        <f>"0460011"</f>
        <v>0460011</v>
      </c>
      <c r="D399" t="s">
        <v>549</v>
      </c>
      <c r="E399" t="str">
        <f>"0460111"</f>
        <v>0460111</v>
      </c>
      <c r="F399" t="s">
        <v>328</v>
      </c>
      <c r="G399" t="s">
        <v>329</v>
      </c>
      <c r="H399">
        <v>5</v>
      </c>
      <c r="I399" t="s">
        <v>330</v>
      </c>
      <c r="J399" t="s">
        <v>331</v>
      </c>
      <c r="K399">
        <v>684.15209700000003</v>
      </c>
      <c r="L399">
        <v>850</v>
      </c>
      <c r="M399">
        <v>80.488482000000005</v>
      </c>
      <c r="N399">
        <v>3</v>
      </c>
      <c r="O399">
        <v>0</v>
      </c>
      <c r="P399">
        <v>80.059488000000002</v>
      </c>
      <c r="Q399">
        <v>50</v>
      </c>
      <c r="R399">
        <v>50</v>
      </c>
      <c r="S399">
        <v>67.519082999999995</v>
      </c>
      <c r="T399">
        <v>75</v>
      </c>
      <c r="U399">
        <v>45.012721999999997</v>
      </c>
      <c r="V399">
        <v>50</v>
      </c>
      <c r="W399">
        <v>78.874795000000006</v>
      </c>
      <c r="X399">
        <v>50</v>
      </c>
      <c r="Y399">
        <v>50</v>
      </c>
      <c r="Z399">
        <v>75</v>
      </c>
      <c r="AA399">
        <v>65.377564000000007</v>
      </c>
      <c r="AB399">
        <v>43.585042999999999</v>
      </c>
      <c r="AC399">
        <v>50</v>
      </c>
      <c r="AD399">
        <v>75.396242000000001</v>
      </c>
      <c r="AE399">
        <v>50</v>
      </c>
      <c r="AF399">
        <v>50</v>
      </c>
      <c r="AG399">
        <v>64.005184</v>
      </c>
      <c r="AH399">
        <v>75</v>
      </c>
      <c r="AI399">
        <v>42.670122999999997</v>
      </c>
      <c r="AJ399">
        <v>50</v>
      </c>
      <c r="AK399">
        <v>7.48</v>
      </c>
      <c r="AL399">
        <v>9.6199999999999992</v>
      </c>
      <c r="AM399">
        <v>10.99</v>
      </c>
      <c r="AN399">
        <v>0.70541699999999996</v>
      </c>
      <c r="AO399">
        <v>70.541702999999998</v>
      </c>
      <c r="AP399">
        <v>100</v>
      </c>
      <c r="AQ399">
        <v>0.70713300000000001</v>
      </c>
      <c r="AR399">
        <v>70.713266000000004</v>
      </c>
      <c r="AS399">
        <v>100</v>
      </c>
      <c r="AT399">
        <v>0.58201199999999997</v>
      </c>
      <c r="AU399">
        <v>0.75667799999999996</v>
      </c>
      <c r="AV399">
        <v>58.201166999999998</v>
      </c>
      <c r="AW399">
        <v>100</v>
      </c>
      <c r="AX399">
        <v>0.58242899999999997</v>
      </c>
      <c r="AY399">
        <v>0.75893299999999997</v>
      </c>
      <c r="AZ399">
        <v>58.242888000000001</v>
      </c>
      <c r="BA399">
        <v>100</v>
      </c>
      <c r="BB399" t="s">
        <v>125</v>
      </c>
      <c r="BC399" t="s">
        <v>125</v>
      </c>
      <c r="BD399" t="s">
        <v>125</v>
      </c>
      <c r="BE399" t="s">
        <v>125</v>
      </c>
      <c r="BF399" t="s">
        <v>125</v>
      </c>
      <c r="BG399" t="s">
        <v>125</v>
      </c>
      <c r="BH399">
        <v>1</v>
      </c>
      <c r="BI399">
        <v>0.98943700000000001</v>
      </c>
      <c r="BJ399">
        <v>0.98823499999999997</v>
      </c>
      <c r="BK399">
        <v>0.98995</v>
      </c>
      <c r="BL399">
        <v>0.98591499999999999</v>
      </c>
      <c r="BM399">
        <v>0.97647099999999998</v>
      </c>
      <c r="BN399">
        <v>0.98995</v>
      </c>
      <c r="BO399">
        <v>0.98019800000000001</v>
      </c>
      <c r="BP399">
        <v>0.9375</v>
      </c>
      <c r="BQ399">
        <v>1</v>
      </c>
      <c r="BR399">
        <v>4.0665E-2</v>
      </c>
      <c r="BS399">
        <v>50</v>
      </c>
      <c r="BT399">
        <v>50</v>
      </c>
      <c r="BU399">
        <v>7.4074000000000001E-2</v>
      </c>
      <c r="BV399">
        <v>45.185184999999997</v>
      </c>
      <c r="BW399">
        <v>50</v>
      </c>
      <c r="BX399" t="s">
        <v>125</v>
      </c>
      <c r="BY399" t="s">
        <v>125</v>
      </c>
      <c r="BZ399" t="s">
        <v>125</v>
      </c>
      <c r="CA399" t="s">
        <v>125</v>
      </c>
      <c r="CB399" t="s">
        <v>125</v>
      </c>
      <c r="CC399" t="s">
        <v>125</v>
      </c>
      <c r="CD399" t="s">
        <v>125</v>
      </c>
      <c r="CE399" t="s">
        <v>125</v>
      </c>
      <c r="CF399" t="s">
        <v>125</v>
      </c>
      <c r="CG399" t="s">
        <v>125</v>
      </c>
      <c r="CH399" t="s">
        <v>125</v>
      </c>
      <c r="CI399" t="s">
        <v>125</v>
      </c>
      <c r="CJ399" t="s">
        <v>125</v>
      </c>
      <c r="CK399" t="s">
        <v>125</v>
      </c>
      <c r="CL399" t="s">
        <v>125</v>
      </c>
      <c r="CM399" t="s">
        <v>125</v>
      </c>
      <c r="CN399" t="s">
        <v>125</v>
      </c>
      <c r="CO399" t="s">
        <v>125</v>
      </c>
      <c r="CP399" t="s">
        <v>125</v>
      </c>
      <c r="CQ399">
        <v>0.75531899999999996</v>
      </c>
      <c r="CR399">
        <v>1</v>
      </c>
      <c r="CS399">
        <v>50</v>
      </c>
      <c r="CT399">
        <v>50</v>
      </c>
      <c r="CU399" t="s">
        <v>125</v>
      </c>
      <c r="CV399" t="s">
        <v>125</v>
      </c>
      <c r="CW399" t="s">
        <v>125</v>
      </c>
      <c r="CX399" t="s">
        <v>125</v>
      </c>
      <c r="CY399" t="s">
        <v>125</v>
      </c>
      <c r="CZ399" t="s">
        <v>125</v>
      </c>
      <c r="DA399">
        <v>15.314097</v>
      </c>
      <c r="DB399">
        <v>17.400950000000002</v>
      </c>
      <c r="DC399">
        <v>16.332519999999999</v>
      </c>
      <c r="DD399" t="s">
        <v>125</v>
      </c>
      <c r="DE399">
        <v>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Q399" t="s">
        <v>126</v>
      </c>
    </row>
    <row r="400" spans="1:121" x14ac:dyDescent="0.15">
      <c r="A400">
        <v>2018</v>
      </c>
      <c r="B400" t="s">
        <v>148</v>
      </c>
      <c r="C400" t="str">
        <f>"0470011"</f>
        <v>0470011</v>
      </c>
      <c r="D400" t="s">
        <v>550</v>
      </c>
      <c r="E400" t="str">
        <f>"0470111"</f>
        <v>0470111</v>
      </c>
      <c r="F400" t="s">
        <v>328</v>
      </c>
      <c r="G400" t="s">
        <v>329</v>
      </c>
      <c r="H400">
        <v>4</v>
      </c>
      <c r="I400" t="s">
        <v>336</v>
      </c>
      <c r="J400" t="s">
        <v>331</v>
      </c>
      <c r="K400">
        <v>520.30582500000003</v>
      </c>
      <c r="L400">
        <v>750</v>
      </c>
      <c r="M400">
        <v>69.374110000000002</v>
      </c>
      <c r="N400">
        <v>3</v>
      </c>
      <c r="O400">
        <v>1</v>
      </c>
      <c r="P400">
        <v>62.269069000000002</v>
      </c>
      <c r="Q400">
        <v>41.512712999999998</v>
      </c>
      <c r="R400">
        <v>50</v>
      </c>
      <c r="S400">
        <v>57.062341000000004</v>
      </c>
      <c r="T400">
        <v>73.629204000000001</v>
      </c>
      <c r="U400">
        <v>38.041559999999997</v>
      </c>
      <c r="V400">
        <v>50</v>
      </c>
      <c r="W400">
        <v>58.115031999999999</v>
      </c>
      <c r="X400">
        <v>38.743355000000001</v>
      </c>
      <c r="Y400">
        <v>50</v>
      </c>
      <c r="Z400">
        <v>68.193731999999997</v>
      </c>
      <c r="AA400">
        <v>53.495626999999999</v>
      </c>
      <c r="AB400">
        <v>35.663752000000002</v>
      </c>
      <c r="AC400">
        <v>50</v>
      </c>
      <c r="AD400" t="s">
        <v>125</v>
      </c>
      <c r="AE400" t="s">
        <v>125</v>
      </c>
      <c r="AF400" t="s">
        <v>125</v>
      </c>
      <c r="AG400" t="s">
        <v>125</v>
      </c>
      <c r="AH400" t="s">
        <v>125</v>
      </c>
      <c r="AI400" t="s">
        <v>125</v>
      </c>
      <c r="AJ400" t="s">
        <v>125</v>
      </c>
      <c r="AK400">
        <v>16.559999999999999</v>
      </c>
      <c r="AL400">
        <v>14.69</v>
      </c>
      <c r="AM400" t="s">
        <v>125</v>
      </c>
      <c r="AN400">
        <v>0.61072499999999996</v>
      </c>
      <c r="AO400">
        <v>61.072476000000002</v>
      </c>
      <c r="AP400">
        <v>100</v>
      </c>
      <c r="AQ400">
        <v>0.71773299999999995</v>
      </c>
      <c r="AR400">
        <v>71.773291</v>
      </c>
      <c r="AS400">
        <v>100</v>
      </c>
      <c r="AT400">
        <v>0.61478600000000005</v>
      </c>
      <c r="AU400">
        <v>0.60313099999999997</v>
      </c>
      <c r="AV400">
        <v>61.478628</v>
      </c>
      <c r="AW400">
        <v>100</v>
      </c>
      <c r="AX400">
        <v>0.65888999999999998</v>
      </c>
      <c r="AY400">
        <v>0.82774300000000001</v>
      </c>
      <c r="AZ400">
        <v>65.889005999999995</v>
      </c>
      <c r="BA400">
        <v>100</v>
      </c>
      <c r="BB400" t="s">
        <v>125</v>
      </c>
      <c r="BC400" t="s">
        <v>125</v>
      </c>
      <c r="BD400" t="s">
        <v>125</v>
      </c>
      <c r="BE400" t="s">
        <v>125</v>
      </c>
      <c r="BF400" t="s">
        <v>125</v>
      </c>
      <c r="BG400" t="s">
        <v>125</v>
      </c>
      <c r="BH400">
        <v>0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 t="s">
        <v>125</v>
      </c>
      <c r="BP400" t="s">
        <v>125</v>
      </c>
      <c r="BQ400" t="s">
        <v>125</v>
      </c>
      <c r="BR400">
        <v>9.3136999999999998E-2</v>
      </c>
      <c r="BS400">
        <v>41.372548999999999</v>
      </c>
      <c r="BT400">
        <v>50</v>
      </c>
      <c r="BU400">
        <v>0.12546099999999999</v>
      </c>
      <c r="BV400">
        <v>34.907749000000003</v>
      </c>
      <c r="BW400">
        <v>50</v>
      </c>
      <c r="BX400" t="s">
        <v>125</v>
      </c>
      <c r="BY400" t="s">
        <v>125</v>
      </c>
      <c r="BZ400" t="s">
        <v>125</v>
      </c>
      <c r="CA400" t="s">
        <v>125</v>
      </c>
      <c r="CB400" t="s">
        <v>125</v>
      </c>
      <c r="CC400" t="s">
        <v>125</v>
      </c>
      <c r="CD400" t="s">
        <v>125</v>
      </c>
      <c r="CE400" t="s">
        <v>125</v>
      </c>
      <c r="CF400" t="s">
        <v>125</v>
      </c>
      <c r="CG400" t="s">
        <v>125</v>
      </c>
      <c r="CH400" t="s">
        <v>125</v>
      </c>
      <c r="CI400" t="s">
        <v>125</v>
      </c>
      <c r="CJ400" t="s">
        <v>125</v>
      </c>
      <c r="CK400" t="s">
        <v>125</v>
      </c>
      <c r="CL400" t="s">
        <v>125</v>
      </c>
      <c r="CM400" t="s">
        <v>125</v>
      </c>
      <c r="CN400" t="s">
        <v>125</v>
      </c>
      <c r="CO400" t="s">
        <v>125</v>
      </c>
      <c r="CP400" t="s">
        <v>125</v>
      </c>
      <c r="CQ400">
        <v>0.44776100000000002</v>
      </c>
      <c r="CR400">
        <v>0.97101400000000004</v>
      </c>
      <c r="CS400">
        <v>29.850746000000001</v>
      </c>
      <c r="CT400">
        <v>50</v>
      </c>
      <c r="CU400" t="s">
        <v>125</v>
      </c>
      <c r="CV400" t="s">
        <v>125</v>
      </c>
      <c r="CW400" t="s">
        <v>125</v>
      </c>
      <c r="CX400" t="s">
        <v>125</v>
      </c>
      <c r="CY400" t="s">
        <v>125</v>
      </c>
      <c r="CZ400" t="s">
        <v>125</v>
      </c>
      <c r="DA400">
        <v>15.314097</v>
      </c>
      <c r="DB400">
        <v>17.400950000000002</v>
      </c>
      <c r="DC400">
        <v>16.332519999999999</v>
      </c>
      <c r="DD400" t="s">
        <v>125</v>
      </c>
      <c r="DE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Q400" t="s">
        <v>126</v>
      </c>
    </row>
    <row r="401" spans="1:121" x14ac:dyDescent="0.15">
      <c r="A401">
        <v>2018</v>
      </c>
      <c r="B401" t="s">
        <v>148</v>
      </c>
      <c r="C401" t="str">
        <f>"0470011"</f>
        <v>0470011</v>
      </c>
      <c r="D401" t="s">
        <v>551</v>
      </c>
      <c r="E401" t="str">
        <f>"0476111"</f>
        <v>0476111</v>
      </c>
      <c r="F401" t="s">
        <v>328</v>
      </c>
      <c r="G401">
        <v>9</v>
      </c>
      <c r="H401">
        <v>12</v>
      </c>
      <c r="I401" t="s">
        <v>330</v>
      </c>
      <c r="J401" t="s">
        <v>331</v>
      </c>
      <c r="K401">
        <v>996.11570500000005</v>
      </c>
      <c r="L401">
        <v>1450</v>
      </c>
      <c r="M401">
        <v>68.697635000000005</v>
      </c>
      <c r="N401">
        <v>3</v>
      </c>
      <c r="O401">
        <v>0</v>
      </c>
      <c r="P401">
        <v>53.268518999999998</v>
      </c>
      <c r="Q401">
        <v>106.537037</v>
      </c>
      <c r="R401">
        <v>150</v>
      </c>
      <c r="S401">
        <v>47.995725999999998</v>
      </c>
      <c r="T401">
        <v>56.695833</v>
      </c>
      <c r="U401">
        <v>95.991453000000007</v>
      </c>
      <c r="V401">
        <v>150</v>
      </c>
      <c r="W401">
        <v>50.675925999999997</v>
      </c>
      <c r="X401">
        <v>101.35185199999999</v>
      </c>
      <c r="Y401">
        <v>150</v>
      </c>
      <c r="Z401">
        <v>55.183332999999998</v>
      </c>
      <c r="AA401">
        <v>43.741453</v>
      </c>
      <c r="AB401">
        <v>87.482906</v>
      </c>
      <c r="AC401">
        <v>150</v>
      </c>
      <c r="AD401">
        <v>55.337842000000002</v>
      </c>
      <c r="AE401">
        <v>73.783788999999999</v>
      </c>
      <c r="AF401">
        <v>100</v>
      </c>
      <c r="AG401">
        <v>49.465905999999997</v>
      </c>
      <c r="AH401">
        <v>59.252465000000001</v>
      </c>
      <c r="AI401">
        <v>65.954541000000006</v>
      </c>
      <c r="AJ401">
        <v>100</v>
      </c>
      <c r="AK401">
        <v>8.6999999999999993</v>
      </c>
      <c r="AL401">
        <v>11.44</v>
      </c>
      <c r="AM401">
        <v>9.7799999999999994</v>
      </c>
      <c r="AN401" t="s">
        <v>125</v>
      </c>
      <c r="AO401" t="s">
        <v>125</v>
      </c>
      <c r="AP401" t="s">
        <v>125</v>
      </c>
      <c r="AQ401" t="s">
        <v>125</v>
      </c>
      <c r="AR401" t="s">
        <v>125</v>
      </c>
      <c r="AS401" t="s">
        <v>125</v>
      </c>
      <c r="AT401" t="s">
        <v>125</v>
      </c>
      <c r="AU401" t="s">
        <v>125</v>
      </c>
      <c r="AV401" t="s">
        <v>125</v>
      </c>
      <c r="AW401" t="s">
        <v>125</v>
      </c>
      <c r="AX401" t="s">
        <v>125</v>
      </c>
      <c r="AY401" t="s">
        <v>125</v>
      </c>
      <c r="AZ401" t="s">
        <v>125</v>
      </c>
      <c r="BA401" t="s">
        <v>125</v>
      </c>
      <c r="BB401" t="s">
        <v>125</v>
      </c>
      <c r="BC401" t="s">
        <v>125</v>
      </c>
      <c r="BD401" t="s">
        <v>125</v>
      </c>
      <c r="BE401" t="s">
        <v>125</v>
      </c>
      <c r="BF401" t="s">
        <v>125</v>
      </c>
      <c r="BG401" t="s">
        <v>125</v>
      </c>
      <c r="BH401">
        <v>1</v>
      </c>
      <c r="BI401">
        <v>0.95714299999999997</v>
      </c>
      <c r="BJ401">
        <v>0.93103400000000003</v>
      </c>
      <c r="BK401">
        <v>0.97560999999999998</v>
      </c>
      <c r="BL401">
        <v>0.95714299999999997</v>
      </c>
      <c r="BM401">
        <v>0.93103400000000003</v>
      </c>
      <c r="BN401">
        <v>0.97560999999999998</v>
      </c>
      <c r="BO401">
        <v>0.94285699999999995</v>
      </c>
      <c r="BP401">
        <v>0.93103400000000003</v>
      </c>
      <c r="BQ401">
        <v>0.95121999999999995</v>
      </c>
      <c r="BR401">
        <v>0.206897</v>
      </c>
      <c r="BS401">
        <v>18.62069</v>
      </c>
      <c r="BT401">
        <v>50</v>
      </c>
      <c r="BU401">
        <v>0.27631600000000001</v>
      </c>
      <c r="BV401">
        <v>4.7368420000000002</v>
      </c>
      <c r="BW401">
        <v>50</v>
      </c>
      <c r="BX401">
        <v>0.84397200000000006</v>
      </c>
      <c r="BY401">
        <v>50</v>
      </c>
      <c r="BZ401">
        <v>50</v>
      </c>
      <c r="CA401">
        <v>0.326241</v>
      </c>
      <c r="CB401">
        <v>21.749409</v>
      </c>
      <c r="CC401">
        <v>50</v>
      </c>
      <c r="CD401">
        <v>0.86956500000000003</v>
      </c>
      <c r="CE401">
        <v>46.253469000000003</v>
      </c>
      <c r="CF401">
        <v>50</v>
      </c>
      <c r="CG401">
        <v>0.95505600000000002</v>
      </c>
      <c r="CH401">
        <v>100</v>
      </c>
      <c r="CI401">
        <v>100</v>
      </c>
      <c r="CJ401">
        <v>0</v>
      </c>
      <c r="CK401">
        <v>0.885714</v>
      </c>
      <c r="CL401">
        <v>94.224924000000001</v>
      </c>
      <c r="CM401">
        <v>100</v>
      </c>
      <c r="CN401">
        <v>0.67058799999999996</v>
      </c>
      <c r="CO401">
        <v>89.411765000000003</v>
      </c>
      <c r="CP401">
        <v>100</v>
      </c>
      <c r="CQ401">
        <v>0.40740700000000002</v>
      </c>
      <c r="CR401">
        <v>0.85714299999999999</v>
      </c>
      <c r="CS401">
        <v>13.580247</v>
      </c>
      <c r="CT401">
        <v>50</v>
      </c>
      <c r="CU401">
        <v>0.317241</v>
      </c>
      <c r="CV401">
        <v>26.436782000000001</v>
      </c>
      <c r="CW401">
        <v>50</v>
      </c>
      <c r="CX401">
        <v>0.885714</v>
      </c>
      <c r="CY401">
        <v>0.90243899999999999</v>
      </c>
      <c r="CZ401">
        <v>1.6725E-2</v>
      </c>
      <c r="DA401">
        <v>15.314097</v>
      </c>
      <c r="DB401">
        <v>17.400950000000002</v>
      </c>
      <c r="DC401">
        <v>16.332519999999999</v>
      </c>
      <c r="DD401">
        <v>7.9891730000000001</v>
      </c>
      <c r="DE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Q401" t="s">
        <v>126</v>
      </c>
    </row>
    <row r="402" spans="1:121" x14ac:dyDescent="0.15">
      <c r="A402">
        <v>2018</v>
      </c>
      <c r="B402" t="s">
        <v>148</v>
      </c>
      <c r="C402" t="str">
        <f>"0470011"</f>
        <v>0470011</v>
      </c>
      <c r="D402" t="s">
        <v>552</v>
      </c>
      <c r="E402" t="str">
        <f>"0475411"</f>
        <v>0475411</v>
      </c>
      <c r="F402" t="s">
        <v>328</v>
      </c>
      <c r="G402">
        <v>5</v>
      </c>
      <c r="H402">
        <v>8</v>
      </c>
      <c r="I402" t="s">
        <v>330</v>
      </c>
      <c r="J402" t="s">
        <v>331</v>
      </c>
      <c r="K402">
        <v>532.48367199999996</v>
      </c>
      <c r="L402">
        <v>900</v>
      </c>
      <c r="M402">
        <v>59.164852000000003</v>
      </c>
      <c r="N402">
        <v>3</v>
      </c>
      <c r="O402">
        <v>0</v>
      </c>
      <c r="P402">
        <v>61.927968999999997</v>
      </c>
      <c r="Q402">
        <v>41.285313000000002</v>
      </c>
      <c r="R402">
        <v>50</v>
      </c>
      <c r="S402">
        <v>56.565736999999999</v>
      </c>
      <c r="T402">
        <v>70.896658000000002</v>
      </c>
      <c r="U402">
        <v>37.710492000000002</v>
      </c>
      <c r="V402">
        <v>50</v>
      </c>
      <c r="W402">
        <v>51.408445</v>
      </c>
      <c r="X402">
        <v>34.272297000000002</v>
      </c>
      <c r="Y402">
        <v>50</v>
      </c>
      <c r="Z402">
        <v>59.442301</v>
      </c>
      <c r="AA402">
        <v>46.510800000000003</v>
      </c>
      <c r="AB402">
        <v>31.007200000000001</v>
      </c>
      <c r="AC402">
        <v>50</v>
      </c>
      <c r="AD402">
        <v>59.297001999999999</v>
      </c>
      <c r="AE402">
        <v>39.531334999999999</v>
      </c>
      <c r="AF402">
        <v>50</v>
      </c>
      <c r="AG402">
        <v>53.677883000000001</v>
      </c>
      <c r="AH402">
        <v>67.863855999999998</v>
      </c>
      <c r="AI402">
        <v>35.785255999999997</v>
      </c>
      <c r="AJ402">
        <v>50</v>
      </c>
      <c r="AK402">
        <v>14.33</v>
      </c>
      <c r="AL402">
        <v>12.93</v>
      </c>
      <c r="AM402">
        <v>14.18</v>
      </c>
      <c r="AN402">
        <v>0.52885199999999999</v>
      </c>
      <c r="AO402">
        <v>52.885221000000001</v>
      </c>
      <c r="AP402">
        <v>100</v>
      </c>
      <c r="AQ402">
        <v>0.402804</v>
      </c>
      <c r="AR402">
        <v>40.280423999999996</v>
      </c>
      <c r="AS402">
        <v>100</v>
      </c>
      <c r="AT402">
        <v>0.50569200000000003</v>
      </c>
      <c r="AU402">
        <v>0.56481199999999998</v>
      </c>
      <c r="AV402">
        <v>50.569183000000002</v>
      </c>
      <c r="AW402">
        <v>100</v>
      </c>
      <c r="AX402">
        <v>0.37761</v>
      </c>
      <c r="AY402">
        <v>0.44136199999999998</v>
      </c>
      <c r="AZ402">
        <v>37.761043999999998</v>
      </c>
      <c r="BA402">
        <v>100</v>
      </c>
      <c r="BB402" t="s">
        <v>125</v>
      </c>
      <c r="BC402" t="s">
        <v>125</v>
      </c>
      <c r="BD402" t="s">
        <v>125</v>
      </c>
      <c r="BE402" t="s">
        <v>125</v>
      </c>
      <c r="BF402" t="s">
        <v>125</v>
      </c>
      <c r="BG402" t="s">
        <v>125</v>
      </c>
      <c r="BH402">
        <v>0</v>
      </c>
      <c r="BI402">
        <v>0.98750000000000004</v>
      </c>
      <c r="BJ402">
        <v>0.99014800000000003</v>
      </c>
      <c r="BK402">
        <v>0.98290599999999995</v>
      </c>
      <c r="BL402">
        <v>0.984375</v>
      </c>
      <c r="BM402">
        <v>0.98029599999999995</v>
      </c>
      <c r="BN402">
        <v>0.99145300000000003</v>
      </c>
      <c r="BO402">
        <v>0.96951200000000004</v>
      </c>
      <c r="BP402">
        <v>0.96039600000000003</v>
      </c>
      <c r="BQ402">
        <v>0.98412699999999997</v>
      </c>
      <c r="BR402">
        <v>0.139241</v>
      </c>
      <c r="BS402">
        <v>32.151899</v>
      </c>
      <c r="BT402">
        <v>50</v>
      </c>
      <c r="BU402">
        <v>0.19</v>
      </c>
      <c r="BV402">
        <v>22</v>
      </c>
      <c r="BW402">
        <v>50</v>
      </c>
      <c r="BX402" t="s">
        <v>125</v>
      </c>
      <c r="BY402" t="s">
        <v>125</v>
      </c>
      <c r="BZ402" t="s">
        <v>125</v>
      </c>
      <c r="CA402" t="s">
        <v>125</v>
      </c>
      <c r="CB402" t="s">
        <v>125</v>
      </c>
      <c r="CC402" t="s">
        <v>125</v>
      </c>
      <c r="CD402">
        <v>0.92753600000000003</v>
      </c>
      <c r="CE402">
        <v>49.337034000000003</v>
      </c>
      <c r="CF402">
        <v>50</v>
      </c>
      <c r="CG402" t="s">
        <v>125</v>
      </c>
      <c r="CH402" t="s">
        <v>125</v>
      </c>
      <c r="CI402" t="s">
        <v>125</v>
      </c>
      <c r="CJ402" t="s">
        <v>125</v>
      </c>
      <c r="CK402" t="s">
        <v>125</v>
      </c>
      <c r="CL402" t="s">
        <v>125</v>
      </c>
      <c r="CM402" t="s">
        <v>125</v>
      </c>
      <c r="CN402" t="s">
        <v>125</v>
      </c>
      <c r="CO402" t="s">
        <v>125</v>
      </c>
      <c r="CP402" t="s">
        <v>125</v>
      </c>
      <c r="CQ402">
        <v>0.418605</v>
      </c>
      <c r="CR402">
        <v>0.988506</v>
      </c>
      <c r="CS402">
        <v>27.906977000000001</v>
      </c>
      <c r="CT402">
        <v>50</v>
      </c>
      <c r="CU402" t="s">
        <v>125</v>
      </c>
      <c r="CV402" t="s">
        <v>125</v>
      </c>
      <c r="CW402" t="s">
        <v>125</v>
      </c>
      <c r="CX402" t="s">
        <v>125</v>
      </c>
      <c r="CY402" t="s">
        <v>125</v>
      </c>
      <c r="CZ402" t="s">
        <v>125</v>
      </c>
      <c r="DA402">
        <v>15.314097</v>
      </c>
      <c r="DB402">
        <v>17.400950000000002</v>
      </c>
      <c r="DC402">
        <v>16.332519999999999</v>
      </c>
      <c r="DD402" t="s">
        <v>125</v>
      </c>
      <c r="DE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Q402" t="s">
        <v>126</v>
      </c>
    </row>
    <row r="403" spans="1:121" x14ac:dyDescent="0.15">
      <c r="A403">
        <v>2018</v>
      </c>
      <c r="B403" t="s">
        <v>130</v>
      </c>
      <c r="C403" t="str">
        <f>"0480011"</f>
        <v>0480011</v>
      </c>
      <c r="D403" t="s">
        <v>516</v>
      </c>
      <c r="E403" t="str">
        <f>"0480111"</f>
        <v>0480111</v>
      </c>
      <c r="F403" t="s">
        <v>328</v>
      </c>
      <c r="G403" t="s">
        <v>339</v>
      </c>
      <c r="H403">
        <v>6</v>
      </c>
      <c r="I403" t="s">
        <v>330</v>
      </c>
      <c r="J403" t="s">
        <v>331</v>
      </c>
      <c r="K403">
        <v>619.34075299999995</v>
      </c>
      <c r="L403">
        <v>800</v>
      </c>
      <c r="M403">
        <v>77.417593999999994</v>
      </c>
      <c r="N403">
        <v>2</v>
      </c>
      <c r="O403">
        <v>0</v>
      </c>
      <c r="P403">
        <v>76.494844999999998</v>
      </c>
      <c r="Q403">
        <v>50</v>
      </c>
      <c r="R403">
        <v>50</v>
      </c>
      <c r="S403">
        <v>63.437401999999999</v>
      </c>
      <c r="T403">
        <v>75</v>
      </c>
      <c r="U403">
        <v>42.291601999999997</v>
      </c>
      <c r="V403">
        <v>50</v>
      </c>
      <c r="W403">
        <v>73.392179999999996</v>
      </c>
      <c r="X403">
        <v>48.92812</v>
      </c>
      <c r="Y403">
        <v>50</v>
      </c>
      <c r="Z403">
        <v>75</v>
      </c>
      <c r="AA403">
        <v>60.867762999999997</v>
      </c>
      <c r="AB403">
        <v>40.578508999999997</v>
      </c>
      <c r="AC403">
        <v>50</v>
      </c>
      <c r="AD403">
        <v>72.746544</v>
      </c>
      <c r="AE403">
        <v>48.497695999999998</v>
      </c>
      <c r="AF403">
        <v>50</v>
      </c>
      <c r="AG403" t="s">
        <v>125</v>
      </c>
      <c r="AH403">
        <v>74.756504000000007</v>
      </c>
      <c r="AI403" t="s">
        <v>125</v>
      </c>
      <c r="AJ403" t="s">
        <v>125</v>
      </c>
      <c r="AK403">
        <v>11.56</v>
      </c>
      <c r="AL403">
        <v>14.13</v>
      </c>
      <c r="AM403" t="s">
        <v>125</v>
      </c>
      <c r="AN403">
        <v>0.68524300000000005</v>
      </c>
      <c r="AO403">
        <v>68.524319000000006</v>
      </c>
      <c r="AP403">
        <v>100</v>
      </c>
      <c r="AQ403">
        <v>0.76564100000000002</v>
      </c>
      <c r="AR403">
        <v>76.564119000000005</v>
      </c>
      <c r="AS403">
        <v>100</v>
      </c>
      <c r="AT403">
        <v>0.52566299999999999</v>
      </c>
      <c r="AU403">
        <v>0.74109599999999998</v>
      </c>
      <c r="AV403">
        <v>52.566270000000003</v>
      </c>
      <c r="AW403">
        <v>100</v>
      </c>
      <c r="AX403">
        <v>0.73836100000000005</v>
      </c>
      <c r="AY403">
        <v>0.77501900000000001</v>
      </c>
      <c r="AZ403">
        <v>73.836087000000006</v>
      </c>
      <c r="BA403">
        <v>100</v>
      </c>
      <c r="BB403" t="s">
        <v>125</v>
      </c>
      <c r="BC403" t="s">
        <v>125</v>
      </c>
      <c r="BD403" t="s">
        <v>125</v>
      </c>
      <c r="BE403" t="s">
        <v>125</v>
      </c>
      <c r="BF403" t="s">
        <v>125</v>
      </c>
      <c r="BG403" t="s">
        <v>125</v>
      </c>
      <c r="BH403">
        <v>0</v>
      </c>
      <c r="BI403">
        <v>0.99264699999999995</v>
      </c>
      <c r="BJ403">
        <v>0.98734200000000005</v>
      </c>
      <c r="BK403">
        <v>0.99481900000000001</v>
      </c>
      <c r="BL403">
        <v>0.99264699999999995</v>
      </c>
      <c r="BM403">
        <v>0.98734200000000005</v>
      </c>
      <c r="BN403">
        <v>0.99481900000000001</v>
      </c>
      <c r="BO403">
        <v>0.98734200000000005</v>
      </c>
      <c r="BP403" t="s">
        <v>125</v>
      </c>
      <c r="BQ403">
        <v>1</v>
      </c>
      <c r="BR403">
        <v>5.4737000000000001E-2</v>
      </c>
      <c r="BS403">
        <v>49.052632000000003</v>
      </c>
      <c r="BT403">
        <v>50</v>
      </c>
      <c r="BU403">
        <v>9.5588000000000006E-2</v>
      </c>
      <c r="BV403">
        <v>40.882353000000002</v>
      </c>
      <c r="BW403">
        <v>50</v>
      </c>
      <c r="BX403" t="s">
        <v>125</v>
      </c>
      <c r="BY403" t="s">
        <v>125</v>
      </c>
      <c r="BZ403" t="s">
        <v>125</v>
      </c>
      <c r="CA403" t="s">
        <v>125</v>
      </c>
      <c r="CB403" t="s">
        <v>125</v>
      </c>
      <c r="CC403" t="s">
        <v>125</v>
      </c>
      <c r="CD403" t="s">
        <v>125</v>
      </c>
      <c r="CE403" t="s">
        <v>125</v>
      </c>
      <c r="CF403" t="s">
        <v>125</v>
      </c>
      <c r="CG403" t="s">
        <v>125</v>
      </c>
      <c r="CH403" t="s">
        <v>125</v>
      </c>
      <c r="CI403" t="s">
        <v>125</v>
      </c>
      <c r="CJ403" t="s">
        <v>125</v>
      </c>
      <c r="CK403" t="s">
        <v>125</v>
      </c>
      <c r="CL403" t="s">
        <v>125</v>
      </c>
      <c r="CM403" t="s">
        <v>125</v>
      </c>
      <c r="CN403" t="s">
        <v>125</v>
      </c>
      <c r="CO403" t="s">
        <v>125</v>
      </c>
      <c r="CP403" t="s">
        <v>125</v>
      </c>
      <c r="CQ403">
        <v>0.41428599999999999</v>
      </c>
      <c r="CR403">
        <v>0.98591499999999999</v>
      </c>
      <c r="CS403">
        <v>27.619047999999999</v>
      </c>
      <c r="CT403">
        <v>50</v>
      </c>
      <c r="CU403" t="s">
        <v>125</v>
      </c>
      <c r="CV403" t="s">
        <v>125</v>
      </c>
      <c r="CW403" t="s">
        <v>125</v>
      </c>
      <c r="CX403" t="s">
        <v>125</v>
      </c>
      <c r="CY403" t="s">
        <v>125</v>
      </c>
      <c r="CZ403" t="s">
        <v>125</v>
      </c>
      <c r="DA403">
        <v>15.314097</v>
      </c>
      <c r="DB403">
        <v>17.400950000000002</v>
      </c>
      <c r="DC403">
        <v>16.332519999999999</v>
      </c>
      <c r="DD403" t="s">
        <v>125</v>
      </c>
      <c r="DE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Q403" t="s">
        <v>126</v>
      </c>
    </row>
    <row r="404" spans="1:121" x14ac:dyDescent="0.15">
      <c r="A404">
        <v>2018</v>
      </c>
      <c r="B404" t="s">
        <v>130</v>
      </c>
      <c r="C404" t="str">
        <f>"0480011"</f>
        <v>0480011</v>
      </c>
      <c r="D404" t="s">
        <v>553</v>
      </c>
      <c r="E404" t="str">
        <f>"0480211"</f>
        <v>0480211</v>
      </c>
      <c r="F404" t="s">
        <v>328</v>
      </c>
      <c r="G404" t="s">
        <v>329</v>
      </c>
      <c r="H404">
        <v>6</v>
      </c>
      <c r="J404" t="s">
        <v>331</v>
      </c>
      <c r="K404">
        <v>588.95639000000006</v>
      </c>
      <c r="L404">
        <v>800</v>
      </c>
      <c r="M404">
        <v>73.619549000000006</v>
      </c>
      <c r="N404">
        <v>3</v>
      </c>
      <c r="O404">
        <v>1</v>
      </c>
      <c r="P404">
        <v>73.588286999999994</v>
      </c>
      <c r="Q404">
        <v>49.058858000000001</v>
      </c>
      <c r="R404">
        <v>50</v>
      </c>
      <c r="S404">
        <v>62.001106</v>
      </c>
      <c r="T404">
        <v>75</v>
      </c>
      <c r="U404">
        <v>41.334071000000002</v>
      </c>
      <c r="V404">
        <v>50</v>
      </c>
      <c r="W404">
        <v>70.627880000000005</v>
      </c>
      <c r="X404">
        <v>47.085253999999999</v>
      </c>
      <c r="Y404">
        <v>50</v>
      </c>
      <c r="Z404">
        <v>75</v>
      </c>
      <c r="AA404">
        <v>57.062939</v>
      </c>
      <c r="AB404">
        <v>38.041958999999999</v>
      </c>
      <c r="AC404">
        <v>50</v>
      </c>
      <c r="AD404">
        <v>76.034839000000005</v>
      </c>
      <c r="AE404">
        <v>50</v>
      </c>
      <c r="AF404">
        <v>50</v>
      </c>
      <c r="AG404" t="s">
        <v>125</v>
      </c>
      <c r="AH404">
        <v>75</v>
      </c>
      <c r="AI404" t="s">
        <v>125</v>
      </c>
      <c r="AJ404" t="s">
        <v>125</v>
      </c>
      <c r="AK404">
        <v>12.99</v>
      </c>
      <c r="AL404">
        <v>17.93</v>
      </c>
      <c r="AM404" t="s">
        <v>125</v>
      </c>
      <c r="AN404">
        <v>0.69987299999999997</v>
      </c>
      <c r="AO404">
        <v>69.987309999999994</v>
      </c>
      <c r="AP404">
        <v>100</v>
      </c>
      <c r="AQ404">
        <v>0.69877900000000004</v>
      </c>
      <c r="AR404">
        <v>69.877894999999995</v>
      </c>
      <c r="AS404">
        <v>100</v>
      </c>
      <c r="AT404">
        <v>0.57706400000000002</v>
      </c>
      <c r="AU404">
        <v>0.75092899999999996</v>
      </c>
      <c r="AV404">
        <v>57.706400000000002</v>
      </c>
      <c r="AW404">
        <v>100</v>
      </c>
      <c r="AX404">
        <v>0.61869099999999999</v>
      </c>
      <c r="AY404">
        <v>0.73099800000000004</v>
      </c>
      <c r="AZ404">
        <v>61.869117000000003</v>
      </c>
      <c r="BA404">
        <v>100</v>
      </c>
      <c r="BB404" t="s">
        <v>125</v>
      </c>
      <c r="BC404" t="s">
        <v>125</v>
      </c>
      <c r="BD404" t="s">
        <v>125</v>
      </c>
      <c r="BE404" t="s">
        <v>125</v>
      </c>
      <c r="BF404" t="s">
        <v>125</v>
      </c>
      <c r="BG404" t="s">
        <v>125</v>
      </c>
      <c r="BH404">
        <v>0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 t="s">
        <v>125</v>
      </c>
      <c r="BQ404">
        <v>1</v>
      </c>
      <c r="BR404">
        <v>6.8851999999999997E-2</v>
      </c>
      <c r="BS404">
        <v>46.229508000000003</v>
      </c>
      <c r="BT404">
        <v>50</v>
      </c>
      <c r="BU404">
        <v>0.14285700000000001</v>
      </c>
      <c r="BV404">
        <v>31.428571000000002</v>
      </c>
      <c r="BW404">
        <v>50</v>
      </c>
      <c r="BX404" t="s">
        <v>125</v>
      </c>
      <c r="BY404" t="s">
        <v>125</v>
      </c>
      <c r="BZ404" t="s">
        <v>125</v>
      </c>
      <c r="CA404" t="s">
        <v>125</v>
      </c>
      <c r="CB404" t="s">
        <v>125</v>
      </c>
      <c r="CC404" t="s">
        <v>125</v>
      </c>
      <c r="CD404" t="s">
        <v>125</v>
      </c>
      <c r="CE404" t="s">
        <v>125</v>
      </c>
      <c r="CF404" t="s">
        <v>125</v>
      </c>
      <c r="CG404" t="s">
        <v>125</v>
      </c>
      <c r="CH404" t="s">
        <v>125</v>
      </c>
      <c r="CI404" t="s">
        <v>125</v>
      </c>
      <c r="CJ404" t="s">
        <v>125</v>
      </c>
      <c r="CK404" t="s">
        <v>125</v>
      </c>
      <c r="CL404" t="s">
        <v>125</v>
      </c>
      <c r="CM404" t="s">
        <v>125</v>
      </c>
      <c r="CN404" t="s">
        <v>125</v>
      </c>
      <c r="CO404" t="s">
        <v>125</v>
      </c>
      <c r="CP404" t="s">
        <v>125</v>
      </c>
      <c r="CQ404">
        <v>0.39506200000000002</v>
      </c>
      <c r="CR404">
        <v>0.97590399999999999</v>
      </c>
      <c r="CS404">
        <v>26.337448999999999</v>
      </c>
      <c r="CT404">
        <v>50</v>
      </c>
      <c r="CU404" t="s">
        <v>125</v>
      </c>
      <c r="CV404" t="s">
        <v>125</v>
      </c>
      <c r="CW404" t="s">
        <v>125</v>
      </c>
      <c r="CX404" t="s">
        <v>125</v>
      </c>
      <c r="CY404" t="s">
        <v>125</v>
      </c>
      <c r="CZ404" t="s">
        <v>125</v>
      </c>
      <c r="DA404">
        <v>15.314097</v>
      </c>
      <c r="DB404">
        <v>17.400950000000002</v>
      </c>
      <c r="DC404">
        <v>16.332519999999999</v>
      </c>
      <c r="DD404" t="s">
        <v>125</v>
      </c>
      <c r="DE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Q404" t="s">
        <v>126</v>
      </c>
    </row>
    <row r="405" spans="1:121" x14ac:dyDescent="0.15">
      <c r="A405">
        <v>2018</v>
      </c>
      <c r="B405" t="s">
        <v>130</v>
      </c>
      <c r="C405" t="str">
        <f>"0480011"</f>
        <v>0480011</v>
      </c>
      <c r="D405" t="s">
        <v>554</v>
      </c>
      <c r="E405" t="str">
        <f>"0486111"</f>
        <v>0486111</v>
      </c>
      <c r="F405" t="s">
        <v>328</v>
      </c>
      <c r="G405">
        <v>9</v>
      </c>
      <c r="H405">
        <v>12</v>
      </c>
      <c r="J405" t="s">
        <v>331</v>
      </c>
      <c r="K405">
        <v>1191.649422</v>
      </c>
      <c r="L405">
        <v>1450</v>
      </c>
      <c r="M405">
        <v>82.182719000000006</v>
      </c>
      <c r="N405">
        <v>3</v>
      </c>
      <c r="O405">
        <v>1</v>
      </c>
      <c r="P405">
        <v>61.154761999999998</v>
      </c>
      <c r="Q405">
        <v>122.309524</v>
      </c>
      <c r="R405">
        <v>150</v>
      </c>
      <c r="S405">
        <v>49.296295999999998</v>
      </c>
      <c r="T405">
        <v>65.049878000000007</v>
      </c>
      <c r="U405">
        <v>98.592592999999994</v>
      </c>
      <c r="V405">
        <v>150</v>
      </c>
      <c r="W405">
        <v>58.391331000000001</v>
      </c>
      <c r="X405">
        <v>116.782662</v>
      </c>
      <c r="Y405">
        <v>150</v>
      </c>
      <c r="Z405">
        <v>62.172749000000003</v>
      </c>
      <c r="AA405">
        <v>46.879012000000003</v>
      </c>
      <c r="AB405">
        <v>93.758025000000004</v>
      </c>
      <c r="AC405">
        <v>150</v>
      </c>
      <c r="AD405">
        <v>68.468058999999997</v>
      </c>
      <c r="AE405">
        <v>91.290745999999999</v>
      </c>
      <c r="AF405">
        <v>100</v>
      </c>
      <c r="AG405">
        <v>59.154563000000003</v>
      </c>
      <c r="AH405">
        <v>71.618212999999997</v>
      </c>
      <c r="AI405">
        <v>78.872749999999996</v>
      </c>
      <c r="AJ405">
        <v>100</v>
      </c>
      <c r="AK405">
        <v>15.75</v>
      </c>
      <c r="AL405">
        <v>15.29</v>
      </c>
      <c r="AM405">
        <v>12.46</v>
      </c>
      <c r="AN405" t="s">
        <v>125</v>
      </c>
      <c r="AO405" t="s">
        <v>125</v>
      </c>
      <c r="AP405" t="s">
        <v>125</v>
      </c>
      <c r="AQ405" t="s">
        <v>125</v>
      </c>
      <c r="AR405" t="s">
        <v>125</v>
      </c>
      <c r="AS405" t="s">
        <v>125</v>
      </c>
      <c r="AT405" t="s">
        <v>125</v>
      </c>
      <c r="AU405" t="s">
        <v>125</v>
      </c>
      <c r="AV405" t="s">
        <v>125</v>
      </c>
      <c r="AW405" t="s">
        <v>125</v>
      </c>
      <c r="AX405" t="s">
        <v>125</v>
      </c>
      <c r="AY405" t="s">
        <v>125</v>
      </c>
      <c r="AZ405" t="s">
        <v>125</v>
      </c>
      <c r="BA405" t="s">
        <v>125</v>
      </c>
      <c r="BB405" t="s">
        <v>125</v>
      </c>
      <c r="BC405" t="s">
        <v>125</v>
      </c>
      <c r="BD405" t="s">
        <v>125</v>
      </c>
      <c r="BE405" t="s">
        <v>125</v>
      </c>
      <c r="BF405" t="s">
        <v>125</v>
      </c>
      <c r="BG405" t="s">
        <v>125</v>
      </c>
      <c r="BH405">
        <v>1</v>
      </c>
      <c r="BI405">
        <v>0.97340400000000005</v>
      </c>
      <c r="BJ405">
        <v>0.92</v>
      </c>
      <c r="BK405">
        <v>0.99275400000000003</v>
      </c>
      <c r="BL405">
        <v>0.97340400000000005</v>
      </c>
      <c r="BM405">
        <v>0.92</v>
      </c>
      <c r="BN405">
        <v>0.99275400000000003</v>
      </c>
      <c r="BO405">
        <v>0.97340400000000005</v>
      </c>
      <c r="BP405">
        <v>0.94</v>
      </c>
      <c r="BQ405">
        <v>0.98550700000000002</v>
      </c>
      <c r="BR405">
        <v>7.6628000000000002E-2</v>
      </c>
      <c r="BS405">
        <v>44.674329999999998</v>
      </c>
      <c r="BT405">
        <v>50</v>
      </c>
      <c r="BU405">
        <v>0.16842099999999999</v>
      </c>
      <c r="BV405">
        <v>26.315788999999999</v>
      </c>
      <c r="BW405">
        <v>50</v>
      </c>
      <c r="BX405">
        <v>0.94723000000000002</v>
      </c>
      <c r="BY405">
        <v>50</v>
      </c>
      <c r="BZ405">
        <v>50</v>
      </c>
      <c r="CA405">
        <v>0.54089699999999996</v>
      </c>
      <c r="CB405">
        <v>36.059806999999999</v>
      </c>
      <c r="CC405">
        <v>50</v>
      </c>
      <c r="CD405">
        <v>0.95714299999999997</v>
      </c>
      <c r="CE405">
        <v>50</v>
      </c>
      <c r="CF405">
        <v>50</v>
      </c>
      <c r="CG405">
        <v>0.96648000000000001</v>
      </c>
      <c r="CH405">
        <v>100</v>
      </c>
      <c r="CI405">
        <v>100</v>
      </c>
      <c r="CJ405">
        <v>0</v>
      </c>
      <c r="CK405">
        <v>1</v>
      </c>
      <c r="CL405">
        <v>100</v>
      </c>
      <c r="CM405">
        <v>100</v>
      </c>
      <c r="CN405">
        <v>0.76023399999999997</v>
      </c>
      <c r="CO405">
        <v>100</v>
      </c>
      <c r="CP405">
        <v>100</v>
      </c>
      <c r="CQ405">
        <v>0.494898</v>
      </c>
      <c r="CR405">
        <v>1.0103089999999999</v>
      </c>
      <c r="CS405">
        <v>32.993197000000002</v>
      </c>
      <c r="CT405">
        <v>50</v>
      </c>
      <c r="CU405">
        <v>0.60791799999999996</v>
      </c>
      <c r="CV405">
        <v>50</v>
      </c>
      <c r="CW405">
        <v>50</v>
      </c>
      <c r="CX405">
        <v>1</v>
      </c>
      <c r="CY405">
        <v>0.94</v>
      </c>
      <c r="CZ405">
        <v>-0.06</v>
      </c>
      <c r="DA405">
        <v>15.314097</v>
      </c>
      <c r="DB405">
        <v>17.400950000000002</v>
      </c>
      <c r="DC405">
        <v>16.332519999999999</v>
      </c>
      <c r="DD405">
        <v>7.9891730000000001</v>
      </c>
      <c r="DE405">
        <v>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Q405" t="s">
        <v>126</v>
      </c>
    </row>
    <row r="406" spans="1:121" x14ac:dyDescent="0.15">
      <c r="A406">
        <v>2018</v>
      </c>
      <c r="B406" t="s">
        <v>130</v>
      </c>
      <c r="C406" t="str">
        <f>"0480011"</f>
        <v>0480011</v>
      </c>
      <c r="D406" t="s">
        <v>555</v>
      </c>
      <c r="E406" t="str">
        <f>"0485111"</f>
        <v>0485111</v>
      </c>
      <c r="F406" t="s">
        <v>328</v>
      </c>
      <c r="G406">
        <v>7</v>
      </c>
      <c r="H406">
        <v>8</v>
      </c>
      <c r="J406" t="s">
        <v>331</v>
      </c>
      <c r="K406">
        <v>602.26410999999996</v>
      </c>
      <c r="L406">
        <v>900</v>
      </c>
      <c r="M406">
        <v>66.918233999999998</v>
      </c>
      <c r="N406">
        <v>3</v>
      </c>
      <c r="O406">
        <v>1</v>
      </c>
      <c r="P406">
        <v>71.251766000000003</v>
      </c>
      <c r="Q406">
        <v>47.501178000000003</v>
      </c>
      <c r="R406">
        <v>50</v>
      </c>
      <c r="S406">
        <v>53.290700999999999</v>
      </c>
      <c r="T406">
        <v>75</v>
      </c>
      <c r="U406">
        <v>35.527133999999997</v>
      </c>
      <c r="V406">
        <v>50</v>
      </c>
      <c r="W406">
        <v>69.845067</v>
      </c>
      <c r="X406">
        <v>46.563378</v>
      </c>
      <c r="Y406">
        <v>50</v>
      </c>
      <c r="Z406">
        <v>75</v>
      </c>
      <c r="AA406">
        <v>52.433985</v>
      </c>
      <c r="AB406">
        <v>34.95599</v>
      </c>
      <c r="AC406">
        <v>50</v>
      </c>
      <c r="AD406">
        <v>74.773516999999998</v>
      </c>
      <c r="AE406">
        <v>49.849010999999997</v>
      </c>
      <c r="AF406">
        <v>50</v>
      </c>
      <c r="AG406">
        <v>62.021672000000002</v>
      </c>
      <c r="AH406">
        <v>75</v>
      </c>
      <c r="AI406">
        <v>41.347780999999998</v>
      </c>
      <c r="AJ406">
        <v>50</v>
      </c>
      <c r="AK406">
        <v>21.7</v>
      </c>
      <c r="AL406">
        <v>22.56</v>
      </c>
      <c r="AM406">
        <v>12.97</v>
      </c>
      <c r="AN406">
        <v>0.45067499999999999</v>
      </c>
      <c r="AO406">
        <v>45.067450999999998</v>
      </c>
      <c r="AP406">
        <v>100</v>
      </c>
      <c r="AQ406">
        <v>0.56433900000000004</v>
      </c>
      <c r="AR406">
        <v>56.433858000000001</v>
      </c>
      <c r="AS406">
        <v>100</v>
      </c>
      <c r="AT406">
        <v>0.439411</v>
      </c>
      <c r="AU406">
        <v>0.45402199999999998</v>
      </c>
      <c r="AV406">
        <v>43.941087000000003</v>
      </c>
      <c r="AW406">
        <v>100</v>
      </c>
      <c r="AX406">
        <v>0.49757400000000002</v>
      </c>
      <c r="AY406">
        <v>0.58397500000000002</v>
      </c>
      <c r="AZ406">
        <v>49.757398999999999</v>
      </c>
      <c r="BA406">
        <v>100</v>
      </c>
      <c r="BB406" t="s">
        <v>125</v>
      </c>
      <c r="BC406" t="s">
        <v>125</v>
      </c>
      <c r="BD406" t="s">
        <v>125</v>
      </c>
      <c r="BE406" t="s">
        <v>125</v>
      </c>
      <c r="BF406" t="s">
        <v>125</v>
      </c>
      <c r="BG406" t="s">
        <v>125</v>
      </c>
      <c r="BH406">
        <v>0</v>
      </c>
      <c r="BI406">
        <v>0.99313499999999999</v>
      </c>
      <c r="BJ406">
        <v>0.99065400000000003</v>
      </c>
      <c r="BK406">
        <v>0.99393900000000002</v>
      </c>
      <c r="BL406">
        <v>0.99313499999999999</v>
      </c>
      <c r="BM406">
        <v>0.99065400000000003</v>
      </c>
      <c r="BN406">
        <v>0.99393900000000002</v>
      </c>
      <c r="BO406">
        <v>0.99543400000000004</v>
      </c>
      <c r="BP406">
        <v>0.98181799999999997</v>
      </c>
      <c r="BQ406">
        <v>1</v>
      </c>
      <c r="BR406">
        <v>8.9245000000000005E-2</v>
      </c>
      <c r="BS406">
        <v>42.151029999999999</v>
      </c>
      <c r="BT406">
        <v>50</v>
      </c>
      <c r="BU406">
        <v>0.20192299999999999</v>
      </c>
      <c r="BV406">
        <v>19.615385</v>
      </c>
      <c r="BW406">
        <v>50</v>
      </c>
      <c r="BX406" t="s">
        <v>125</v>
      </c>
      <c r="BY406" t="s">
        <v>125</v>
      </c>
      <c r="BZ406" t="s">
        <v>125</v>
      </c>
      <c r="CA406" t="s">
        <v>125</v>
      </c>
      <c r="CB406" t="s">
        <v>125</v>
      </c>
      <c r="CC406" t="s">
        <v>125</v>
      </c>
      <c r="CD406">
        <v>0.96634600000000004</v>
      </c>
      <c r="CE406">
        <v>50</v>
      </c>
      <c r="CF406">
        <v>50</v>
      </c>
      <c r="CG406" t="s">
        <v>125</v>
      </c>
      <c r="CH406" t="s">
        <v>125</v>
      </c>
      <c r="CI406" t="s">
        <v>125</v>
      </c>
      <c r="CJ406" t="s">
        <v>125</v>
      </c>
      <c r="CK406" t="s">
        <v>125</v>
      </c>
      <c r="CL406" t="s">
        <v>125</v>
      </c>
      <c r="CM406" t="s">
        <v>125</v>
      </c>
      <c r="CN406" t="s">
        <v>125</v>
      </c>
      <c r="CO406" t="s">
        <v>125</v>
      </c>
      <c r="CP406" t="s">
        <v>125</v>
      </c>
      <c r="CQ406">
        <v>0.59330099999999997</v>
      </c>
      <c r="CR406">
        <v>0.95433800000000002</v>
      </c>
      <c r="CS406">
        <v>39.553429000000001</v>
      </c>
      <c r="CT406">
        <v>50</v>
      </c>
      <c r="CU406" t="s">
        <v>125</v>
      </c>
      <c r="CV406" t="s">
        <v>125</v>
      </c>
      <c r="CW406" t="s">
        <v>125</v>
      </c>
      <c r="CX406" t="s">
        <v>125</v>
      </c>
      <c r="CY406" t="s">
        <v>125</v>
      </c>
      <c r="CZ406" t="s">
        <v>125</v>
      </c>
      <c r="DA406">
        <v>15.314097</v>
      </c>
      <c r="DB406">
        <v>17.400950000000002</v>
      </c>
      <c r="DC406">
        <v>16.332519999999999</v>
      </c>
      <c r="DD406" t="s">
        <v>125</v>
      </c>
      <c r="DE406">
        <v>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Q406" t="s">
        <v>126</v>
      </c>
    </row>
    <row r="407" spans="1:121" x14ac:dyDescent="0.15">
      <c r="A407">
        <v>2018</v>
      </c>
      <c r="B407" t="s">
        <v>130</v>
      </c>
      <c r="C407" t="str">
        <f>"0480011"</f>
        <v>0480011</v>
      </c>
      <c r="D407" t="s">
        <v>556</v>
      </c>
      <c r="E407" t="str">
        <f>"0480611"</f>
        <v>0480611</v>
      </c>
      <c r="F407" t="s">
        <v>328</v>
      </c>
      <c r="G407" t="s">
        <v>339</v>
      </c>
      <c r="H407">
        <v>6</v>
      </c>
      <c r="J407" t="s">
        <v>331</v>
      </c>
      <c r="K407">
        <v>763.91802299999995</v>
      </c>
      <c r="L407">
        <v>950</v>
      </c>
      <c r="M407">
        <v>80.412423000000004</v>
      </c>
      <c r="N407">
        <v>2</v>
      </c>
      <c r="O407">
        <v>0</v>
      </c>
      <c r="P407">
        <v>79.311812000000003</v>
      </c>
      <c r="Q407">
        <v>50</v>
      </c>
      <c r="R407">
        <v>50</v>
      </c>
      <c r="S407">
        <v>67.344367000000005</v>
      </c>
      <c r="T407">
        <v>75</v>
      </c>
      <c r="U407">
        <v>44.896245</v>
      </c>
      <c r="V407">
        <v>50</v>
      </c>
      <c r="W407">
        <v>75.493971999999999</v>
      </c>
      <c r="X407">
        <v>50</v>
      </c>
      <c r="Y407">
        <v>50</v>
      </c>
      <c r="Z407">
        <v>75</v>
      </c>
      <c r="AA407">
        <v>60.854277000000003</v>
      </c>
      <c r="AB407">
        <v>40.569518000000002</v>
      </c>
      <c r="AC407">
        <v>50</v>
      </c>
      <c r="AD407">
        <v>71.544945999999996</v>
      </c>
      <c r="AE407">
        <v>47.696630999999996</v>
      </c>
      <c r="AF407">
        <v>50</v>
      </c>
      <c r="AG407">
        <v>60.969639000000001</v>
      </c>
      <c r="AH407">
        <v>75</v>
      </c>
      <c r="AI407">
        <v>40.646425999999998</v>
      </c>
      <c r="AJ407">
        <v>50</v>
      </c>
      <c r="AK407">
        <v>7.65</v>
      </c>
      <c r="AL407">
        <v>14.14</v>
      </c>
      <c r="AM407">
        <v>14.03</v>
      </c>
      <c r="AN407">
        <v>0.70977400000000002</v>
      </c>
      <c r="AO407">
        <v>70.977429999999998</v>
      </c>
      <c r="AP407">
        <v>100</v>
      </c>
      <c r="AQ407">
        <v>0.80044000000000004</v>
      </c>
      <c r="AR407">
        <v>80.043953000000002</v>
      </c>
      <c r="AS407">
        <v>100</v>
      </c>
      <c r="AT407">
        <v>0.72877700000000001</v>
      </c>
      <c r="AU407">
        <v>0.70073600000000003</v>
      </c>
      <c r="AV407">
        <v>72.877709999999993</v>
      </c>
      <c r="AW407">
        <v>100</v>
      </c>
      <c r="AX407">
        <v>0.71052300000000002</v>
      </c>
      <c r="AY407">
        <v>0.84320499999999998</v>
      </c>
      <c r="AZ407">
        <v>71.052325999999994</v>
      </c>
      <c r="BA407">
        <v>100</v>
      </c>
      <c r="BB407">
        <v>0.76790199999999997</v>
      </c>
      <c r="BC407">
        <v>38.395088000000001</v>
      </c>
      <c r="BD407">
        <v>50</v>
      </c>
      <c r="BE407">
        <v>0.669848</v>
      </c>
      <c r="BF407">
        <v>33.492404000000001</v>
      </c>
      <c r="BG407">
        <v>50</v>
      </c>
      <c r="BH407">
        <v>0</v>
      </c>
      <c r="BI407">
        <v>0.99416899999999997</v>
      </c>
      <c r="BJ407">
        <v>0.99187000000000003</v>
      </c>
      <c r="BK407">
        <v>0.99545499999999998</v>
      </c>
      <c r="BL407">
        <v>0.99416899999999997</v>
      </c>
      <c r="BM407">
        <v>0.99187000000000003</v>
      </c>
      <c r="BN407">
        <v>0.99545499999999998</v>
      </c>
      <c r="BO407">
        <v>1</v>
      </c>
      <c r="BP407">
        <v>1</v>
      </c>
      <c r="BQ407">
        <v>1</v>
      </c>
      <c r="BR407">
        <v>7.4074000000000001E-2</v>
      </c>
      <c r="BS407">
        <v>45.185184999999997</v>
      </c>
      <c r="BT407">
        <v>50</v>
      </c>
      <c r="BU407">
        <v>0.15957399999999999</v>
      </c>
      <c r="BV407">
        <v>28.085106</v>
      </c>
      <c r="BW407">
        <v>50</v>
      </c>
      <c r="BX407" t="s">
        <v>125</v>
      </c>
      <c r="BY407" t="s">
        <v>125</v>
      </c>
      <c r="BZ407" t="s">
        <v>125</v>
      </c>
      <c r="CA407" t="s">
        <v>125</v>
      </c>
      <c r="CB407" t="s">
        <v>125</v>
      </c>
      <c r="CC407" t="s">
        <v>125</v>
      </c>
      <c r="CD407" t="s">
        <v>125</v>
      </c>
      <c r="CE407" t="s">
        <v>125</v>
      </c>
      <c r="CF407" t="s">
        <v>125</v>
      </c>
      <c r="CG407" t="s">
        <v>125</v>
      </c>
      <c r="CH407" t="s">
        <v>125</v>
      </c>
      <c r="CI407" t="s">
        <v>125</v>
      </c>
      <c r="CJ407" t="s">
        <v>125</v>
      </c>
      <c r="CK407" t="s">
        <v>125</v>
      </c>
      <c r="CL407" t="s">
        <v>125</v>
      </c>
      <c r="CM407" t="s">
        <v>125</v>
      </c>
      <c r="CN407" t="s">
        <v>125</v>
      </c>
      <c r="CO407" t="s">
        <v>125</v>
      </c>
      <c r="CP407" t="s">
        <v>125</v>
      </c>
      <c r="CQ407">
        <v>0.75141199999999997</v>
      </c>
      <c r="CR407">
        <v>0.99438199999999999</v>
      </c>
      <c r="CS407">
        <v>50</v>
      </c>
      <c r="CT407">
        <v>50</v>
      </c>
      <c r="CU407" t="s">
        <v>125</v>
      </c>
      <c r="CV407" t="s">
        <v>125</v>
      </c>
      <c r="CW407" t="s">
        <v>125</v>
      </c>
      <c r="CX407" t="s">
        <v>125</v>
      </c>
      <c r="CY407" t="s">
        <v>125</v>
      </c>
      <c r="CZ407" t="s">
        <v>125</v>
      </c>
      <c r="DA407">
        <v>15.314097</v>
      </c>
      <c r="DB407">
        <v>17.400950000000002</v>
      </c>
      <c r="DC407">
        <v>16.332519999999999</v>
      </c>
      <c r="DD407" t="s">
        <v>125</v>
      </c>
      <c r="DE407">
        <v>0</v>
      </c>
      <c r="DH407" t="s">
        <v>332</v>
      </c>
      <c r="DI407" t="s">
        <v>524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Q407" t="s">
        <v>126</v>
      </c>
    </row>
    <row r="408" spans="1:121" x14ac:dyDescent="0.15">
      <c r="A408">
        <v>2018</v>
      </c>
      <c r="B408" t="s">
        <v>151</v>
      </c>
      <c r="C408" t="str">
        <f t="shared" ref="C408:C415" si="9">"0490011"</f>
        <v>0490011</v>
      </c>
      <c r="D408" t="s">
        <v>557</v>
      </c>
      <c r="E408" t="str">
        <f>"0491311"</f>
        <v>0491311</v>
      </c>
      <c r="F408" t="s">
        <v>328</v>
      </c>
      <c r="G408">
        <v>3</v>
      </c>
      <c r="H408">
        <v>5</v>
      </c>
      <c r="J408" t="s">
        <v>331</v>
      </c>
      <c r="K408">
        <v>681.06741199999999</v>
      </c>
      <c r="L408">
        <v>850</v>
      </c>
      <c r="M408">
        <v>80.125578000000004</v>
      </c>
      <c r="N408">
        <v>2</v>
      </c>
      <c r="O408">
        <v>0</v>
      </c>
      <c r="P408">
        <v>71.590723999999994</v>
      </c>
      <c r="Q408">
        <v>47.727148999999997</v>
      </c>
      <c r="R408">
        <v>50</v>
      </c>
      <c r="S408">
        <v>64.838254000000006</v>
      </c>
      <c r="T408">
        <v>75</v>
      </c>
      <c r="U408">
        <v>43.225501999999999</v>
      </c>
      <c r="V408">
        <v>50</v>
      </c>
      <c r="W408">
        <v>68.419140999999996</v>
      </c>
      <c r="X408">
        <v>45.612760999999999</v>
      </c>
      <c r="Y408">
        <v>50</v>
      </c>
      <c r="Z408">
        <v>75</v>
      </c>
      <c r="AA408">
        <v>61.003557999999998</v>
      </c>
      <c r="AB408">
        <v>40.669038999999998</v>
      </c>
      <c r="AC408">
        <v>50</v>
      </c>
      <c r="AD408">
        <v>65.398606999999998</v>
      </c>
      <c r="AE408">
        <v>43.599071000000002</v>
      </c>
      <c r="AF408">
        <v>50</v>
      </c>
      <c r="AG408">
        <v>58.821941000000002</v>
      </c>
      <c r="AH408">
        <v>74.214139000000003</v>
      </c>
      <c r="AI408">
        <v>39.214627</v>
      </c>
      <c r="AJ408">
        <v>50</v>
      </c>
      <c r="AK408">
        <v>10.16</v>
      </c>
      <c r="AL408">
        <v>13.99</v>
      </c>
      <c r="AM408">
        <v>15.39</v>
      </c>
      <c r="AN408">
        <v>0.62400500000000003</v>
      </c>
      <c r="AO408">
        <v>62.400463000000002</v>
      </c>
      <c r="AP408">
        <v>100</v>
      </c>
      <c r="AQ408">
        <v>0.81951099999999999</v>
      </c>
      <c r="AR408">
        <v>81.951125000000005</v>
      </c>
      <c r="AS408">
        <v>100</v>
      </c>
      <c r="AT408">
        <v>0.58414500000000003</v>
      </c>
      <c r="AU408">
        <v>0.66386500000000004</v>
      </c>
      <c r="AV408">
        <v>58.414476000000001</v>
      </c>
      <c r="AW408">
        <v>100</v>
      </c>
      <c r="AX408">
        <v>0.73953999999999998</v>
      </c>
      <c r="AY408">
        <v>0.89804200000000001</v>
      </c>
      <c r="AZ408">
        <v>73.953997000000001</v>
      </c>
      <c r="BA408">
        <v>100</v>
      </c>
      <c r="BB408" t="s">
        <v>125</v>
      </c>
      <c r="BC408" t="s">
        <v>125</v>
      </c>
      <c r="BD408" t="s">
        <v>125</v>
      </c>
      <c r="BE408" t="s">
        <v>125</v>
      </c>
      <c r="BF408" t="s">
        <v>125</v>
      </c>
      <c r="BG408" t="s">
        <v>125</v>
      </c>
      <c r="BH408">
        <v>0</v>
      </c>
      <c r="BI408">
        <v>0.99701499999999998</v>
      </c>
      <c r="BJ408">
        <v>0.99465199999999998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5.1360000000000003E-2</v>
      </c>
      <c r="BS408">
        <v>49.728096999999998</v>
      </c>
      <c r="BT408">
        <v>50</v>
      </c>
      <c r="BU408">
        <v>7.3863999999999999E-2</v>
      </c>
      <c r="BV408">
        <v>45.227272999999997</v>
      </c>
      <c r="BW408">
        <v>50</v>
      </c>
      <c r="BX408" t="s">
        <v>125</v>
      </c>
      <c r="BY408" t="s">
        <v>125</v>
      </c>
      <c r="BZ408" t="s">
        <v>125</v>
      </c>
      <c r="CA408" t="s">
        <v>125</v>
      </c>
      <c r="CB408" t="s">
        <v>125</v>
      </c>
      <c r="CC408" t="s">
        <v>125</v>
      </c>
      <c r="CD408" t="s">
        <v>125</v>
      </c>
      <c r="CE408" t="s">
        <v>125</v>
      </c>
      <c r="CF408" t="s">
        <v>125</v>
      </c>
      <c r="CG408" t="s">
        <v>125</v>
      </c>
      <c r="CH408" t="s">
        <v>125</v>
      </c>
      <c r="CI408" t="s">
        <v>125</v>
      </c>
      <c r="CJ408" t="s">
        <v>125</v>
      </c>
      <c r="CK408" t="s">
        <v>125</v>
      </c>
      <c r="CL408" t="s">
        <v>125</v>
      </c>
      <c r="CM408" t="s">
        <v>125</v>
      </c>
      <c r="CN408" t="s">
        <v>125</v>
      </c>
      <c r="CO408" t="s">
        <v>125</v>
      </c>
      <c r="CP408" t="s">
        <v>125</v>
      </c>
      <c r="CQ408">
        <v>0.74015699999999995</v>
      </c>
      <c r="CR408">
        <v>1.0325200000000001</v>
      </c>
      <c r="CS408">
        <v>49.343831999999999</v>
      </c>
      <c r="CT408">
        <v>50</v>
      </c>
      <c r="CU408" t="s">
        <v>125</v>
      </c>
      <c r="CV408" t="s">
        <v>125</v>
      </c>
      <c r="CW408" t="s">
        <v>125</v>
      </c>
      <c r="CX408" t="s">
        <v>125</v>
      </c>
      <c r="CY408" t="s">
        <v>125</v>
      </c>
      <c r="CZ408" t="s">
        <v>125</v>
      </c>
      <c r="DA408">
        <v>15.314097</v>
      </c>
      <c r="DB408">
        <v>17.400950000000002</v>
      </c>
      <c r="DC408">
        <v>16.332519999999999</v>
      </c>
      <c r="DD408" t="s">
        <v>125</v>
      </c>
      <c r="DE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Q408" t="s">
        <v>126</v>
      </c>
    </row>
    <row r="409" spans="1:121" x14ac:dyDescent="0.15">
      <c r="A409">
        <v>2018</v>
      </c>
      <c r="B409" t="s">
        <v>151</v>
      </c>
      <c r="C409" t="str">
        <f t="shared" si="9"/>
        <v>0490011</v>
      </c>
      <c r="D409" t="s">
        <v>558</v>
      </c>
      <c r="E409" t="str">
        <f>"0491611"</f>
        <v>0491611</v>
      </c>
      <c r="F409" t="s">
        <v>328</v>
      </c>
      <c r="G409">
        <v>3</v>
      </c>
      <c r="H409">
        <v>5</v>
      </c>
      <c r="I409" t="s">
        <v>336</v>
      </c>
      <c r="J409" t="s">
        <v>331</v>
      </c>
      <c r="K409">
        <v>676.54857600000003</v>
      </c>
      <c r="L409">
        <v>850</v>
      </c>
      <c r="M409">
        <v>79.593950000000007</v>
      </c>
      <c r="N409">
        <v>2</v>
      </c>
      <c r="O409">
        <v>0</v>
      </c>
      <c r="P409">
        <v>68.430233000000001</v>
      </c>
      <c r="Q409">
        <v>45.620154999999997</v>
      </c>
      <c r="R409">
        <v>50</v>
      </c>
      <c r="S409">
        <v>63.021963</v>
      </c>
      <c r="T409">
        <v>75</v>
      </c>
      <c r="U409">
        <v>42.014642000000002</v>
      </c>
      <c r="V409">
        <v>50</v>
      </c>
      <c r="W409">
        <v>64.607951</v>
      </c>
      <c r="X409">
        <v>43.071967000000001</v>
      </c>
      <c r="Y409">
        <v>50</v>
      </c>
      <c r="Z409">
        <v>71.338944999999995</v>
      </c>
      <c r="AA409">
        <v>59.471139999999998</v>
      </c>
      <c r="AB409">
        <v>39.647427</v>
      </c>
      <c r="AC409">
        <v>50</v>
      </c>
      <c r="AD409">
        <v>69.356055999999995</v>
      </c>
      <c r="AE409">
        <v>46.237371000000003</v>
      </c>
      <c r="AF409">
        <v>50</v>
      </c>
      <c r="AG409">
        <v>64.776381000000001</v>
      </c>
      <c r="AH409">
        <v>75</v>
      </c>
      <c r="AI409">
        <v>43.184254000000003</v>
      </c>
      <c r="AJ409">
        <v>50</v>
      </c>
      <c r="AK409">
        <v>11.97</v>
      </c>
      <c r="AL409">
        <v>11.86</v>
      </c>
      <c r="AM409">
        <v>10.220000000000001</v>
      </c>
      <c r="AN409">
        <v>0.74135499999999999</v>
      </c>
      <c r="AO409">
        <v>74.135508999999999</v>
      </c>
      <c r="AP409">
        <v>100</v>
      </c>
      <c r="AQ409">
        <v>0.74806899999999998</v>
      </c>
      <c r="AR409">
        <v>74.806932000000003</v>
      </c>
      <c r="AS409">
        <v>100</v>
      </c>
      <c r="AT409">
        <v>0.70547199999999999</v>
      </c>
      <c r="AU409">
        <v>0.78441399999999994</v>
      </c>
      <c r="AV409">
        <v>70.547244000000006</v>
      </c>
      <c r="AW409">
        <v>100</v>
      </c>
      <c r="AX409">
        <v>0.71597100000000002</v>
      </c>
      <c r="AY409">
        <v>0.78624899999999998</v>
      </c>
      <c r="AZ409">
        <v>71.597144</v>
      </c>
      <c r="BA409">
        <v>100</v>
      </c>
      <c r="BB409" t="s">
        <v>125</v>
      </c>
      <c r="BC409" t="s">
        <v>125</v>
      </c>
      <c r="BD409" t="s">
        <v>125</v>
      </c>
      <c r="BE409" t="s">
        <v>125</v>
      </c>
      <c r="BF409" t="s">
        <v>125</v>
      </c>
      <c r="BG409" t="s">
        <v>125</v>
      </c>
      <c r="BH409">
        <v>0</v>
      </c>
      <c r="BI409">
        <v>0.99715900000000002</v>
      </c>
      <c r="BJ409">
        <v>1</v>
      </c>
      <c r="BK409">
        <v>0.99328899999999998</v>
      </c>
      <c r="BL409">
        <v>0.99715100000000001</v>
      </c>
      <c r="BM409">
        <v>1</v>
      </c>
      <c r="BN409">
        <v>0.99328899999999998</v>
      </c>
      <c r="BO409">
        <v>1</v>
      </c>
      <c r="BP409">
        <v>1</v>
      </c>
      <c r="BQ409">
        <v>1</v>
      </c>
      <c r="BR409">
        <v>7.7364000000000002E-2</v>
      </c>
      <c r="BS409">
        <v>44.527220999999997</v>
      </c>
      <c r="BT409">
        <v>50</v>
      </c>
      <c r="BU409">
        <v>0.11734700000000001</v>
      </c>
      <c r="BV409">
        <v>36.530611999999998</v>
      </c>
      <c r="BW409">
        <v>50</v>
      </c>
      <c r="BX409" t="s">
        <v>125</v>
      </c>
      <c r="BY409" t="s">
        <v>125</v>
      </c>
      <c r="BZ409" t="s">
        <v>125</v>
      </c>
      <c r="CA409" t="s">
        <v>125</v>
      </c>
      <c r="CB409" t="s">
        <v>125</v>
      </c>
      <c r="CC409" t="s">
        <v>125</v>
      </c>
      <c r="CD409" t="s">
        <v>125</v>
      </c>
      <c r="CE409" t="s">
        <v>125</v>
      </c>
      <c r="CF409" t="s">
        <v>125</v>
      </c>
      <c r="CG409" t="s">
        <v>125</v>
      </c>
      <c r="CH409" t="s">
        <v>125</v>
      </c>
      <c r="CI409" t="s">
        <v>125</v>
      </c>
      <c r="CJ409" t="s">
        <v>125</v>
      </c>
      <c r="CK409" t="s">
        <v>125</v>
      </c>
      <c r="CL409" t="s">
        <v>125</v>
      </c>
      <c r="CM409" t="s">
        <v>125</v>
      </c>
      <c r="CN409" t="s">
        <v>125</v>
      </c>
      <c r="CO409" t="s">
        <v>125</v>
      </c>
      <c r="CP409" t="s">
        <v>125</v>
      </c>
      <c r="CQ409">
        <v>0.66942100000000004</v>
      </c>
      <c r="CR409">
        <v>1</v>
      </c>
      <c r="CS409">
        <v>44.628098999999999</v>
      </c>
      <c r="CT409">
        <v>50</v>
      </c>
      <c r="CU409" t="s">
        <v>125</v>
      </c>
      <c r="CV409" t="s">
        <v>125</v>
      </c>
      <c r="CW409" t="s">
        <v>125</v>
      </c>
      <c r="CX409" t="s">
        <v>125</v>
      </c>
      <c r="CY409" t="s">
        <v>125</v>
      </c>
      <c r="CZ409" t="s">
        <v>125</v>
      </c>
      <c r="DA409">
        <v>15.314097</v>
      </c>
      <c r="DB409">
        <v>17.400950000000002</v>
      </c>
      <c r="DC409">
        <v>16.332519999999999</v>
      </c>
      <c r="DD409" t="s">
        <v>125</v>
      </c>
      <c r="DE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Q409" t="s">
        <v>126</v>
      </c>
    </row>
    <row r="410" spans="1:121" x14ac:dyDescent="0.15">
      <c r="A410">
        <v>2018</v>
      </c>
      <c r="B410" t="s">
        <v>151</v>
      </c>
      <c r="C410" t="str">
        <f t="shared" si="9"/>
        <v>0490011</v>
      </c>
      <c r="D410" t="s">
        <v>559</v>
      </c>
      <c r="E410" t="str">
        <f>"0496111"</f>
        <v>0496111</v>
      </c>
      <c r="F410" t="s">
        <v>328</v>
      </c>
      <c r="G410">
        <v>9</v>
      </c>
      <c r="H410">
        <v>12</v>
      </c>
      <c r="J410" t="s">
        <v>331</v>
      </c>
      <c r="K410">
        <v>1107.0597889999999</v>
      </c>
      <c r="L410">
        <v>1450</v>
      </c>
      <c r="M410">
        <v>76.348951</v>
      </c>
      <c r="N410">
        <v>3</v>
      </c>
      <c r="O410">
        <v>0</v>
      </c>
      <c r="P410">
        <v>56.764150999999998</v>
      </c>
      <c r="Q410">
        <v>113.528302</v>
      </c>
      <c r="R410">
        <v>150</v>
      </c>
      <c r="S410">
        <v>49.214815000000002</v>
      </c>
      <c r="T410">
        <v>62.333333000000003</v>
      </c>
      <c r="U410">
        <v>98.429630000000003</v>
      </c>
      <c r="V410">
        <v>150</v>
      </c>
      <c r="W410">
        <v>54.821278999999997</v>
      </c>
      <c r="X410">
        <v>109.64255799999999</v>
      </c>
      <c r="Y410">
        <v>150</v>
      </c>
      <c r="Z410">
        <v>60.079234999999997</v>
      </c>
      <c r="AA410">
        <v>47.693826999999999</v>
      </c>
      <c r="AB410">
        <v>95.387653999999998</v>
      </c>
      <c r="AC410">
        <v>150</v>
      </c>
      <c r="AD410">
        <v>69.256085999999996</v>
      </c>
      <c r="AE410">
        <v>92.341448</v>
      </c>
      <c r="AF410">
        <v>100</v>
      </c>
      <c r="AG410">
        <v>59.519088000000004</v>
      </c>
      <c r="AH410">
        <v>75</v>
      </c>
      <c r="AI410">
        <v>79.358784</v>
      </c>
      <c r="AJ410">
        <v>100</v>
      </c>
      <c r="AK410">
        <v>13.11</v>
      </c>
      <c r="AL410">
        <v>12.38</v>
      </c>
      <c r="AM410">
        <v>15.48</v>
      </c>
      <c r="AN410" t="s">
        <v>125</v>
      </c>
      <c r="AO410" t="s">
        <v>125</v>
      </c>
      <c r="AP410" t="s">
        <v>125</v>
      </c>
      <c r="AQ410" t="s">
        <v>125</v>
      </c>
      <c r="AR410" t="s">
        <v>125</v>
      </c>
      <c r="AS410" t="s">
        <v>125</v>
      </c>
      <c r="AT410" t="s">
        <v>125</v>
      </c>
      <c r="AU410" t="s">
        <v>125</v>
      </c>
      <c r="AV410" t="s">
        <v>125</v>
      </c>
      <c r="AW410" t="s">
        <v>125</v>
      </c>
      <c r="AX410" t="s">
        <v>125</v>
      </c>
      <c r="AY410" t="s">
        <v>125</v>
      </c>
      <c r="AZ410" t="s">
        <v>125</v>
      </c>
      <c r="BA410" t="s">
        <v>125</v>
      </c>
      <c r="BB410" t="s">
        <v>125</v>
      </c>
      <c r="BC410" t="s">
        <v>125</v>
      </c>
      <c r="BD410" t="s">
        <v>125</v>
      </c>
      <c r="BE410" t="s">
        <v>125</v>
      </c>
      <c r="BF410" t="s">
        <v>125</v>
      </c>
      <c r="BG410" t="s">
        <v>125</v>
      </c>
      <c r="BH410">
        <v>0</v>
      </c>
      <c r="BI410">
        <v>0.99079799999999996</v>
      </c>
      <c r="BJ410">
        <v>0.98571399999999998</v>
      </c>
      <c r="BK410">
        <v>0.99462399999999995</v>
      </c>
      <c r="BL410">
        <v>0.99079799999999996</v>
      </c>
      <c r="BM410">
        <v>0.98571399999999998</v>
      </c>
      <c r="BN410">
        <v>0.99462399999999995</v>
      </c>
      <c r="BO410">
        <v>0.99074099999999998</v>
      </c>
      <c r="BP410">
        <v>0.99275400000000003</v>
      </c>
      <c r="BQ410">
        <v>0.98924699999999999</v>
      </c>
      <c r="BR410">
        <v>0.133106</v>
      </c>
      <c r="BS410">
        <v>33.378839999999997</v>
      </c>
      <c r="BT410">
        <v>50</v>
      </c>
      <c r="BU410">
        <v>0.20948</v>
      </c>
      <c r="BV410">
        <v>18.103975999999999</v>
      </c>
      <c r="BW410">
        <v>50</v>
      </c>
      <c r="BX410">
        <v>0.89253700000000002</v>
      </c>
      <c r="BY410">
        <v>50</v>
      </c>
      <c r="BZ410">
        <v>50</v>
      </c>
      <c r="CA410">
        <v>0.37014900000000001</v>
      </c>
      <c r="CB410">
        <v>24.676617</v>
      </c>
      <c r="CC410">
        <v>50</v>
      </c>
      <c r="CD410">
        <v>0.85858599999999996</v>
      </c>
      <c r="CE410">
        <v>45.669460999999998</v>
      </c>
      <c r="CF410">
        <v>50</v>
      </c>
      <c r="CG410">
        <v>0.91878199999999999</v>
      </c>
      <c r="CH410">
        <v>97.742737000000005</v>
      </c>
      <c r="CI410">
        <v>100</v>
      </c>
      <c r="CJ410">
        <v>1</v>
      </c>
      <c r="CK410">
        <v>0.8</v>
      </c>
      <c r="CL410">
        <v>85.106382999999994</v>
      </c>
      <c r="CM410">
        <v>100</v>
      </c>
      <c r="CN410">
        <v>0.65600000000000003</v>
      </c>
      <c r="CO410">
        <v>87.466667000000001</v>
      </c>
      <c r="CP410">
        <v>100</v>
      </c>
      <c r="CQ410">
        <v>0.393401</v>
      </c>
      <c r="CR410">
        <v>0.98746900000000004</v>
      </c>
      <c r="CS410">
        <v>26.226734</v>
      </c>
      <c r="CT410">
        <v>50</v>
      </c>
      <c r="CU410">
        <v>0.70648500000000003</v>
      </c>
      <c r="CV410">
        <v>50</v>
      </c>
      <c r="CW410">
        <v>50</v>
      </c>
      <c r="CX410">
        <v>0.8</v>
      </c>
      <c r="CY410">
        <v>0.89361699999999999</v>
      </c>
      <c r="CZ410">
        <v>9.3617000000000006E-2</v>
      </c>
      <c r="DA410">
        <v>15.314097</v>
      </c>
      <c r="DB410">
        <v>17.400950000000002</v>
      </c>
      <c r="DC410">
        <v>16.332519999999999</v>
      </c>
      <c r="DD410">
        <v>7.9891730000000001</v>
      </c>
      <c r="DE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Q410" t="s">
        <v>126</v>
      </c>
    </row>
    <row r="411" spans="1:121" x14ac:dyDescent="0.15">
      <c r="A411">
        <v>2018</v>
      </c>
      <c r="B411" t="s">
        <v>151</v>
      </c>
      <c r="C411" t="str">
        <f t="shared" si="9"/>
        <v>0490011</v>
      </c>
      <c r="D411" t="s">
        <v>560</v>
      </c>
      <c r="E411" t="str">
        <f>"0490211"</f>
        <v>0490211</v>
      </c>
      <c r="F411" t="s">
        <v>328</v>
      </c>
      <c r="G411" t="s">
        <v>339</v>
      </c>
      <c r="H411">
        <v>2</v>
      </c>
      <c r="J411" t="s">
        <v>331</v>
      </c>
      <c r="K411">
        <v>76.880556999999996</v>
      </c>
      <c r="L411">
        <v>100</v>
      </c>
      <c r="M411">
        <v>76.880556999999996</v>
      </c>
      <c r="N411" t="s">
        <v>125</v>
      </c>
      <c r="O411" t="s">
        <v>125</v>
      </c>
      <c r="P411" t="s">
        <v>125</v>
      </c>
      <c r="Q411" t="s">
        <v>125</v>
      </c>
      <c r="R411" t="s">
        <v>125</v>
      </c>
      <c r="S411" t="s">
        <v>125</v>
      </c>
      <c r="T411" t="s">
        <v>125</v>
      </c>
      <c r="U411" t="s">
        <v>125</v>
      </c>
      <c r="V411" t="s">
        <v>125</v>
      </c>
      <c r="W411" t="s">
        <v>125</v>
      </c>
      <c r="X411" t="s">
        <v>125</v>
      </c>
      <c r="Y411" t="s">
        <v>125</v>
      </c>
      <c r="Z411" t="s">
        <v>125</v>
      </c>
      <c r="AA411" t="s">
        <v>125</v>
      </c>
      <c r="AB411" t="s">
        <v>125</v>
      </c>
      <c r="AC411" t="s">
        <v>125</v>
      </c>
      <c r="AD411" t="s">
        <v>125</v>
      </c>
      <c r="AE411" t="s">
        <v>125</v>
      </c>
      <c r="AF411" t="s">
        <v>125</v>
      </c>
      <c r="AG411" t="s">
        <v>125</v>
      </c>
      <c r="AH411" t="s">
        <v>125</v>
      </c>
      <c r="AI411" t="s">
        <v>125</v>
      </c>
      <c r="AJ411" t="s">
        <v>125</v>
      </c>
      <c r="AK411" t="s">
        <v>125</v>
      </c>
      <c r="AL411" t="s">
        <v>125</v>
      </c>
      <c r="AM411" t="s">
        <v>125</v>
      </c>
      <c r="AN411" t="s">
        <v>125</v>
      </c>
      <c r="AO411" t="s">
        <v>125</v>
      </c>
      <c r="AP411" t="s">
        <v>125</v>
      </c>
      <c r="AQ411" t="s">
        <v>125</v>
      </c>
      <c r="AR411" t="s">
        <v>125</v>
      </c>
      <c r="AS411" t="s">
        <v>125</v>
      </c>
      <c r="AT411" t="s">
        <v>125</v>
      </c>
      <c r="AU411" t="s">
        <v>125</v>
      </c>
      <c r="AV411" t="s">
        <v>125</v>
      </c>
      <c r="AW411" t="s">
        <v>125</v>
      </c>
      <c r="AX411" t="s">
        <v>125</v>
      </c>
      <c r="AY411" t="s">
        <v>125</v>
      </c>
      <c r="AZ411" t="s">
        <v>125</v>
      </c>
      <c r="BA411" t="s">
        <v>125</v>
      </c>
      <c r="BB411" t="s">
        <v>125</v>
      </c>
      <c r="BC411" t="s">
        <v>125</v>
      </c>
      <c r="BD411" t="s">
        <v>125</v>
      </c>
      <c r="BE411" t="s">
        <v>125</v>
      </c>
      <c r="BF411" t="s">
        <v>125</v>
      </c>
      <c r="BG411" t="s">
        <v>125</v>
      </c>
      <c r="BH411" t="s">
        <v>125</v>
      </c>
      <c r="BI411" t="s">
        <v>125</v>
      </c>
      <c r="BJ411" t="s">
        <v>125</v>
      </c>
      <c r="BK411" t="s">
        <v>125</v>
      </c>
      <c r="BL411" t="s">
        <v>125</v>
      </c>
      <c r="BM411" t="s">
        <v>125</v>
      </c>
      <c r="BN411" t="s">
        <v>125</v>
      </c>
      <c r="BO411" t="s">
        <v>125</v>
      </c>
      <c r="BP411" t="s">
        <v>125</v>
      </c>
      <c r="BQ411" t="s">
        <v>125</v>
      </c>
      <c r="BR411">
        <v>8.3067000000000002E-2</v>
      </c>
      <c r="BS411">
        <v>43.386581</v>
      </c>
      <c r="BT411">
        <v>50</v>
      </c>
      <c r="BU411">
        <v>0.13253000000000001</v>
      </c>
      <c r="BV411">
        <v>33.493976000000004</v>
      </c>
      <c r="BW411">
        <v>50</v>
      </c>
      <c r="BX411" t="s">
        <v>125</v>
      </c>
      <c r="BY411" t="s">
        <v>125</v>
      </c>
      <c r="BZ411" t="s">
        <v>125</v>
      </c>
      <c r="CA411" t="s">
        <v>125</v>
      </c>
      <c r="CB411" t="s">
        <v>125</v>
      </c>
      <c r="CC411" t="s">
        <v>125</v>
      </c>
      <c r="CD411" t="s">
        <v>125</v>
      </c>
      <c r="CE411" t="s">
        <v>125</v>
      </c>
      <c r="CF411" t="s">
        <v>125</v>
      </c>
      <c r="CG411" t="s">
        <v>125</v>
      </c>
      <c r="CH411" t="s">
        <v>125</v>
      </c>
      <c r="CI411" t="s">
        <v>125</v>
      </c>
      <c r="CJ411" t="s">
        <v>125</v>
      </c>
      <c r="CK411" t="s">
        <v>125</v>
      </c>
      <c r="CL411" t="s">
        <v>125</v>
      </c>
      <c r="CM411" t="s">
        <v>125</v>
      </c>
      <c r="CN411" t="s">
        <v>125</v>
      </c>
      <c r="CO411" t="s">
        <v>125</v>
      </c>
      <c r="CP411" t="s">
        <v>125</v>
      </c>
      <c r="CQ411" t="s">
        <v>125</v>
      </c>
      <c r="CR411" t="s">
        <v>125</v>
      </c>
      <c r="CS411" t="s">
        <v>125</v>
      </c>
      <c r="CT411" t="s">
        <v>125</v>
      </c>
      <c r="CU411" t="s">
        <v>125</v>
      </c>
      <c r="CV411" t="s">
        <v>125</v>
      </c>
      <c r="CW411" t="s">
        <v>125</v>
      </c>
      <c r="CX411" t="s">
        <v>125</v>
      </c>
      <c r="CY411" t="s">
        <v>125</v>
      </c>
      <c r="CZ411" t="s">
        <v>125</v>
      </c>
      <c r="DA411" t="s">
        <v>125</v>
      </c>
      <c r="DB411" t="s">
        <v>125</v>
      </c>
      <c r="DC411" t="s">
        <v>125</v>
      </c>
      <c r="DD411" t="s">
        <v>125</v>
      </c>
      <c r="DE411" t="s">
        <v>125</v>
      </c>
      <c r="DJ411" t="s">
        <v>125</v>
      </c>
      <c r="DK411" t="s">
        <v>125</v>
      </c>
      <c r="DL411" t="s">
        <v>125</v>
      </c>
      <c r="DM411" t="s">
        <v>125</v>
      </c>
      <c r="DN411" t="s">
        <v>125</v>
      </c>
      <c r="DO411" t="s">
        <v>125</v>
      </c>
      <c r="DQ411" t="s">
        <v>126</v>
      </c>
    </row>
    <row r="412" spans="1:121" x14ac:dyDescent="0.15">
      <c r="A412">
        <v>2018</v>
      </c>
      <c r="B412" t="s">
        <v>151</v>
      </c>
      <c r="C412" t="str">
        <f t="shared" si="9"/>
        <v>0490011</v>
      </c>
      <c r="D412" t="s">
        <v>561</v>
      </c>
      <c r="E412" t="str">
        <f>"0490411"</f>
        <v>0490411</v>
      </c>
      <c r="F412" t="s">
        <v>328</v>
      </c>
      <c r="G412" t="s">
        <v>339</v>
      </c>
      <c r="H412">
        <v>2</v>
      </c>
      <c r="J412" t="s">
        <v>331</v>
      </c>
      <c r="K412">
        <v>81.515933000000004</v>
      </c>
      <c r="L412">
        <v>100</v>
      </c>
      <c r="M412">
        <v>81.515933000000004</v>
      </c>
      <c r="N412" t="s">
        <v>125</v>
      </c>
      <c r="O412" t="s">
        <v>125</v>
      </c>
      <c r="P412" t="s">
        <v>125</v>
      </c>
      <c r="Q412" t="s">
        <v>125</v>
      </c>
      <c r="R412" t="s">
        <v>125</v>
      </c>
      <c r="S412" t="s">
        <v>125</v>
      </c>
      <c r="T412" t="s">
        <v>125</v>
      </c>
      <c r="U412" t="s">
        <v>125</v>
      </c>
      <c r="V412" t="s">
        <v>125</v>
      </c>
      <c r="W412" t="s">
        <v>125</v>
      </c>
      <c r="X412" t="s">
        <v>125</v>
      </c>
      <c r="Y412" t="s">
        <v>125</v>
      </c>
      <c r="Z412" t="s">
        <v>125</v>
      </c>
      <c r="AA412" t="s">
        <v>125</v>
      </c>
      <c r="AB412" t="s">
        <v>125</v>
      </c>
      <c r="AC412" t="s">
        <v>125</v>
      </c>
      <c r="AD412" t="s">
        <v>125</v>
      </c>
      <c r="AE412" t="s">
        <v>125</v>
      </c>
      <c r="AF412" t="s">
        <v>125</v>
      </c>
      <c r="AG412" t="s">
        <v>125</v>
      </c>
      <c r="AH412" t="s">
        <v>125</v>
      </c>
      <c r="AI412" t="s">
        <v>125</v>
      </c>
      <c r="AJ412" t="s">
        <v>125</v>
      </c>
      <c r="AK412" t="s">
        <v>125</v>
      </c>
      <c r="AL412" t="s">
        <v>125</v>
      </c>
      <c r="AM412" t="s">
        <v>125</v>
      </c>
      <c r="AN412" t="s">
        <v>125</v>
      </c>
      <c r="AO412" t="s">
        <v>125</v>
      </c>
      <c r="AP412" t="s">
        <v>125</v>
      </c>
      <c r="AQ412" t="s">
        <v>125</v>
      </c>
      <c r="AR412" t="s">
        <v>125</v>
      </c>
      <c r="AS412" t="s">
        <v>125</v>
      </c>
      <c r="AT412" t="s">
        <v>125</v>
      </c>
      <c r="AU412" t="s">
        <v>125</v>
      </c>
      <c r="AV412" t="s">
        <v>125</v>
      </c>
      <c r="AW412" t="s">
        <v>125</v>
      </c>
      <c r="AX412" t="s">
        <v>125</v>
      </c>
      <c r="AY412" t="s">
        <v>125</v>
      </c>
      <c r="AZ412" t="s">
        <v>125</v>
      </c>
      <c r="BA412" t="s">
        <v>125</v>
      </c>
      <c r="BB412" t="s">
        <v>125</v>
      </c>
      <c r="BC412" t="s">
        <v>125</v>
      </c>
      <c r="BD412" t="s">
        <v>125</v>
      </c>
      <c r="BE412" t="s">
        <v>125</v>
      </c>
      <c r="BF412" t="s">
        <v>125</v>
      </c>
      <c r="BG412" t="s">
        <v>125</v>
      </c>
      <c r="BH412" t="s">
        <v>125</v>
      </c>
      <c r="BI412" t="s">
        <v>125</v>
      </c>
      <c r="BJ412" t="s">
        <v>125</v>
      </c>
      <c r="BK412" t="s">
        <v>125</v>
      </c>
      <c r="BL412" t="s">
        <v>125</v>
      </c>
      <c r="BM412" t="s">
        <v>125</v>
      </c>
      <c r="BN412" t="s">
        <v>125</v>
      </c>
      <c r="BO412" t="s">
        <v>125</v>
      </c>
      <c r="BP412" t="s">
        <v>125</v>
      </c>
      <c r="BQ412" t="s">
        <v>125</v>
      </c>
      <c r="BR412">
        <v>7.3863999999999999E-2</v>
      </c>
      <c r="BS412">
        <v>45.227272999999997</v>
      </c>
      <c r="BT412">
        <v>50</v>
      </c>
      <c r="BU412">
        <v>0.118557</v>
      </c>
      <c r="BV412">
        <v>36.28866</v>
      </c>
      <c r="BW412">
        <v>50</v>
      </c>
      <c r="BX412" t="s">
        <v>125</v>
      </c>
      <c r="BY412" t="s">
        <v>125</v>
      </c>
      <c r="BZ412" t="s">
        <v>125</v>
      </c>
      <c r="CA412" t="s">
        <v>125</v>
      </c>
      <c r="CB412" t="s">
        <v>125</v>
      </c>
      <c r="CC412" t="s">
        <v>125</v>
      </c>
      <c r="CD412" t="s">
        <v>125</v>
      </c>
      <c r="CE412" t="s">
        <v>125</v>
      </c>
      <c r="CF412" t="s">
        <v>125</v>
      </c>
      <c r="CG412" t="s">
        <v>125</v>
      </c>
      <c r="CH412" t="s">
        <v>125</v>
      </c>
      <c r="CI412" t="s">
        <v>125</v>
      </c>
      <c r="CJ412" t="s">
        <v>125</v>
      </c>
      <c r="CK412" t="s">
        <v>125</v>
      </c>
      <c r="CL412" t="s">
        <v>125</v>
      </c>
      <c r="CM412" t="s">
        <v>125</v>
      </c>
      <c r="CN412" t="s">
        <v>125</v>
      </c>
      <c r="CO412" t="s">
        <v>125</v>
      </c>
      <c r="CP412" t="s">
        <v>125</v>
      </c>
      <c r="CQ412" t="s">
        <v>125</v>
      </c>
      <c r="CR412" t="s">
        <v>125</v>
      </c>
      <c r="CS412" t="s">
        <v>125</v>
      </c>
      <c r="CT412" t="s">
        <v>125</v>
      </c>
      <c r="CU412" t="s">
        <v>125</v>
      </c>
      <c r="CV412" t="s">
        <v>125</v>
      </c>
      <c r="CW412" t="s">
        <v>125</v>
      </c>
      <c r="CX412" t="s">
        <v>125</v>
      </c>
      <c r="CY412" t="s">
        <v>125</v>
      </c>
      <c r="CZ412" t="s">
        <v>125</v>
      </c>
      <c r="DA412" t="s">
        <v>125</v>
      </c>
      <c r="DB412" t="s">
        <v>125</v>
      </c>
      <c r="DC412" t="s">
        <v>125</v>
      </c>
      <c r="DD412" t="s">
        <v>125</v>
      </c>
      <c r="DE412" t="s">
        <v>125</v>
      </c>
      <c r="DJ412" t="s">
        <v>125</v>
      </c>
      <c r="DK412" t="s">
        <v>125</v>
      </c>
      <c r="DL412" t="s">
        <v>125</v>
      </c>
      <c r="DM412" t="s">
        <v>125</v>
      </c>
      <c r="DN412" t="s">
        <v>125</v>
      </c>
      <c r="DO412" t="s">
        <v>125</v>
      </c>
      <c r="DQ412" t="s">
        <v>126</v>
      </c>
    </row>
    <row r="413" spans="1:121" x14ac:dyDescent="0.15">
      <c r="A413">
        <v>2018</v>
      </c>
      <c r="B413" t="s">
        <v>151</v>
      </c>
      <c r="C413" t="str">
        <f t="shared" si="9"/>
        <v>0490011</v>
      </c>
      <c r="D413" t="s">
        <v>562</v>
      </c>
      <c r="E413" t="str">
        <f>"0491811"</f>
        <v>0491811</v>
      </c>
      <c r="F413" t="s">
        <v>328</v>
      </c>
      <c r="G413" t="s">
        <v>339</v>
      </c>
      <c r="H413">
        <v>2</v>
      </c>
      <c r="I413" t="s">
        <v>336</v>
      </c>
      <c r="J413" t="s">
        <v>331</v>
      </c>
      <c r="K413">
        <v>69.956232</v>
      </c>
      <c r="L413">
        <v>100</v>
      </c>
      <c r="M413">
        <v>69.956232</v>
      </c>
      <c r="N413" t="s">
        <v>125</v>
      </c>
      <c r="O413" t="s">
        <v>125</v>
      </c>
      <c r="P413" t="s">
        <v>125</v>
      </c>
      <c r="Q413" t="s">
        <v>125</v>
      </c>
      <c r="R413" t="s">
        <v>125</v>
      </c>
      <c r="S413" t="s">
        <v>125</v>
      </c>
      <c r="T413" t="s">
        <v>125</v>
      </c>
      <c r="U413" t="s">
        <v>125</v>
      </c>
      <c r="V413" t="s">
        <v>125</v>
      </c>
      <c r="W413" t="s">
        <v>125</v>
      </c>
      <c r="X413" t="s">
        <v>125</v>
      </c>
      <c r="Y413" t="s">
        <v>125</v>
      </c>
      <c r="Z413" t="s">
        <v>125</v>
      </c>
      <c r="AA413" t="s">
        <v>125</v>
      </c>
      <c r="AB413" t="s">
        <v>125</v>
      </c>
      <c r="AC413" t="s">
        <v>125</v>
      </c>
      <c r="AD413" t="s">
        <v>125</v>
      </c>
      <c r="AE413" t="s">
        <v>125</v>
      </c>
      <c r="AF413" t="s">
        <v>125</v>
      </c>
      <c r="AG413" t="s">
        <v>125</v>
      </c>
      <c r="AH413" t="s">
        <v>125</v>
      </c>
      <c r="AI413" t="s">
        <v>125</v>
      </c>
      <c r="AJ413" t="s">
        <v>125</v>
      </c>
      <c r="AK413" t="s">
        <v>125</v>
      </c>
      <c r="AL413" t="s">
        <v>125</v>
      </c>
      <c r="AM413" t="s">
        <v>125</v>
      </c>
      <c r="AN413" t="s">
        <v>125</v>
      </c>
      <c r="AO413" t="s">
        <v>125</v>
      </c>
      <c r="AP413" t="s">
        <v>125</v>
      </c>
      <c r="AQ413" t="s">
        <v>125</v>
      </c>
      <c r="AR413" t="s">
        <v>125</v>
      </c>
      <c r="AS413" t="s">
        <v>125</v>
      </c>
      <c r="AT413" t="s">
        <v>125</v>
      </c>
      <c r="AU413" t="s">
        <v>125</v>
      </c>
      <c r="AV413" t="s">
        <v>125</v>
      </c>
      <c r="AW413" t="s">
        <v>125</v>
      </c>
      <c r="AX413" t="s">
        <v>125</v>
      </c>
      <c r="AY413" t="s">
        <v>125</v>
      </c>
      <c r="AZ413" t="s">
        <v>125</v>
      </c>
      <c r="BA413" t="s">
        <v>125</v>
      </c>
      <c r="BB413" t="s">
        <v>125</v>
      </c>
      <c r="BC413" t="s">
        <v>125</v>
      </c>
      <c r="BD413" t="s">
        <v>125</v>
      </c>
      <c r="BE413" t="s">
        <v>125</v>
      </c>
      <c r="BF413" t="s">
        <v>125</v>
      </c>
      <c r="BG413" t="s">
        <v>125</v>
      </c>
      <c r="BH413" t="s">
        <v>125</v>
      </c>
      <c r="BI413" t="s">
        <v>125</v>
      </c>
      <c r="BJ413" t="s">
        <v>125</v>
      </c>
      <c r="BK413" t="s">
        <v>125</v>
      </c>
      <c r="BL413" t="s">
        <v>125</v>
      </c>
      <c r="BM413" t="s">
        <v>125</v>
      </c>
      <c r="BN413" t="s">
        <v>125</v>
      </c>
      <c r="BO413" t="s">
        <v>125</v>
      </c>
      <c r="BP413" t="s">
        <v>125</v>
      </c>
      <c r="BQ413" t="s">
        <v>125</v>
      </c>
      <c r="BR413">
        <v>9.8958000000000004E-2</v>
      </c>
      <c r="BS413">
        <v>40.208333000000003</v>
      </c>
      <c r="BT413">
        <v>50</v>
      </c>
      <c r="BU413">
        <v>0.15126100000000001</v>
      </c>
      <c r="BV413">
        <v>29.747899</v>
      </c>
      <c r="BW413">
        <v>50</v>
      </c>
      <c r="BX413" t="s">
        <v>125</v>
      </c>
      <c r="BY413" t="s">
        <v>125</v>
      </c>
      <c r="BZ413" t="s">
        <v>125</v>
      </c>
      <c r="CA413" t="s">
        <v>125</v>
      </c>
      <c r="CB413" t="s">
        <v>125</v>
      </c>
      <c r="CC413" t="s">
        <v>125</v>
      </c>
      <c r="CD413" t="s">
        <v>125</v>
      </c>
      <c r="CE413" t="s">
        <v>125</v>
      </c>
      <c r="CF413" t="s">
        <v>125</v>
      </c>
      <c r="CG413" t="s">
        <v>125</v>
      </c>
      <c r="CH413" t="s">
        <v>125</v>
      </c>
      <c r="CI413" t="s">
        <v>125</v>
      </c>
      <c r="CJ413" t="s">
        <v>125</v>
      </c>
      <c r="CK413" t="s">
        <v>125</v>
      </c>
      <c r="CL413" t="s">
        <v>125</v>
      </c>
      <c r="CM413" t="s">
        <v>125</v>
      </c>
      <c r="CN413" t="s">
        <v>125</v>
      </c>
      <c r="CO413" t="s">
        <v>125</v>
      </c>
      <c r="CP413" t="s">
        <v>125</v>
      </c>
      <c r="CQ413" t="s">
        <v>125</v>
      </c>
      <c r="CR413" t="s">
        <v>125</v>
      </c>
      <c r="CS413" t="s">
        <v>125</v>
      </c>
      <c r="CT413" t="s">
        <v>125</v>
      </c>
      <c r="CU413" t="s">
        <v>125</v>
      </c>
      <c r="CV413" t="s">
        <v>125</v>
      </c>
      <c r="CW413" t="s">
        <v>125</v>
      </c>
      <c r="CX413" t="s">
        <v>125</v>
      </c>
      <c r="CY413" t="s">
        <v>125</v>
      </c>
      <c r="CZ413" t="s">
        <v>125</v>
      </c>
      <c r="DA413" t="s">
        <v>125</v>
      </c>
      <c r="DB413" t="s">
        <v>125</v>
      </c>
      <c r="DC413" t="s">
        <v>125</v>
      </c>
      <c r="DD413" t="s">
        <v>125</v>
      </c>
      <c r="DE413" t="s">
        <v>125</v>
      </c>
      <c r="DJ413" t="s">
        <v>125</v>
      </c>
      <c r="DK413" t="s">
        <v>125</v>
      </c>
      <c r="DL413" t="s">
        <v>125</v>
      </c>
      <c r="DM413" t="s">
        <v>125</v>
      </c>
      <c r="DN413" t="s">
        <v>125</v>
      </c>
      <c r="DO413" t="s">
        <v>125</v>
      </c>
      <c r="DQ413" t="s">
        <v>126</v>
      </c>
    </row>
    <row r="414" spans="1:121" x14ac:dyDescent="0.15">
      <c r="A414">
        <v>2018</v>
      </c>
      <c r="B414" t="s">
        <v>151</v>
      </c>
      <c r="C414" t="str">
        <f t="shared" si="9"/>
        <v>0490011</v>
      </c>
      <c r="D414" t="s">
        <v>563</v>
      </c>
      <c r="E414" t="str">
        <f>"0495211"</f>
        <v>0495211</v>
      </c>
      <c r="F414" t="s">
        <v>328</v>
      </c>
      <c r="G414">
        <v>6</v>
      </c>
      <c r="H414">
        <v>8</v>
      </c>
      <c r="J414" t="s">
        <v>331</v>
      </c>
      <c r="K414">
        <v>571.54028100000005</v>
      </c>
      <c r="L414">
        <v>900</v>
      </c>
      <c r="M414">
        <v>63.504475999999997</v>
      </c>
      <c r="N414">
        <v>3</v>
      </c>
      <c r="O414">
        <v>0</v>
      </c>
      <c r="P414">
        <v>63.307212</v>
      </c>
      <c r="Q414">
        <v>42.204808</v>
      </c>
      <c r="R414">
        <v>50</v>
      </c>
      <c r="S414">
        <v>57.081057999999999</v>
      </c>
      <c r="T414">
        <v>70.375377999999998</v>
      </c>
      <c r="U414">
        <v>38.054039000000003</v>
      </c>
      <c r="V414">
        <v>50</v>
      </c>
      <c r="W414">
        <v>55.383764999999997</v>
      </c>
      <c r="X414">
        <v>36.922510000000003</v>
      </c>
      <c r="Y414">
        <v>50</v>
      </c>
      <c r="Z414">
        <v>62.041404</v>
      </c>
      <c r="AA414">
        <v>49.513345999999999</v>
      </c>
      <c r="AB414">
        <v>33.008896999999997</v>
      </c>
      <c r="AC414">
        <v>50</v>
      </c>
      <c r="AD414">
        <v>64.692301</v>
      </c>
      <c r="AE414">
        <v>43.128200999999997</v>
      </c>
      <c r="AF414">
        <v>50</v>
      </c>
      <c r="AG414">
        <v>58.85</v>
      </c>
      <c r="AH414">
        <v>70.809893000000002</v>
      </c>
      <c r="AI414">
        <v>39.233333000000002</v>
      </c>
      <c r="AJ414">
        <v>50</v>
      </c>
      <c r="AK414">
        <v>13.29</v>
      </c>
      <c r="AL414">
        <v>12.52</v>
      </c>
      <c r="AM414">
        <v>11.95</v>
      </c>
      <c r="AN414">
        <v>0.49692500000000001</v>
      </c>
      <c r="AO414">
        <v>49.692545000000003</v>
      </c>
      <c r="AP414">
        <v>100</v>
      </c>
      <c r="AQ414">
        <v>0.46152799999999999</v>
      </c>
      <c r="AR414">
        <v>46.152828999999997</v>
      </c>
      <c r="AS414">
        <v>100</v>
      </c>
      <c r="AT414">
        <v>0.48304999999999998</v>
      </c>
      <c r="AU414">
        <v>0.51174399999999998</v>
      </c>
      <c r="AV414">
        <v>48.305028</v>
      </c>
      <c r="AW414">
        <v>100</v>
      </c>
      <c r="AX414">
        <v>0.45363300000000001</v>
      </c>
      <c r="AY414">
        <v>0.469916</v>
      </c>
      <c r="AZ414">
        <v>45.363308000000004</v>
      </c>
      <c r="BA414">
        <v>100</v>
      </c>
      <c r="BB414" t="s">
        <v>125</v>
      </c>
      <c r="BC414" t="s">
        <v>125</v>
      </c>
      <c r="BD414" t="s">
        <v>125</v>
      </c>
      <c r="BE414" t="s">
        <v>125</v>
      </c>
      <c r="BF414" t="s">
        <v>125</v>
      </c>
      <c r="BG414" t="s">
        <v>125</v>
      </c>
      <c r="BH414">
        <v>0</v>
      </c>
      <c r="BI414">
        <v>0.99740899999999999</v>
      </c>
      <c r="BJ414">
        <v>1</v>
      </c>
      <c r="BK414">
        <v>0.99438199999999999</v>
      </c>
      <c r="BL414">
        <v>0.99652200000000002</v>
      </c>
      <c r="BM414">
        <v>0.99838400000000005</v>
      </c>
      <c r="BN414">
        <v>0.99434999999999996</v>
      </c>
      <c r="BO414">
        <v>1</v>
      </c>
      <c r="BP414">
        <v>1</v>
      </c>
      <c r="BQ414">
        <v>1</v>
      </c>
      <c r="BR414">
        <v>8.4495000000000001E-2</v>
      </c>
      <c r="BS414">
        <v>43.101044999999999</v>
      </c>
      <c r="BT414">
        <v>50</v>
      </c>
      <c r="BU414">
        <v>0.13606599999999999</v>
      </c>
      <c r="BV414">
        <v>32.786884999999998</v>
      </c>
      <c r="BW414">
        <v>50</v>
      </c>
      <c r="BX414" t="s">
        <v>125</v>
      </c>
      <c r="BY414" t="s">
        <v>125</v>
      </c>
      <c r="BZ414" t="s">
        <v>125</v>
      </c>
      <c r="CA414" t="s">
        <v>125</v>
      </c>
      <c r="CB414" t="s">
        <v>125</v>
      </c>
      <c r="CC414" t="s">
        <v>125</v>
      </c>
      <c r="CD414">
        <v>0.91343300000000005</v>
      </c>
      <c r="CE414">
        <v>48.586852999999998</v>
      </c>
      <c r="CF414">
        <v>50</v>
      </c>
      <c r="CG414" t="s">
        <v>125</v>
      </c>
      <c r="CH414" t="s">
        <v>125</v>
      </c>
      <c r="CI414" t="s">
        <v>125</v>
      </c>
      <c r="CJ414" t="s">
        <v>125</v>
      </c>
      <c r="CK414" t="s">
        <v>125</v>
      </c>
      <c r="CL414" t="s">
        <v>125</v>
      </c>
      <c r="CM414" t="s">
        <v>125</v>
      </c>
      <c r="CN414" t="s">
        <v>125</v>
      </c>
      <c r="CO414" t="s">
        <v>125</v>
      </c>
      <c r="CP414" t="s">
        <v>125</v>
      </c>
      <c r="CQ414">
        <v>0.77031799999999995</v>
      </c>
      <c r="CR414">
        <v>0.73316099999999995</v>
      </c>
      <c r="CS414">
        <v>25</v>
      </c>
      <c r="CT414">
        <v>50</v>
      </c>
      <c r="CU414" t="s">
        <v>125</v>
      </c>
      <c r="CV414" t="s">
        <v>125</v>
      </c>
      <c r="CW414" t="s">
        <v>125</v>
      </c>
      <c r="CX414" t="s">
        <v>125</v>
      </c>
      <c r="CY414" t="s">
        <v>125</v>
      </c>
      <c r="CZ414" t="s">
        <v>125</v>
      </c>
      <c r="DA414">
        <v>15.314097</v>
      </c>
      <c r="DB414">
        <v>17.400950000000002</v>
      </c>
      <c r="DC414">
        <v>16.332519999999999</v>
      </c>
      <c r="DD414" t="s">
        <v>125</v>
      </c>
      <c r="DE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Q414" t="s">
        <v>126</v>
      </c>
    </row>
    <row r="415" spans="1:121" x14ac:dyDescent="0.15">
      <c r="A415">
        <v>2018</v>
      </c>
      <c r="B415" t="s">
        <v>151</v>
      </c>
      <c r="C415" t="str">
        <f t="shared" si="9"/>
        <v>0490011</v>
      </c>
      <c r="D415" t="s">
        <v>564</v>
      </c>
      <c r="E415" t="str">
        <f>"0491511"</f>
        <v>0491511</v>
      </c>
      <c r="F415" t="s">
        <v>328</v>
      </c>
      <c r="G415">
        <v>3</v>
      </c>
      <c r="H415">
        <v>5</v>
      </c>
      <c r="I415" t="s">
        <v>336</v>
      </c>
      <c r="J415" t="s">
        <v>331</v>
      </c>
      <c r="K415">
        <v>578.48333300000002</v>
      </c>
      <c r="L415">
        <v>850</v>
      </c>
      <c r="M415">
        <v>68.056863000000007</v>
      </c>
      <c r="N415">
        <v>3</v>
      </c>
      <c r="O415">
        <v>0</v>
      </c>
      <c r="P415">
        <v>68.176873000000001</v>
      </c>
      <c r="Q415">
        <v>45.451248999999997</v>
      </c>
      <c r="R415">
        <v>50</v>
      </c>
      <c r="S415">
        <v>63.108375000000002</v>
      </c>
      <c r="T415">
        <v>75</v>
      </c>
      <c r="U415">
        <v>42.072249999999997</v>
      </c>
      <c r="V415">
        <v>50</v>
      </c>
      <c r="W415">
        <v>64.023112999999995</v>
      </c>
      <c r="X415">
        <v>42.682076000000002</v>
      </c>
      <c r="Y415">
        <v>50</v>
      </c>
      <c r="Z415">
        <v>71.433721000000006</v>
      </c>
      <c r="AA415">
        <v>58.606391000000002</v>
      </c>
      <c r="AB415">
        <v>39.070928000000002</v>
      </c>
      <c r="AC415">
        <v>50</v>
      </c>
      <c r="AD415">
        <v>63.767612999999997</v>
      </c>
      <c r="AE415">
        <v>42.511741999999998</v>
      </c>
      <c r="AF415">
        <v>50</v>
      </c>
      <c r="AG415">
        <v>59.979681999999997</v>
      </c>
      <c r="AH415">
        <v>69.844086000000004</v>
      </c>
      <c r="AI415">
        <v>39.986454000000002</v>
      </c>
      <c r="AJ415">
        <v>50</v>
      </c>
      <c r="AK415">
        <v>11.89</v>
      </c>
      <c r="AL415">
        <v>12.82</v>
      </c>
      <c r="AM415">
        <v>9.86</v>
      </c>
      <c r="AN415">
        <v>0.564141</v>
      </c>
      <c r="AO415">
        <v>56.414093999999999</v>
      </c>
      <c r="AP415">
        <v>100</v>
      </c>
      <c r="AQ415">
        <v>0.55852999999999997</v>
      </c>
      <c r="AR415">
        <v>55.853031999999999</v>
      </c>
      <c r="AS415">
        <v>100</v>
      </c>
      <c r="AT415">
        <v>0.52558400000000005</v>
      </c>
      <c r="AU415">
        <v>0.613147</v>
      </c>
      <c r="AV415">
        <v>52.558433000000001</v>
      </c>
      <c r="AW415">
        <v>100</v>
      </c>
      <c r="AX415">
        <v>0.52170300000000003</v>
      </c>
      <c r="AY415">
        <v>0.60533899999999996</v>
      </c>
      <c r="AZ415">
        <v>52.170276999999999</v>
      </c>
      <c r="BA415">
        <v>100</v>
      </c>
      <c r="BB415" t="s">
        <v>125</v>
      </c>
      <c r="BC415" t="s">
        <v>125</v>
      </c>
      <c r="BD415" t="s">
        <v>125</v>
      </c>
      <c r="BE415" t="s">
        <v>125</v>
      </c>
      <c r="BF415" t="s">
        <v>125</v>
      </c>
      <c r="BG415" t="s">
        <v>125</v>
      </c>
      <c r="BH415">
        <v>0</v>
      </c>
      <c r="BI415">
        <v>0.99754900000000002</v>
      </c>
      <c r="BJ415">
        <v>1</v>
      </c>
      <c r="BK415">
        <v>0.99393900000000002</v>
      </c>
      <c r="BL415">
        <v>0.99754900000000002</v>
      </c>
      <c r="BM415">
        <v>1</v>
      </c>
      <c r="BN415">
        <v>0.99393900000000002</v>
      </c>
      <c r="BO415">
        <v>1</v>
      </c>
      <c r="BP415">
        <v>1</v>
      </c>
      <c r="BQ415">
        <v>1</v>
      </c>
      <c r="BR415">
        <v>9.3595999999999999E-2</v>
      </c>
      <c r="BS415">
        <v>41.280788000000001</v>
      </c>
      <c r="BT415">
        <v>50</v>
      </c>
      <c r="BU415">
        <v>0.131356</v>
      </c>
      <c r="BV415">
        <v>33.728814</v>
      </c>
      <c r="BW415">
        <v>50</v>
      </c>
      <c r="BX415" t="s">
        <v>125</v>
      </c>
      <c r="BY415" t="s">
        <v>125</v>
      </c>
      <c r="BZ415" t="s">
        <v>125</v>
      </c>
      <c r="CA415" t="s">
        <v>125</v>
      </c>
      <c r="CB415" t="s">
        <v>125</v>
      </c>
      <c r="CC415" t="s">
        <v>125</v>
      </c>
      <c r="CD415" t="s">
        <v>125</v>
      </c>
      <c r="CE415" t="s">
        <v>125</v>
      </c>
      <c r="CF415" t="s">
        <v>125</v>
      </c>
      <c r="CG415" t="s">
        <v>125</v>
      </c>
      <c r="CH415" t="s">
        <v>125</v>
      </c>
      <c r="CI415" t="s">
        <v>125</v>
      </c>
      <c r="CJ415" t="s">
        <v>125</v>
      </c>
      <c r="CK415" t="s">
        <v>125</v>
      </c>
      <c r="CL415" t="s">
        <v>125</v>
      </c>
      <c r="CM415" t="s">
        <v>125</v>
      </c>
      <c r="CN415" t="s">
        <v>125</v>
      </c>
      <c r="CO415" t="s">
        <v>125</v>
      </c>
      <c r="CP415" t="s">
        <v>125</v>
      </c>
      <c r="CQ415">
        <v>0.52054800000000001</v>
      </c>
      <c r="CR415">
        <v>1.035461</v>
      </c>
      <c r="CS415">
        <v>34.703195999999998</v>
      </c>
      <c r="CT415">
        <v>50</v>
      </c>
      <c r="CU415" t="s">
        <v>125</v>
      </c>
      <c r="CV415" t="s">
        <v>125</v>
      </c>
      <c r="CW415" t="s">
        <v>125</v>
      </c>
      <c r="CX415" t="s">
        <v>125</v>
      </c>
      <c r="CY415" t="s">
        <v>125</v>
      </c>
      <c r="CZ415" t="s">
        <v>125</v>
      </c>
      <c r="DA415">
        <v>15.314097</v>
      </c>
      <c r="DB415">
        <v>17.400950000000002</v>
      </c>
      <c r="DC415">
        <v>16.332519999999999</v>
      </c>
      <c r="DD415" t="s">
        <v>125</v>
      </c>
      <c r="DE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Q415" t="s">
        <v>126</v>
      </c>
    </row>
    <row r="416" spans="1:121" x14ac:dyDescent="0.15">
      <c r="A416">
        <v>2018</v>
      </c>
      <c r="B416" t="s">
        <v>240</v>
      </c>
      <c r="C416" t="str">
        <f>"0500011"</f>
        <v>0500011</v>
      </c>
      <c r="D416" t="s">
        <v>565</v>
      </c>
      <c r="E416" t="str">
        <f>"0500111"</f>
        <v>0500111</v>
      </c>
      <c r="F416" t="s">
        <v>328</v>
      </c>
      <c r="G416" t="s">
        <v>329</v>
      </c>
      <c r="H416">
        <v>6</v>
      </c>
      <c r="I416" t="s">
        <v>330</v>
      </c>
      <c r="J416" t="s">
        <v>331</v>
      </c>
      <c r="K416">
        <v>784.43892000000005</v>
      </c>
      <c r="L416">
        <v>850</v>
      </c>
      <c r="M416">
        <v>92.286931999999993</v>
      </c>
      <c r="N416">
        <v>1</v>
      </c>
      <c r="O416">
        <v>0</v>
      </c>
      <c r="P416">
        <v>83.452167000000003</v>
      </c>
      <c r="Q416">
        <v>50</v>
      </c>
      <c r="R416">
        <v>50</v>
      </c>
      <c r="S416">
        <v>72.571074999999993</v>
      </c>
      <c r="T416">
        <v>75</v>
      </c>
      <c r="U416">
        <v>48.380716999999997</v>
      </c>
      <c r="V416">
        <v>50</v>
      </c>
      <c r="W416">
        <v>78.554648</v>
      </c>
      <c r="X416">
        <v>50</v>
      </c>
      <c r="Y416">
        <v>50</v>
      </c>
      <c r="Z416">
        <v>75</v>
      </c>
      <c r="AA416">
        <v>68.641379999999998</v>
      </c>
      <c r="AB416">
        <v>45.760919999999999</v>
      </c>
      <c r="AC416">
        <v>50</v>
      </c>
      <c r="AD416">
        <v>80.359702999999996</v>
      </c>
      <c r="AE416">
        <v>50</v>
      </c>
      <c r="AF416">
        <v>50</v>
      </c>
      <c r="AG416">
        <v>75.248947999999999</v>
      </c>
      <c r="AH416">
        <v>75</v>
      </c>
      <c r="AI416">
        <v>50</v>
      </c>
      <c r="AJ416">
        <v>50</v>
      </c>
      <c r="AK416">
        <v>2.42</v>
      </c>
      <c r="AL416">
        <v>6.35</v>
      </c>
      <c r="AM416">
        <v>-0.24</v>
      </c>
      <c r="AN416">
        <v>0.85273500000000002</v>
      </c>
      <c r="AO416">
        <v>85.273488999999998</v>
      </c>
      <c r="AP416">
        <v>100</v>
      </c>
      <c r="AQ416">
        <v>0.91019399999999995</v>
      </c>
      <c r="AR416">
        <v>91.019357999999997</v>
      </c>
      <c r="AS416">
        <v>100</v>
      </c>
      <c r="AT416">
        <v>0.85561699999999996</v>
      </c>
      <c r="AU416">
        <v>0.85162400000000005</v>
      </c>
      <c r="AV416">
        <v>85.561722000000003</v>
      </c>
      <c r="AW416">
        <v>100</v>
      </c>
      <c r="AX416">
        <v>0.85109400000000002</v>
      </c>
      <c r="AY416">
        <v>0.93297200000000002</v>
      </c>
      <c r="AZ416">
        <v>85.109380999999999</v>
      </c>
      <c r="BA416">
        <v>100</v>
      </c>
      <c r="BB416" t="s">
        <v>125</v>
      </c>
      <c r="BC416" t="s">
        <v>125</v>
      </c>
      <c r="BD416" t="s">
        <v>125</v>
      </c>
      <c r="BE416" t="s">
        <v>125</v>
      </c>
      <c r="BF416" t="s">
        <v>125</v>
      </c>
      <c r="BG416" t="s">
        <v>125</v>
      </c>
      <c r="BH416">
        <v>0</v>
      </c>
      <c r="BI416">
        <v>0.96858599999999995</v>
      </c>
      <c r="BJ416">
        <v>0.96666700000000005</v>
      </c>
      <c r="BK416">
        <v>0.96946600000000005</v>
      </c>
      <c r="BL416">
        <v>0.96858599999999995</v>
      </c>
      <c r="BM416">
        <v>0.96666700000000005</v>
      </c>
      <c r="BN416">
        <v>0.96946600000000005</v>
      </c>
      <c r="BO416">
        <v>0.984375</v>
      </c>
      <c r="BP416">
        <v>1</v>
      </c>
      <c r="BQ416">
        <v>0.97560999999999998</v>
      </c>
      <c r="BR416">
        <v>3.9867E-2</v>
      </c>
      <c r="BS416">
        <v>50</v>
      </c>
      <c r="BT416">
        <v>50</v>
      </c>
      <c r="BU416">
        <v>2.2221999999999999E-2</v>
      </c>
      <c r="BV416">
        <v>50</v>
      </c>
      <c r="BW416">
        <v>50</v>
      </c>
      <c r="BX416" t="s">
        <v>125</v>
      </c>
      <c r="BY416" t="s">
        <v>125</v>
      </c>
      <c r="BZ416" t="s">
        <v>125</v>
      </c>
      <c r="CA416" t="s">
        <v>125</v>
      </c>
      <c r="CB416" t="s">
        <v>125</v>
      </c>
      <c r="CC416" t="s">
        <v>125</v>
      </c>
      <c r="CD416" t="s">
        <v>125</v>
      </c>
      <c r="CE416" t="s">
        <v>125</v>
      </c>
      <c r="CF416" t="s">
        <v>125</v>
      </c>
      <c r="CG416" t="s">
        <v>125</v>
      </c>
      <c r="CH416" t="s">
        <v>125</v>
      </c>
      <c r="CI416" t="s">
        <v>125</v>
      </c>
      <c r="CJ416" t="s">
        <v>125</v>
      </c>
      <c r="CK416" t="s">
        <v>125</v>
      </c>
      <c r="CL416" t="s">
        <v>125</v>
      </c>
      <c r="CM416" t="s">
        <v>125</v>
      </c>
      <c r="CN416" t="s">
        <v>125</v>
      </c>
      <c r="CO416" t="s">
        <v>125</v>
      </c>
      <c r="CP416" t="s">
        <v>125</v>
      </c>
      <c r="CQ416">
        <v>0.65</v>
      </c>
      <c r="CR416">
        <v>0.96385500000000002</v>
      </c>
      <c r="CS416">
        <v>43.333333000000003</v>
      </c>
      <c r="CT416">
        <v>50</v>
      </c>
      <c r="CU416" t="s">
        <v>125</v>
      </c>
      <c r="CV416" t="s">
        <v>125</v>
      </c>
      <c r="CW416" t="s">
        <v>125</v>
      </c>
      <c r="CX416" t="s">
        <v>125</v>
      </c>
      <c r="CY416" t="s">
        <v>125</v>
      </c>
      <c r="CZ416" t="s">
        <v>125</v>
      </c>
      <c r="DA416">
        <v>15.314097</v>
      </c>
      <c r="DB416">
        <v>17.400950000000002</v>
      </c>
      <c r="DC416">
        <v>16.332519999999999</v>
      </c>
      <c r="DD416" t="s">
        <v>125</v>
      </c>
      <c r="DE416">
        <v>0</v>
      </c>
      <c r="DH416" t="s">
        <v>332</v>
      </c>
      <c r="DI416" t="s">
        <v>333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0</v>
      </c>
      <c r="DQ416" t="s">
        <v>126</v>
      </c>
    </row>
    <row r="417" spans="1:121" x14ac:dyDescent="0.15">
      <c r="A417">
        <v>2018</v>
      </c>
      <c r="B417" t="s">
        <v>210</v>
      </c>
      <c r="C417" t="str">
        <f t="shared" ref="C417:C432" si="10">"0510011"</f>
        <v>0510011</v>
      </c>
      <c r="D417" t="s">
        <v>566</v>
      </c>
      <c r="E417" t="str">
        <f>"0510211"</f>
        <v>0510211</v>
      </c>
      <c r="F417" t="s">
        <v>328</v>
      </c>
      <c r="G417" t="s">
        <v>329</v>
      </c>
      <c r="H417">
        <v>5</v>
      </c>
      <c r="J417" t="s">
        <v>331</v>
      </c>
      <c r="K417">
        <v>680.390984</v>
      </c>
      <c r="L417">
        <v>800</v>
      </c>
      <c r="M417">
        <v>85.048873</v>
      </c>
      <c r="N417">
        <v>1</v>
      </c>
      <c r="O417">
        <v>0</v>
      </c>
      <c r="P417">
        <v>83.174110999999996</v>
      </c>
      <c r="Q417">
        <v>50</v>
      </c>
      <c r="R417">
        <v>50</v>
      </c>
      <c r="S417">
        <v>68.938244999999995</v>
      </c>
      <c r="T417">
        <v>75</v>
      </c>
      <c r="U417">
        <v>45.958829999999999</v>
      </c>
      <c r="V417">
        <v>50</v>
      </c>
      <c r="W417">
        <v>79.463976000000002</v>
      </c>
      <c r="X417">
        <v>50</v>
      </c>
      <c r="Y417">
        <v>50</v>
      </c>
      <c r="Z417">
        <v>75</v>
      </c>
      <c r="AA417">
        <v>67.736197000000004</v>
      </c>
      <c r="AB417">
        <v>45.157465000000002</v>
      </c>
      <c r="AC417">
        <v>50</v>
      </c>
      <c r="AD417">
        <v>75.725578999999996</v>
      </c>
      <c r="AE417">
        <v>50</v>
      </c>
      <c r="AF417">
        <v>50</v>
      </c>
      <c r="AG417" t="s">
        <v>125</v>
      </c>
      <c r="AH417">
        <v>75</v>
      </c>
      <c r="AI417" t="s">
        <v>125</v>
      </c>
      <c r="AJ417" t="s">
        <v>125</v>
      </c>
      <c r="AK417">
        <v>6.06</v>
      </c>
      <c r="AL417">
        <v>7.26</v>
      </c>
      <c r="AM417" t="s">
        <v>125</v>
      </c>
      <c r="AN417">
        <v>0.797238</v>
      </c>
      <c r="AO417">
        <v>79.723817999999994</v>
      </c>
      <c r="AP417">
        <v>100</v>
      </c>
      <c r="AQ417">
        <v>0.79187300000000005</v>
      </c>
      <c r="AR417">
        <v>79.187298999999996</v>
      </c>
      <c r="AS417">
        <v>100</v>
      </c>
      <c r="AT417">
        <v>0.67043799999999998</v>
      </c>
      <c r="AU417">
        <v>0.83253299999999997</v>
      </c>
      <c r="AV417">
        <v>67.043841</v>
      </c>
      <c r="AW417">
        <v>100</v>
      </c>
      <c r="AX417">
        <v>0.89110100000000003</v>
      </c>
      <c r="AY417">
        <v>0.76425299999999996</v>
      </c>
      <c r="AZ417">
        <v>89.110052999999994</v>
      </c>
      <c r="BA417">
        <v>100</v>
      </c>
      <c r="BB417" t="s">
        <v>125</v>
      </c>
      <c r="BC417" t="s">
        <v>125</v>
      </c>
      <c r="BD417" t="s">
        <v>125</v>
      </c>
      <c r="BE417" t="s">
        <v>125</v>
      </c>
      <c r="BF417" t="s">
        <v>125</v>
      </c>
      <c r="BG417" t="s">
        <v>125</v>
      </c>
      <c r="BH417">
        <v>0</v>
      </c>
      <c r="BI417">
        <v>0.98989899999999997</v>
      </c>
      <c r="BJ417">
        <v>1</v>
      </c>
      <c r="BK417">
        <v>0.98726100000000006</v>
      </c>
      <c r="BL417">
        <v>0.98989899999999997</v>
      </c>
      <c r="BM417">
        <v>1</v>
      </c>
      <c r="BN417">
        <v>0.98726100000000006</v>
      </c>
      <c r="BO417">
        <v>0.98611099999999996</v>
      </c>
      <c r="BP417" t="s">
        <v>125</v>
      </c>
      <c r="BQ417">
        <v>0.98305100000000001</v>
      </c>
      <c r="BR417">
        <v>7.4935000000000002E-2</v>
      </c>
      <c r="BS417">
        <v>45.012920000000001</v>
      </c>
      <c r="BT417">
        <v>50</v>
      </c>
      <c r="BU417">
        <v>0.14130400000000001</v>
      </c>
      <c r="BV417">
        <v>31.739129999999999</v>
      </c>
      <c r="BW417">
        <v>50</v>
      </c>
      <c r="BX417" t="s">
        <v>125</v>
      </c>
      <c r="BY417" t="s">
        <v>125</v>
      </c>
      <c r="BZ417" t="s">
        <v>125</v>
      </c>
      <c r="CA417" t="s">
        <v>125</v>
      </c>
      <c r="CB417" t="s">
        <v>125</v>
      </c>
      <c r="CC417" t="s">
        <v>125</v>
      </c>
      <c r="CD417" t="s">
        <v>125</v>
      </c>
      <c r="CE417" t="s">
        <v>125</v>
      </c>
      <c r="CF417" t="s">
        <v>125</v>
      </c>
      <c r="CG417" t="s">
        <v>125</v>
      </c>
      <c r="CH417" t="s">
        <v>125</v>
      </c>
      <c r="CI417" t="s">
        <v>125</v>
      </c>
      <c r="CJ417" t="s">
        <v>125</v>
      </c>
      <c r="CK417" t="s">
        <v>125</v>
      </c>
      <c r="CL417" t="s">
        <v>125</v>
      </c>
      <c r="CM417" t="s">
        <v>125</v>
      </c>
      <c r="CN417" t="s">
        <v>125</v>
      </c>
      <c r="CO417" t="s">
        <v>125</v>
      </c>
      <c r="CP417" t="s">
        <v>125</v>
      </c>
      <c r="CQ417">
        <v>0.71186400000000005</v>
      </c>
      <c r="CR417">
        <v>0.98333300000000001</v>
      </c>
      <c r="CS417">
        <v>47.457627000000002</v>
      </c>
      <c r="CT417">
        <v>50</v>
      </c>
      <c r="CU417" t="s">
        <v>125</v>
      </c>
      <c r="CV417" t="s">
        <v>125</v>
      </c>
      <c r="CW417" t="s">
        <v>125</v>
      </c>
      <c r="CX417" t="s">
        <v>125</v>
      </c>
      <c r="CY417" t="s">
        <v>125</v>
      </c>
      <c r="CZ417" t="s">
        <v>125</v>
      </c>
      <c r="DA417">
        <v>15.314097</v>
      </c>
      <c r="DB417">
        <v>17.400950000000002</v>
      </c>
      <c r="DC417">
        <v>16.332519999999999</v>
      </c>
      <c r="DD417" t="s">
        <v>125</v>
      </c>
      <c r="DE417">
        <v>0</v>
      </c>
      <c r="DH417" t="s">
        <v>332</v>
      </c>
      <c r="DI417" t="s">
        <v>567</v>
      </c>
      <c r="DJ417">
        <v>0</v>
      </c>
      <c r="DK417">
        <v>1</v>
      </c>
      <c r="DL417">
        <v>0</v>
      </c>
      <c r="DM417">
        <v>0</v>
      </c>
      <c r="DN417">
        <v>1</v>
      </c>
      <c r="DO417">
        <v>0</v>
      </c>
      <c r="DQ417" t="s">
        <v>126</v>
      </c>
    </row>
    <row r="418" spans="1:121" x14ac:dyDescent="0.15">
      <c r="A418">
        <v>2018</v>
      </c>
      <c r="B418" t="s">
        <v>210</v>
      </c>
      <c r="C418" t="str">
        <f t="shared" si="10"/>
        <v>0510011</v>
      </c>
      <c r="D418" t="s">
        <v>568</v>
      </c>
      <c r="E418" t="str">
        <f>"0510111"</f>
        <v>0510111</v>
      </c>
      <c r="F418" t="s">
        <v>328</v>
      </c>
      <c r="G418" t="s">
        <v>339</v>
      </c>
      <c r="H418">
        <v>5</v>
      </c>
      <c r="J418" t="s">
        <v>331</v>
      </c>
      <c r="K418">
        <v>538.03087500000004</v>
      </c>
      <c r="L418">
        <v>600</v>
      </c>
      <c r="M418">
        <v>89.671813</v>
      </c>
      <c r="N418">
        <v>1</v>
      </c>
      <c r="O418">
        <v>0</v>
      </c>
      <c r="P418">
        <v>83.672353999999999</v>
      </c>
      <c r="Q418">
        <v>50</v>
      </c>
      <c r="R418">
        <v>50</v>
      </c>
      <c r="S418">
        <v>72.481581000000006</v>
      </c>
      <c r="T418">
        <v>75</v>
      </c>
      <c r="U418">
        <v>48.321053999999997</v>
      </c>
      <c r="V418">
        <v>50</v>
      </c>
      <c r="W418">
        <v>80.626895000000005</v>
      </c>
      <c r="X418">
        <v>50</v>
      </c>
      <c r="Y418">
        <v>50</v>
      </c>
      <c r="Z418">
        <v>75</v>
      </c>
      <c r="AA418">
        <v>70.810776000000004</v>
      </c>
      <c r="AB418">
        <v>47.207183999999998</v>
      </c>
      <c r="AC418">
        <v>50</v>
      </c>
      <c r="AD418">
        <v>80.303532000000004</v>
      </c>
      <c r="AE418">
        <v>50</v>
      </c>
      <c r="AF418">
        <v>50</v>
      </c>
      <c r="AG418" t="s">
        <v>125</v>
      </c>
      <c r="AH418">
        <v>75</v>
      </c>
      <c r="AI418" t="s">
        <v>125</v>
      </c>
      <c r="AJ418" t="s">
        <v>125</v>
      </c>
      <c r="AK418">
        <v>2.5099999999999998</v>
      </c>
      <c r="AL418">
        <v>4.18</v>
      </c>
      <c r="AM418" t="s">
        <v>125</v>
      </c>
      <c r="AN418">
        <v>0.70774199999999998</v>
      </c>
      <c r="AO418">
        <v>70.774237999999997</v>
      </c>
      <c r="AP418">
        <v>100</v>
      </c>
      <c r="AQ418">
        <v>0.71932499999999999</v>
      </c>
      <c r="AR418">
        <v>71.932480999999996</v>
      </c>
      <c r="AS418">
        <v>100</v>
      </c>
      <c r="AT418" t="s">
        <v>125</v>
      </c>
      <c r="AU418">
        <v>0.71853699999999998</v>
      </c>
      <c r="AV418" t="s">
        <v>125</v>
      </c>
      <c r="AW418" t="s">
        <v>125</v>
      </c>
      <c r="AX418" t="s">
        <v>125</v>
      </c>
      <c r="AY418">
        <v>0.70752000000000004</v>
      </c>
      <c r="AZ418" t="s">
        <v>125</v>
      </c>
      <c r="BA418" t="s">
        <v>125</v>
      </c>
      <c r="BB418" t="s">
        <v>125</v>
      </c>
      <c r="BC418" t="s">
        <v>125</v>
      </c>
      <c r="BD418" t="s">
        <v>125</v>
      </c>
      <c r="BE418" t="s">
        <v>125</v>
      </c>
      <c r="BF418" t="s">
        <v>125</v>
      </c>
      <c r="BG418" t="s">
        <v>125</v>
      </c>
      <c r="BH418">
        <v>0</v>
      </c>
      <c r="BI418">
        <v>0.98809499999999995</v>
      </c>
      <c r="BJ418">
        <v>0.96428599999999998</v>
      </c>
      <c r="BK418">
        <v>0.99285699999999999</v>
      </c>
      <c r="BL418">
        <v>0.98809499999999995</v>
      </c>
      <c r="BM418">
        <v>0.96428599999999998</v>
      </c>
      <c r="BN418">
        <v>0.99285699999999999</v>
      </c>
      <c r="BO418">
        <v>0.98305100000000001</v>
      </c>
      <c r="BP418" t="s">
        <v>125</v>
      </c>
      <c r="BQ418">
        <v>1</v>
      </c>
      <c r="BR418">
        <v>5.1020000000000003E-2</v>
      </c>
      <c r="BS418">
        <v>49.795918</v>
      </c>
      <c r="BT418">
        <v>50</v>
      </c>
      <c r="BU418">
        <v>4.7619000000000002E-2</v>
      </c>
      <c r="BV418">
        <v>50</v>
      </c>
      <c r="BW418">
        <v>50</v>
      </c>
      <c r="BX418" t="s">
        <v>125</v>
      </c>
      <c r="BY418" t="s">
        <v>125</v>
      </c>
      <c r="BZ418" t="s">
        <v>125</v>
      </c>
      <c r="CA418" t="s">
        <v>125</v>
      </c>
      <c r="CB418" t="s">
        <v>125</v>
      </c>
      <c r="CC418" t="s">
        <v>125</v>
      </c>
      <c r="CD418" t="s">
        <v>125</v>
      </c>
      <c r="CE418" t="s">
        <v>125</v>
      </c>
      <c r="CF418" t="s">
        <v>125</v>
      </c>
      <c r="CG418" t="s">
        <v>125</v>
      </c>
      <c r="CH418" t="s">
        <v>125</v>
      </c>
      <c r="CI418" t="s">
        <v>125</v>
      </c>
      <c r="CJ418" t="s">
        <v>125</v>
      </c>
      <c r="CK418" t="s">
        <v>125</v>
      </c>
      <c r="CL418" t="s">
        <v>125</v>
      </c>
      <c r="CM418" t="s">
        <v>125</v>
      </c>
      <c r="CN418" t="s">
        <v>125</v>
      </c>
      <c r="CO418" t="s">
        <v>125</v>
      </c>
      <c r="CP418" t="s">
        <v>125</v>
      </c>
      <c r="CQ418">
        <v>0.83928599999999998</v>
      </c>
      <c r="CR418">
        <v>1</v>
      </c>
      <c r="CS418">
        <v>50</v>
      </c>
      <c r="CT418">
        <v>50</v>
      </c>
      <c r="CU418" t="s">
        <v>125</v>
      </c>
      <c r="CV418" t="s">
        <v>125</v>
      </c>
      <c r="CW418" t="s">
        <v>125</v>
      </c>
      <c r="CX418" t="s">
        <v>125</v>
      </c>
      <c r="CY418" t="s">
        <v>125</v>
      </c>
      <c r="CZ418" t="s">
        <v>125</v>
      </c>
      <c r="DA418">
        <v>15.314097</v>
      </c>
      <c r="DB418">
        <v>17.400950000000002</v>
      </c>
      <c r="DC418">
        <v>16.332519999999999</v>
      </c>
      <c r="DD418" t="s">
        <v>125</v>
      </c>
      <c r="DE418">
        <v>0</v>
      </c>
      <c r="DH418" t="s">
        <v>332</v>
      </c>
      <c r="DI418" t="s">
        <v>333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0</v>
      </c>
      <c r="DQ418" t="s">
        <v>126</v>
      </c>
    </row>
    <row r="419" spans="1:121" x14ac:dyDescent="0.15">
      <c r="A419">
        <v>2018</v>
      </c>
      <c r="B419" t="s">
        <v>210</v>
      </c>
      <c r="C419" t="str">
        <f t="shared" si="10"/>
        <v>0510011</v>
      </c>
      <c r="D419" t="s">
        <v>569</v>
      </c>
      <c r="E419" t="str">
        <f>"0516011"</f>
        <v>0516011</v>
      </c>
      <c r="F419" t="s">
        <v>328</v>
      </c>
      <c r="G419">
        <v>9</v>
      </c>
      <c r="H419">
        <v>12</v>
      </c>
      <c r="J419" t="s">
        <v>331</v>
      </c>
      <c r="K419">
        <v>1286.9512480000001</v>
      </c>
      <c r="L419">
        <v>1450</v>
      </c>
      <c r="M419">
        <v>88.755258999999995</v>
      </c>
      <c r="N419">
        <v>2</v>
      </c>
      <c r="O419">
        <v>1</v>
      </c>
      <c r="P419">
        <v>69.357771999999997</v>
      </c>
      <c r="Q419">
        <v>138.715543</v>
      </c>
      <c r="R419">
        <v>150</v>
      </c>
      <c r="S419">
        <v>56.441595</v>
      </c>
      <c r="T419">
        <v>72.855902999999998</v>
      </c>
      <c r="U419">
        <v>112.883191</v>
      </c>
      <c r="V419">
        <v>150</v>
      </c>
      <c r="W419">
        <v>71.404826999999997</v>
      </c>
      <c r="X419">
        <v>142.80965399999999</v>
      </c>
      <c r="Y419">
        <v>150</v>
      </c>
      <c r="Z419">
        <v>75</v>
      </c>
      <c r="AA419">
        <v>57.938034000000002</v>
      </c>
      <c r="AB419">
        <v>115.876068</v>
      </c>
      <c r="AC419">
        <v>150</v>
      </c>
      <c r="AD419">
        <v>72.117295999999996</v>
      </c>
      <c r="AE419">
        <v>96.156395000000003</v>
      </c>
      <c r="AF419">
        <v>100</v>
      </c>
      <c r="AG419">
        <v>56.491352999999997</v>
      </c>
      <c r="AH419">
        <v>75</v>
      </c>
      <c r="AI419">
        <v>75.321803000000003</v>
      </c>
      <c r="AJ419">
        <v>100</v>
      </c>
      <c r="AK419">
        <v>16.41</v>
      </c>
      <c r="AL419">
        <v>17.059999999999999</v>
      </c>
      <c r="AM419">
        <v>18.5</v>
      </c>
      <c r="AN419" t="s">
        <v>125</v>
      </c>
      <c r="AO419" t="s">
        <v>125</v>
      </c>
      <c r="AP419" t="s">
        <v>125</v>
      </c>
      <c r="AQ419" t="s">
        <v>125</v>
      </c>
      <c r="AR419" t="s">
        <v>125</v>
      </c>
      <c r="AS419" t="s">
        <v>125</v>
      </c>
      <c r="AT419" t="s">
        <v>125</v>
      </c>
      <c r="AU419" t="s">
        <v>125</v>
      </c>
      <c r="AV419" t="s">
        <v>125</v>
      </c>
      <c r="AW419" t="s">
        <v>125</v>
      </c>
      <c r="AX419" t="s">
        <v>125</v>
      </c>
      <c r="AY419" t="s">
        <v>125</v>
      </c>
      <c r="AZ419" t="s">
        <v>125</v>
      </c>
      <c r="BA419" t="s">
        <v>125</v>
      </c>
      <c r="BB419" t="s">
        <v>125</v>
      </c>
      <c r="BC419" t="s">
        <v>125</v>
      </c>
      <c r="BD419" t="s">
        <v>125</v>
      </c>
      <c r="BE419" t="s">
        <v>125</v>
      </c>
      <c r="BF419" t="s">
        <v>125</v>
      </c>
      <c r="BG419" t="s">
        <v>125</v>
      </c>
      <c r="BH419">
        <v>0</v>
      </c>
      <c r="BI419">
        <v>0.99459500000000001</v>
      </c>
      <c r="BJ419">
        <v>0.98734200000000005</v>
      </c>
      <c r="BK419">
        <v>0.99656400000000001</v>
      </c>
      <c r="BL419">
        <v>0.99459500000000001</v>
      </c>
      <c r="BM419">
        <v>0.98734200000000005</v>
      </c>
      <c r="BN419">
        <v>0.99656400000000001</v>
      </c>
      <c r="BO419">
        <v>0.997305</v>
      </c>
      <c r="BP419">
        <v>0.98750000000000004</v>
      </c>
      <c r="BQ419">
        <v>1</v>
      </c>
      <c r="BR419">
        <v>5.6728000000000001E-2</v>
      </c>
      <c r="BS419">
        <v>48.654353999999998</v>
      </c>
      <c r="BT419">
        <v>50</v>
      </c>
      <c r="BU419">
        <v>0.125</v>
      </c>
      <c r="BV419">
        <v>35</v>
      </c>
      <c r="BW419">
        <v>50</v>
      </c>
      <c r="BX419">
        <v>0.98365100000000005</v>
      </c>
      <c r="BY419">
        <v>50</v>
      </c>
      <c r="BZ419">
        <v>50</v>
      </c>
      <c r="CA419">
        <v>0.80517700000000003</v>
      </c>
      <c r="CB419">
        <v>50</v>
      </c>
      <c r="CC419">
        <v>50</v>
      </c>
      <c r="CD419">
        <v>0.96867499999999995</v>
      </c>
      <c r="CE419">
        <v>50</v>
      </c>
      <c r="CF419">
        <v>50</v>
      </c>
      <c r="CG419">
        <v>0.98395699999999997</v>
      </c>
      <c r="CH419">
        <v>100</v>
      </c>
      <c r="CI419">
        <v>100</v>
      </c>
      <c r="CJ419">
        <v>0</v>
      </c>
      <c r="CK419">
        <v>0.984375</v>
      </c>
      <c r="CL419">
        <v>100</v>
      </c>
      <c r="CM419">
        <v>100</v>
      </c>
      <c r="CN419">
        <v>0.86290299999999998</v>
      </c>
      <c r="CO419">
        <v>100</v>
      </c>
      <c r="CP419">
        <v>100</v>
      </c>
      <c r="CQ419">
        <v>0.47604800000000003</v>
      </c>
      <c r="CR419">
        <v>0.91008199999999995</v>
      </c>
      <c r="CS419">
        <v>31.736526999999999</v>
      </c>
      <c r="CT419">
        <v>50</v>
      </c>
      <c r="CU419">
        <v>0.47757300000000003</v>
      </c>
      <c r="CV419">
        <v>39.797713000000002</v>
      </c>
      <c r="CW419">
        <v>50</v>
      </c>
      <c r="CX419">
        <v>0.984375</v>
      </c>
      <c r="CY419">
        <v>0.94</v>
      </c>
      <c r="CZ419">
        <v>-4.4374999999999998E-2</v>
      </c>
      <c r="DA419">
        <v>15.314097</v>
      </c>
      <c r="DB419">
        <v>17.400950000000002</v>
      </c>
      <c r="DC419">
        <v>16.332519999999999</v>
      </c>
      <c r="DD419">
        <v>7.9891730000000001</v>
      </c>
      <c r="DE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Q419" t="s">
        <v>126</v>
      </c>
    </row>
    <row r="420" spans="1:121" x14ac:dyDescent="0.15">
      <c r="A420">
        <v>2018</v>
      </c>
      <c r="B420" t="s">
        <v>210</v>
      </c>
      <c r="C420" t="str">
        <f t="shared" si="10"/>
        <v>0510011</v>
      </c>
      <c r="D420" t="s">
        <v>570</v>
      </c>
      <c r="E420" t="str">
        <f>"0516211"</f>
        <v>0516211</v>
      </c>
      <c r="F420" t="s">
        <v>328</v>
      </c>
      <c r="G420">
        <v>9</v>
      </c>
      <c r="H420">
        <v>12</v>
      </c>
      <c r="J420" t="s">
        <v>331</v>
      </c>
      <c r="K420">
        <v>1312.1744100000001</v>
      </c>
      <c r="L420">
        <v>1550</v>
      </c>
      <c r="M420">
        <v>84.656413999999998</v>
      </c>
      <c r="N420">
        <v>3</v>
      </c>
      <c r="O420">
        <v>1</v>
      </c>
      <c r="P420">
        <v>65.742874999999998</v>
      </c>
      <c r="Q420">
        <v>131.48575099999999</v>
      </c>
      <c r="R420">
        <v>150</v>
      </c>
      <c r="S420">
        <v>53.937198000000002</v>
      </c>
      <c r="T420">
        <v>71.594828000000007</v>
      </c>
      <c r="U420">
        <v>107.874396</v>
      </c>
      <c r="V420">
        <v>150</v>
      </c>
      <c r="W420">
        <v>65.260327000000004</v>
      </c>
      <c r="X420">
        <v>130.52065300000001</v>
      </c>
      <c r="Y420">
        <v>150</v>
      </c>
      <c r="Z420">
        <v>71.460488999999995</v>
      </c>
      <c r="AA420">
        <v>52.752173999999997</v>
      </c>
      <c r="AB420">
        <v>105.50434799999999</v>
      </c>
      <c r="AC420">
        <v>150</v>
      </c>
      <c r="AD420">
        <v>73.325526999999994</v>
      </c>
      <c r="AE420">
        <v>97.76737</v>
      </c>
      <c r="AF420">
        <v>100</v>
      </c>
      <c r="AG420">
        <v>63.112676</v>
      </c>
      <c r="AH420">
        <v>75</v>
      </c>
      <c r="AI420">
        <v>84.150234999999995</v>
      </c>
      <c r="AJ420">
        <v>100</v>
      </c>
      <c r="AK420">
        <v>17.649999999999999</v>
      </c>
      <c r="AL420">
        <v>18.7</v>
      </c>
      <c r="AM420">
        <v>11.88</v>
      </c>
      <c r="AN420" t="s">
        <v>125</v>
      </c>
      <c r="AO420" t="s">
        <v>125</v>
      </c>
      <c r="AP420" t="s">
        <v>125</v>
      </c>
      <c r="AQ420" t="s">
        <v>125</v>
      </c>
      <c r="AR420" t="s">
        <v>125</v>
      </c>
      <c r="AS420" t="s">
        <v>125</v>
      </c>
      <c r="AT420" t="s">
        <v>125</v>
      </c>
      <c r="AU420" t="s">
        <v>125</v>
      </c>
      <c r="AV420" t="s">
        <v>125</v>
      </c>
      <c r="AW420" t="s">
        <v>125</v>
      </c>
      <c r="AX420" t="s">
        <v>125</v>
      </c>
      <c r="AY420" t="s">
        <v>125</v>
      </c>
      <c r="AZ420" t="s">
        <v>125</v>
      </c>
      <c r="BA420" t="s">
        <v>125</v>
      </c>
      <c r="BB420">
        <v>0.58364799999999994</v>
      </c>
      <c r="BC420">
        <v>29.182409</v>
      </c>
      <c r="BD420">
        <v>50</v>
      </c>
      <c r="BE420">
        <v>0.57405399999999995</v>
      </c>
      <c r="BF420">
        <v>28.702717</v>
      </c>
      <c r="BG420">
        <v>50</v>
      </c>
      <c r="BH420">
        <v>0</v>
      </c>
      <c r="BI420">
        <v>0.98607199999999995</v>
      </c>
      <c r="BJ420">
        <v>0.97541</v>
      </c>
      <c r="BK420">
        <v>0.99156100000000003</v>
      </c>
      <c r="BL420">
        <v>0.98607199999999995</v>
      </c>
      <c r="BM420">
        <v>0.97541</v>
      </c>
      <c r="BN420">
        <v>0.99156100000000003</v>
      </c>
      <c r="BO420">
        <v>0.99164300000000005</v>
      </c>
      <c r="BP420">
        <v>0.98360700000000001</v>
      </c>
      <c r="BQ420">
        <v>0.99578100000000003</v>
      </c>
      <c r="BR420">
        <v>7.1185999999999999E-2</v>
      </c>
      <c r="BS420">
        <v>45.762712000000001</v>
      </c>
      <c r="BT420">
        <v>50</v>
      </c>
      <c r="BU420">
        <v>0.14380499999999999</v>
      </c>
      <c r="BV420">
        <v>31.238938000000001</v>
      </c>
      <c r="BW420">
        <v>50</v>
      </c>
      <c r="BX420">
        <v>0.98280400000000001</v>
      </c>
      <c r="BY420">
        <v>50</v>
      </c>
      <c r="BZ420">
        <v>50</v>
      </c>
      <c r="CA420">
        <v>0.609788</v>
      </c>
      <c r="CB420">
        <v>40.652557000000002</v>
      </c>
      <c r="CC420">
        <v>50</v>
      </c>
      <c r="CD420">
        <v>0.91253600000000001</v>
      </c>
      <c r="CE420">
        <v>48.539172999999998</v>
      </c>
      <c r="CF420">
        <v>50</v>
      </c>
      <c r="CG420">
        <v>0.97631599999999996</v>
      </c>
      <c r="CH420">
        <v>100</v>
      </c>
      <c r="CI420">
        <v>100</v>
      </c>
      <c r="CJ420">
        <v>0</v>
      </c>
      <c r="CK420">
        <v>0.98165100000000005</v>
      </c>
      <c r="CL420">
        <v>100</v>
      </c>
      <c r="CM420">
        <v>100</v>
      </c>
      <c r="CN420">
        <v>0.85941599999999996</v>
      </c>
      <c r="CO420">
        <v>100</v>
      </c>
      <c r="CP420">
        <v>100</v>
      </c>
      <c r="CQ420">
        <v>0.59833800000000004</v>
      </c>
      <c r="CR420">
        <v>0.96010600000000001</v>
      </c>
      <c r="CS420">
        <v>39.889197000000003</v>
      </c>
      <c r="CT420">
        <v>50</v>
      </c>
      <c r="CU420">
        <v>0.49084699999999998</v>
      </c>
      <c r="CV420">
        <v>40.903955000000003</v>
      </c>
      <c r="CW420">
        <v>50</v>
      </c>
      <c r="CX420">
        <v>0.98165100000000005</v>
      </c>
      <c r="CY420">
        <v>0.94</v>
      </c>
      <c r="CZ420">
        <v>-4.1651000000000001E-2</v>
      </c>
      <c r="DA420">
        <v>15.314097</v>
      </c>
      <c r="DB420">
        <v>17.400950000000002</v>
      </c>
      <c r="DC420">
        <v>16.332519999999999</v>
      </c>
      <c r="DD420">
        <v>7.9891730000000001</v>
      </c>
      <c r="DE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Q420" t="s">
        <v>126</v>
      </c>
    </row>
    <row r="421" spans="1:121" x14ac:dyDescent="0.15">
      <c r="A421">
        <v>2018</v>
      </c>
      <c r="B421" t="s">
        <v>210</v>
      </c>
      <c r="C421" t="str">
        <f t="shared" si="10"/>
        <v>0510011</v>
      </c>
      <c r="D421" t="s">
        <v>571</v>
      </c>
      <c r="E421" t="str">
        <f>"0515211"</f>
        <v>0515211</v>
      </c>
      <c r="F421" t="s">
        <v>328</v>
      </c>
      <c r="G421">
        <v>6</v>
      </c>
      <c r="H421">
        <v>8</v>
      </c>
      <c r="J421" t="s">
        <v>331</v>
      </c>
      <c r="K421">
        <v>703.41474900000003</v>
      </c>
      <c r="L421">
        <v>900</v>
      </c>
      <c r="M421">
        <v>78.157194000000004</v>
      </c>
      <c r="N421">
        <v>2</v>
      </c>
      <c r="O421">
        <v>0</v>
      </c>
      <c r="P421">
        <v>79.292463999999995</v>
      </c>
      <c r="Q421">
        <v>50</v>
      </c>
      <c r="R421">
        <v>50</v>
      </c>
      <c r="S421">
        <v>66.339670999999996</v>
      </c>
      <c r="T421">
        <v>75</v>
      </c>
      <c r="U421">
        <v>44.226447999999998</v>
      </c>
      <c r="V421">
        <v>50</v>
      </c>
      <c r="W421">
        <v>74.926567000000006</v>
      </c>
      <c r="X421">
        <v>49.951045000000001</v>
      </c>
      <c r="Y421">
        <v>50</v>
      </c>
      <c r="Z421">
        <v>75</v>
      </c>
      <c r="AA421">
        <v>60.846409999999999</v>
      </c>
      <c r="AB421">
        <v>40.564273</v>
      </c>
      <c r="AC421">
        <v>50</v>
      </c>
      <c r="AD421">
        <v>76.908973000000003</v>
      </c>
      <c r="AE421">
        <v>50</v>
      </c>
      <c r="AF421">
        <v>50</v>
      </c>
      <c r="AG421">
        <v>60.610180999999997</v>
      </c>
      <c r="AH421">
        <v>75</v>
      </c>
      <c r="AI421">
        <v>40.406787000000001</v>
      </c>
      <c r="AJ421">
        <v>50</v>
      </c>
      <c r="AK421">
        <v>8.66</v>
      </c>
      <c r="AL421">
        <v>14.15</v>
      </c>
      <c r="AM421">
        <v>14.38</v>
      </c>
      <c r="AN421">
        <v>0.60276200000000002</v>
      </c>
      <c r="AO421">
        <v>60.276243999999998</v>
      </c>
      <c r="AP421">
        <v>100</v>
      </c>
      <c r="AQ421">
        <v>0.65990000000000004</v>
      </c>
      <c r="AR421">
        <v>65.990011999999993</v>
      </c>
      <c r="AS421">
        <v>100</v>
      </c>
      <c r="AT421">
        <v>0.54039400000000004</v>
      </c>
      <c r="AU421">
        <v>0.623552</v>
      </c>
      <c r="AV421">
        <v>54.039399000000003</v>
      </c>
      <c r="AW421">
        <v>100</v>
      </c>
      <c r="AX421">
        <v>0.56586000000000003</v>
      </c>
      <c r="AY421">
        <v>0.69119900000000001</v>
      </c>
      <c r="AZ421">
        <v>56.585997999999996</v>
      </c>
      <c r="BA421">
        <v>100</v>
      </c>
      <c r="BB421" t="s">
        <v>125</v>
      </c>
      <c r="BC421" t="s">
        <v>125</v>
      </c>
      <c r="BD421" t="s">
        <v>125</v>
      </c>
      <c r="BE421" t="s">
        <v>125</v>
      </c>
      <c r="BF421" t="s">
        <v>125</v>
      </c>
      <c r="BG421" t="s">
        <v>125</v>
      </c>
      <c r="BH421">
        <v>0</v>
      </c>
      <c r="BI421">
        <v>0.99344299999999996</v>
      </c>
      <c r="BJ421">
        <v>0.97967499999999996</v>
      </c>
      <c r="BK421">
        <v>0.99850499999999998</v>
      </c>
      <c r="BL421">
        <v>0.99016400000000004</v>
      </c>
      <c r="BM421">
        <v>0.97560999999999998</v>
      </c>
      <c r="BN421">
        <v>0.99551599999999996</v>
      </c>
      <c r="BO421">
        <v>0.98402599999999996</v>
      </c>
      <c r="BP421">
        <v>0.96296300000000001</v>
      </c>
      <c r="BQ421">
        <v>0.99137900000000001</v>
      </c>
      <c r="BR421">
        <v>3.7157999999999997E-2</v>
      </c>
      <c r="BS421">
        <v>50</v>
      </c>
      <c r="BT421">
        <v>50</v>
      </c>
      <c r="BU421">
        <v>7.5630000000000003E-2</v>
      </c>
      <c r="BV421">
        <v>44.873950000000001</v>
      </c>
      <c r="BW421">
        <v>50</v>
      </c>
      <c r="BX421" t="s">
        <v>125</v>
      </c>
      <c r="BY421" t="s">
        <v>125</v>
      </c>
      <c r="BZ421" t="s">
        <v>125</v>
      </c>
      <c r="CA421" t="s">
        <v>125</v>
      </c>
      <c r="CB421" t="s">
        <v>125</v>
      </c>
      <c r="CC421" t="s">
        <v>125</v>
      </c>
      <c r="CD421">
        <v>0.95075799999999999</v>
      </c>
      <c r="CE421">
        <v>50</v>
      </c>
      <c r="CF421">
        <v>50</v>
      </c>
      <c r="CG421" t="s">
        <v>125</v>
      </c>
      <c r="CH421" t="s">
        <v>125</v>
      </c>
      <c r="CI421" t="s">
        <v>125</v>
      </c>
      <c r="CJ421" t="s">
        <v>125</v>
      </c>
      <c r="CK421" t="s">
        <v>125</v>
      </c>
      <c r="CL421" t="s">
        <v>125</v>
      </c>
      <c r="CM421" t="s">
        <v>125</v>
      </c>
      <c r="CN421" t="s">
        <v>125</v>
      </c>
      <c r="CO421" t="s">
        <v>125</v>
      </c>
      <c r="CP421" t="s">
        <v>125</v>
      </c>
      <c r="CQ421">
        <v>0.69750900000000005</v>
      </c>
      <c r="CR421">
        <v>0.97063900000000003</v>
      </c>
      <c r="CS421">
        <v>46.500593000000002</v>
      </c>
      <c r="CT421">
        <v>50</v>
      </c>
      <c r="CU421" t="s">
        <v>125</v>
      </c>
      <c r="CV421" t="s">
        <v>125</v>
      </c>
      <c r="CW421" t="s">
        <v>125</v>
      </c>
      <c r="CX421" t="s">
        <v>125</v>
      </c>
      <c r="CY421" t="s">
        <v>125</v>
      </c>
      <c r="CZ421" t="s">
        <v>125</v>
      </c>
      <c r="DA421">
        <v>15.314097</v>
      </c>
      <c r="DB421">
        <v>17.400950000000002</v>
      </c>
      <c r="DC421">
        <v>16.332519999999999</v>
      </c>
      <c r="DD421" t="s">
        <v>125</v>
      </c>
      <c r="DE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Q421" t="s">
        <v>126</v>
      </c>
    </row>
    <row r="422" spans="1:121" x14ac:dyDescent="0.15">
      <c r="A422">
        <v>2018</v>
      </c>
      <c r="B422" t="s">
        <v>210</v>
      </c>
      <c r="C422" t="str">
        <f t="shared" si="10"/>
        <v>0510011</v>
      </c>
      <c r="D422" t="s">
        <v>572</v>
      </c>
      <c r="E422" t="str">
        <f>"0510411"</f>
        <v>0510411</v>
      </c>
      <c r="F422" t="s">
        <v>328</v>
      </c>
      <c r="G422" t="s">
        <v>339</v>
      </c>
      <c r="H422">
        <v>5</v>
      </c>
      <c r="I422" t="s">
        <v>330</v>
      </c>
      <c r="J422" t="s">
        <v>331</v>
      </c>
      <c r="K422">
        <v>689.95862799999998</v>
      </c>
      <c r="L422">
        <v>850</v>
      </c>
      <c r="M422">
        <v>81.171603000000005</v>
      </c>
      <c r="N422">
        <v>2</v>
      </c>
      <c r="O422">
        <v>0</v>
      </c>
      <c r="P422">
        <v>76.395684000000003</v>
      </c>
      <c r="Q422">
        <v>50</v>
      </c>
      <c r="R422">
        <v>50</v>
      </c>
      <c r="S422">
        <v>68.998108000000002</v>
      </c>
      <c r="T422">
        <v>75</v>
      </c>
      <c r="U422">
        <v>45.998739</v>
      </c>
      <c r="V422">
        <v>50</v>
      </c>
      <c r="W422">
        <v>73.952498000000006</v>
      </c>
      <c r="X422">
        <v>49.301665999999997</v>
      </c>
      <c r="Y422">
        <v>50</v>
      </c>
      <c r="Z422">
        <v>75</v>
      </c>
      <c r="AA422">
        <v>65.048229000000006</v>
      </c>
      <c r="AB422">
        <v>43.365485999999997</v>
      </c>
      <c r="AC422">
        <v>50</v>
      </c>
      <c r="AD422">
        <v>73.580385000000007</v>
      </c>
      <c r="AE422">
        <v>49.05359</v>
      </c>
      <c r="AF422">
        <v>50</v>
      </c>
      <c r="AG422">
        <v>66.197890999999998</v>
      </c>
      <c r="AH422">
        <v>75</v>
      </c>
      <c r="AI422">
        <v>44.131926999999997</v>
      </c>
      <c r="AJ422">
        <v>50</v>
      </c>
      <c r="AK422">
        <v>6</v>
      </c>
      <c r="AL422">
        <v>9.9499999999999993</v>
      </c>
      <c r="AM422">
        <v>8.8000000000000007</v>
      </c>
      <c r="AN422">
        <v>0.64919300000000002</v>
      </c>
      <c r="AO422">
        <v>64.919273000000004</v>
      </c>
      <c r="AP422">
        <v>100</v>
      </c>
      <c r="AQ422">
        <v>0.78684900000000002</v>
      </c>
      <c r="AR422">
        <v>78.684858000000006</v>
      </c>
      <c r="AS422">
        <v>100</v>
      </c>
      <c r="AT422">
        <v>0.65537500000000004</v>
      </c>
      <c r="AU422">
        <v>0.644482</v>
      </c>
      <c r="AV422">
        <v>65.537508000000003</v>
      </c>
      <c r="AW422">
        <v>100</v>
      </c>
      <c r="AX422">
        <v>0.68631600000000004</v>
      </c>
      <c r="AY422">
        <v>0.86184899999999998</v>
      </c>
      <c r="AZ422">
        <v>68.631629000000004</v>
      </c>
      <c r="BA422">
        <v>100</v>
      </c>
      <c r="BB422" t="s">
        <v>125</v>
      </c>
      <c r="BC422" t="s">
        <v>125</v>
      </c>
      <c r="BD422" t="s">
        <v>125</v>
      </c>
      <c r="BE422" t="s">
        <v>125</v>
      </c>
      <c r="BF422" t="s">
        <v>125</v>
      </c>
      <c r="BG422" t="s">
        <v>125</v>
      </c>
      <c r="BH422">
        <v>0</v>
      </c>
      <c r="BI422">
        <v>0.99479200000000001</v>
      </c>
      <c r="BJ422">
        <v>1</v>
      </c>
      <c r="BK422">
        <v>0.99090900000000004</v>
      </c>
      <c r="BL422">
        <v>0.98958299999999999</v>
      </c>
      <c r="BM422">
        <v>1</v>
      </c>
      <c r="BN422">
        <v>0.98181799999999997</v>
      </c>
      <c r="BO422">
        <v>0.984375</v>
      </c>
      <c r="BP422">
        <v>1</v>
      </c>
      <c r="BQ422">
        <v>0.97368399999999999</v>
      </c>
      <c r="BR422">
        <v>4.9861000000000003E-2</v>
      </c>
      <c r="BS422">
        <v>50</v>
      </c>
      <c r="BT422">
        <v>50</v>
      </c>
      <c r="BU422">
        <v>6.8027000000000004E-2</v>
      </c>
      <c r="BV422">
        <v>46.394558000000004</v>
      </c>
      <c r="BW422">
        <v>50</v>
      </c>
      <c r="BX422" t="s">
        <v>125</v>
      </c>
      <c r="BY422" t="s">
        <v>125</v>
      </c>
      <c r="BZ422" t="s">
        <v>125</v>
      </c>
      <c r="CA422" t="s">
        <v>125</v>
      </c>
      <c r="CB422" t="s">
        <v>125</v>
      </c>
      <c r="CC422" t="s">
        <v>125</v>
      </c>
      <c r="CD422" t="s">
        <v>125</v>
      </c>
      <c r="CE422" t="s">
        <v>125</v>
      </c>
      <c r="CF422" t="s">
        <v>125</v>
      </c>
      <c r="CG422" t="s">
        <v>125</v>
      </c>
      <c r="CH422" t="s">
        <v>125</v>
      </c>
      <c r="CI422" t="s">
        <v>125</v>
      </c>
      <c r="CJ422" t="s">
        <v>125</v>
      </c>
      <c r="CK422" t="s">
        <v>125</v>
      </c>
      <c r="CL422" t="s">
        <v>125</v>
      </c>
      <c r="CM422" t="s">
        <v>125</v>
      </c>
      <c r="CN422" t="s">
        <v>125</v>
      </c>
      <c r="CO422" t="s">
        <v>125</v>
      </c>
      <c r="CP422" t="s">
        <v>125</v>
      </c>
      <c r="CQ422">
        <v>0.50909099999999996</v>
      </c>
      <c r="CR422">
        <v>0.94827600000000001</v>
      </c>
      <c r="CS422">
        <v>33.939394</v>
      </c>
      <c r="CT422">
        <v>50</v>
      </c>
      <c r="CU422" t="s">
        <v>125</v>
      </c>
      <c r="CV422" t="s">
        <v>125</v>
      </c>
      <c r="CW422" t="s">
        <v>125</v>
      </c>
      <c r="CX422" t="s">
        <v>125</v>
      </c>
      <c r="CY422" t="s">
        <v>125</v>
      </c>
      <c r="CZ422" t="s">
        <v>125</v>
      </c>
      <c r="DA422">
        <v>15.314097</v>
      </c>
      <c r="DB422">
        <v>17.400950000000002</v>
      </c>
      <c r="DC422">
        <v>16.332519999999999</v>
      </c>
      <c r="DD422" t="s">
        <v>125</v>
      </c>
      <c r="DE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Q422" t="s">
        <v>126</v>
      </c>
    </row>
    <row r="423" spans="1:121" x14ac:dyDescent="0.15">
      <c r="A423">
        <v>2018</v>
      </c>
      <c r="B423" t="s">
        <v>210</v>
      </c>
      <c r="C423" t="str">
        <f t="shared" si="10"/>
        <v>0510011</v>
      </c>
      <c r="D423" t="s">
        <v>573</v>
      </c>
      <c r="E423" t="str">
        <f>"0511711"</f>
        <v>0511711</v>
      </c>
      <c r="F423" t="s">
        <v>328</v>
      </c>
      <c r="G423" t="s">
        <v>339</v>
      </c>
      <c r="H423">
        <v>5</v>
      </c>
      <c r="J423" t="s">
        <v>331</v>
      </c>
      <c r="K423">
        <v>686.73204799999996</v>
      </c>
      <c r="L423">
        <v>800</v>
      </c>
      <c r="M423">
        <v>85.841505999999995</v>
      </c>
      <c r="N423">
        <v>1</v>
      </c>
      <c r="O423">
        <v>0</v>
      </c>
      <c r="P423">
        <v>79.964473999999996</v>
      </c>
      <c r="Q423">
        <v>50</v>
      </c>
      <c r="R423">
        <v>50</v>
      </c>
      <c r="S423">
        <v>66.271934000000002</v>
      </c>
      <c r="T423">
        <v>75</v>
      </c>
      <c r="U423">
        <v>44.181289999999997</v>
      </c>
      <c r="V423">
        <v>50</v>
      </c>
      <c r="W423">
        <v>78.657618999999997</v>
      </c>
      <c r="X423">
        <v>50</v>
      </c>
      <c r="Y423">
        <v>50</v>
      </c>
      <c r="Z423">
        <v>75</v>
      </c>
      <c r="AA423">
        <v>63.498435999999998</v>
      </c>
      <c r="AB423">
        <v>42.332290999999998</v>
      </c>
      <c r="AC423">
        <v>50</v>
      </c>
      <c r="AD423">
        <v>78.129174000000006</v>
      </c>
      <c r="AE423">
        <v>50</v>
      </c>
      <c r="AF423">
        <v>50</v>
      </c>
      <c r="AG423" t="s">
        <v>125</v>
      </c>
      <c r="AH423">
        <v>75</v>
      </c>
      <c r="AI423" t="s">
        <v>125</v>
      </c>
      <c r="AJ423" t="s">
        <v>125</v>
      </c>
      <c r="AK423">
        <v>8.7200000000000006</v>
      </c>
      <c r="AL423">
        <v>11.5</v>
      </c>
      <c r="AM423" t="s">
        <v>125</v>
      </c>
      <c r="AN423">
        <v>0.71575599999999995</v>
      </c>
      <c r="AO423">
        <v>71.575551000000004</v>
      </c>
      <c r="AP423">
        <v>100</v>
      </c>
      <c r="AQ423">
        <v>0.89182300000000003</v>
      </c>
      <c r="AR423">
        <v>89.182275000000004</v>
      </c>
      <c r="AS423">
        <v>100</v>
      </c>
      <c r="AT423">
        <v>0.64866000000000001</v>
      </c>
      <c r="AU423">
        <v>0.73838999999999999</v>
      </c>
      <c r="AV423">
        <v>64.865995999999996</v>
      </c>
      <c r="AW423">
        <v>100</v>
      </c>
      <c r="AX423">
        <v>0.83999800000000002</v>
      </c>
      <c r="AY423">
        <v>0.90930599999999995</v>
      </c>
      <c r="AZ423">
        <v>83.999808999999999</v>
      </c>
      <c r="BA423">
        <v>100</v>
      </c>
      <c r="BB423" t="s">
        <v>125</v>
      </c>
      <c r="BC423" t="s">
        <v>125</v>
      </c>
      <c r="BD423" t="s">
        <v>125</v>
      </c>
      <c r="BE423" t="s">
        <v>125</v>
      </c>
      <c r="BF423" t="s">
        <v>125</v>
      </c>
      <c r="BG423" t="s">
        <v>125</v>
      </c>
      <c r="BH423">
        <v>0</v>
      </c>
      <c r="BI423">
        <v>0.98830399999999996</v>
      </c>
      <c r="BJ423">
        <v>1</v>
      </c>
      <c r="BK423">
        <v>0.98373999999999995</v>
      </c>
      <c r="BL423">
        <v>0.98830399999999996</v>
      </c>
      <c r="BM423">
        <v>1</v>
      </c>
      <c r="BN423">
        <v>0.98373999999999995</v>
      </c>
      <c r="BO423">
        <v>0.96666700000000005</v>
      </c>
      <c r="BP423" t="s">
        <v>125</v>
      </c>
      <c r="BQ423">
        <v>0.95833299999999999</v>
      </c>
      <c r="BR423">
        <v>6.0606E-2</v>
      </c>
      <c r="BS423">
        <v>47.878788</v>
      </c>
      <c r="BT423">
        <v>50</v>
      </c>
      <c r="BU423">
        <v>8.6419999999999997E-2</v>
      </c>
      <c r="BV423">
        <v>42.716048999999998</v>
      </c>
      <c r="BW423">
        <v>50</v>
      </c>
      <c r="BX423" t="s">
        <v>125</v>
      </c>
      <c r="BY423" t="s">
        <v>125</v>
      </c>
      <c r="BZ423" t="s">
        <v>125</v>
      </c>
      <c r="CA423" t="s">
        <v>125</v>
      </c>
      <c r="CB423" t="s">
        <v>125</v>
      </c>
      <c r="CC423" t="s">
        <v>125</v>
      </c>
      <c r="CD423" t="s">
        <v>125</v>
      </c>
      <c r="CE423" t="s">
        <v>125</v>
      </c>
      <c r="CF423" t="s">
        <v>125</v>
      </c>
      <c r="CG423" t="s">
        <v>125</v>
      </c>
      <c r="CH423" t="s">
        <v>125</v>
      </c>
      <c r="CI423" t="s">
        <v>125</v>
      </c>
      <c r="CJ423" t="s">
        <v>125</v>
      </c>
      <c r="CK423" t="s">
        <v>125</v>
      </c>
      <c r="CL423" t="s">
        <v>125</v>
      </c>
      <c r="CM423" t="s">
        <v>125</v>
      </c>
      <c r="CN423" t="s">
        <v>125</v>
      </c>
      <c r="CO423" t="s">
        <v>125</v>
      </c>
      <c r="CP423" t="s">
        <v>125</v>
      </c>
      <c r="CQ423">
        <v>0.75</v>
      </c>
      <c r="CR423">
        <v>1.0169490000000001</v>
      </c>
      <c r="CS423">
        <v>50</v>
      </c>
      <c r="CT423">
        <v>50</v>
      </c>
      <c r="CU423" t="s">
        <v>125</v>
      </c>
      <c r="CV423" t="s">
        <v>125</v>
      </c>
      <c r="CW423" t="s">
        <v>125</v>
      </c>
      <c r="CX423" t="s">
        <v>125</v>
      </c>
      <c r="CY423" t="s">
        <v>125</v>
      </c>
      <c r="CZ423" t="s">
        <v>125</v>
      </c>
      <c r="DA423">
        <v>15.314097</v>
      </c>
      <c r="DB423">
        <v>17.400950000000002</v>
      </c>
      <c r="DC423">
        <v>16.332519999999999</v>
      </c>
      <c r="DD423" t="s">
        <v>125</v>
      </c>
      <c r="DE423">
        <v>0</v>
      </c>
      <c r="DH423" t="s">
        <v>332</v>
      </c>
      <c r="DI423" t="s">
        <v>453</v>
      </c>
      <c r="DJ423">
        <v>0</v>
      </c>
      <c r="DK423">
        <v>0</v>
      </c>
      <c r="DL423">
        <v>1</v>
      </c>
      <c r="DM423">
        <v>0</v>
      </c>
      <c r="DN423">
        <v>1</v>
      </c>
      <c r="DO423">
        <v>0</v>
      </c>
      <c r="DQ423" t="s">
        <v>126</v>
      </c>
    </row>
    <row r="424" spans="1:121" x14ac:dyDescent="0.15">
      <c r="A424">
        <v>2018</v>
      </c>
      <c r="B424" t="s">
        <v>210</v>
      </c>
      <c r="C424" t="str">
        <f t="shared" si="10"/>
        <v>0510011</v>
      </c>
      <c r="D424" t="s">
        <v>574</v>
      </c>
      <c r="E424" t="str">
        <f>"0510611"</f>
        <v>0510611</v>
      </c>
      <c r="F424" t="s">
        <v>328</v>
      </c>
      <c r="G424" t="s">
        <v>339</v>
      </c>
      <c r="H424">
        <v>5</v>
      </c>
      <c r="I424" t="s">
        <v>330</v>
      </c>
      <c r="J424" t="s">
        <v>331</v>
      </c>
      <c r="K424">
        <v>741.46927600000004</v>
      </c>
      <c r="L424">
        <v>950</v>
      </c>
      <c r="M424">
        <v>78.049396999999999</v>
      </c>
      <c r="N424">
        <v>2</v>
      </c>
      <c r="O424">
        <v>0</v>
      </c>
      <c r="P424">
        <v>75.783844999999999</v>
      </c>
      <c r="Q424">
        <v>50</v>
      </c>
      <c r="R424">
        <v>50</v>
      </c>
      <c r="S424">
        <v>70.553684000000004</v>
      </c>
      <c r="T424">
        <v>75</v>
      </c>
      <c r="U424">
        <v>47.035789999999999</v>
      </c>
      <c r="V424">
        <v>50</v>
      </c>
      <c r="W424">
        <v>71.814831999999996</v>
      </c>
      <c r="X424">
        <v>47.876553999999999</v>
      </c>
      <c r="Y424">
        <v>50</v>
      </c>
      <c r="Z424">
        <v>75</v>
      </c>
      <c r="AA424">
        <v>67.657576000000006</v>
      </c>
      <c r="AB424">
        <v>45.105051000000003</v>
      </c>
      <c r="AC424">
        <v>50</v>
      </c>
      <c r="AD424">
        <v>68.941426000000007</v>
      </c>
      <c r="AE424">
        <v>45.960951000000001</v>
      </c>
      <c r="AF424">
        <v>50</v>
      </c>
      <c r="AG424">
        <v>61.050933999999998</v>
      </c>
      <c r="AH424">
        <v>75</v>
      </c>
      <c r="AI424">
        <v>40.700623</v>
      </c>
      <c r="AJ424">
        <v>50</v>
      </c>
      <c r="AK424">
        <v>4.4400000000000004</v>
      </c>
      <c r="AL424">
        <v>7.34</v>
      </c>
      <c r="AM424">
        <v>13.94</v>
      </c>
      <c r="AN424">
        <v>0.74939299999999998</v>
      </c>
      <c r="AO424">
        <v>74.939317000000003</v>
      </c>
      <c r="AP424">
        <v>100</v>
      </c>
      <c r="AQ424">
        <v>0.63031000000000004</v>
      </c>
      <c r="AR424">
        <v>63.031035000000003</v>
      </c>
      <c r="AS424">
        <v>100</v>
      </c>
      <c r="AT424">
        <v>0.75142200000000003</v>
      </c>
      <c r="AU424">
        <v>0.74715900000000002</v>
      </c>
      <c r="AV424">
        <v>75.142194000000003</v>
      </c>
      <c r="AW424">
        <v>100</v>
      </c>
      <c r="AX424">
        <v>0.63649699999999998</v>
      </c>
      <c r="AY424">
        <v>0.62349600000000005</v>
      </c>
      <c r="AZ424">
        <v>63.649728000000003</v>
      </c>
      <c r="BA424">
        <v>100</v>
      </c>
      <c r="BB424">
        <v>0.65896900000000003</v>
      </c>
      <c r="BC424">
        <v>32.948447999999999</v>
      </c>
      <c r="BD424">
        <v>50</v>
      </c>
      <c r="BE424">
        <v>0.516675</v>
      </c>
      <c r="BF424">
        <v>25.833725999999999</v>
      </c>
      <c r="BG424">
        <v>50</v>
      </c>
      <c r="BH424">
        <v>0</v>
      </c>
      <c r="BI424">
        <v>0.99534900000000004</v>
      </c>
      <c r="BJ424">
        <v>1</v>
      </c>
      <c r="BK424">
        <v>0.98936199999999996</v>
      </c>
      <c r="BL424">
        <v>0.99534900000000004</v>
      </c>
      <c r="BM424">
        <v>1</v>
      </c>
      <c r="BN424">
        <v>0.98936199999999996</v>
      </c>
      <c r="BO424">
        <v>1</v>
      </c>
      <c r="BP424">
        <v>1</v>
      </c>
      <c r="BQ424">
        <v>1</v>
      </c>
      <c r="BR424">
        <v>4.5872000000000003E-2</v>
      </c>
      <c r="BS424">
        <v>50</v>
      </c>
      <c r="BT424">
        <v>50</v>
      </c>
      <c r="BU424">
        <v>5.2419E-2</v>
      </c>
      <c r="BV424">
        <v>49.516128999999999</v>
      </c>
      <c r="BW424">
        <v>50</v>
      </c>
      <c r="BX424" t="s">
        <v>125</v>
      </c>
      <c r="BY424" t="s">
        <v>125</v>
      </c>
      <c r="BZ424" t="s">
        <v>125</v>
      </c>
      <c r="CA424" t="s">
        <v>125</v>
      </c>
      <c r="CB424" t="s">
        <v>125</v>
      </c>
      <c r="CC424" t="s">
        <v>125</v>
      </c>
      <c r="CD424" t="s">
        <v>125</v>
      </c>
      <c r="CE424" t="s">
        <v>125</v>
      </c>
      <c r="CF424" t="s">
        <v>125</v>
      </c>
      <c r="CG424" t="s">
        <v>125</v>
      </c>
      <c r="CH424" t="s">
        <v>125</v>
      </c>
      <c r="CI424" t="s">
        <v>125</v>
      </c>
      <c r="CJ424" t="s">
        <v>125</v>
      </c>
      <c r="CK424" t="s">
        <v>125</v>
      </c>
      <c r="CL424" t="s">
        <v>125</v>
      </c>
      <c r="CM424" t="s">
        <v>125</v>
      </c>
      <c r="CN424" t="s">
        <v>125</v>
      </c>
      <c r="CO424" t="s">
        <v>125</v>
      </c>
      <c r="CP424" t="s">
        <v>125</v>
      </c>
      <c r="CQ424">
        <v>0.44594600000000001</v>
      </c>
      <c r="CR424">
        <v>0.96103899999999998</v>
      </c>
      <c r="CS424">
        <v>29.72973</v>
      </c>
      <c r="CT424">
        <v>50</v>
      </c>
      <c r="CU424" t="s">
        <v>125</v>
      </c>
      <c r="CV424" t="s">
        <v>125</v>
      </c>
      <c r="CW424" t="s">
        <v>125</v>
      </c>
      <c r="CX424" t="s">
        <v>125</v>
      </c>
      <c r="CY424" t="s">
        <v>125</v>
      </c>
      <c r="CZ424" t="s">
        <v>125</v>
      </c>
      <c r="DA424">
        <v>15.314097</v>
      </c>
      <c r="DB424">
        <v>17.400950000000002</v>
      </c>
      <c r="DC424">
        <v>16.332519999999999</v>
      </c>
      <c r="DD424" t="s">
        <v>125</v>
      </c>
      <c r="DE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Q424" t="s">
        <v>126</v>
      </c>
    </row>
    <row r="425" spans="1:121" x14ac:dyDescent="0.15">
      <c r="A425">
        <v>2018</v>
      </c>
      <c r="B425" t="s">
        <v>210</v>
      </c>
      <c r="C425" t="str">
        <f t="shared" si="10"/>
        <v>0510011</v>
      </c>
      <c r="D425" t="s">
        <v>575</v>
      </c>
      <c r="E425" t="str">
        <f>"0510711"</f>
        <v>0510711</v>
      </c>
      <c r="F425" t="s">
        <v>328</v>
      </c>
      <c r="G425" t="s">
        <v>339</v>
      </c>
      <c r="H425">
        <v>5</v>
      </c>
      <c r="J425" t="s">
        <v>331</v>
      </c>
      <c r="K425">
        <v>597.52516100000003</v>
      </c>
      <c r="L425">
        <v>800</v>
      </c>
      <c r="M425">
        <v>74.690645000000004</v>
      </c>
      <c r="N425">
        <v>2</v>
      </c>
      <c r="O425">
        <v>0</v>
      </c>
      <c r="P425">
        <v>80.287745000000001</v>
      </c>
      <c r="Q425">
        <v>50</v>
      </c>
      <c r="R425">
        <v>50</v>
      </c>
      <c r="S425">
        <v>65.120455000000007</v>
      </c>
      <c r="T425">
        <v>75</v>
      </c>
      <c r="U425">
        <v>43.413637000000001</v>
      </c>
      <c r="V425">
        <v>50</v>
      </c>
      <c r="W425">
        <v>78.480436999999995</v>
      </c>
      <c r="X425">
        <v>50</v>
      </c>
      <c r="Y425">
        <v>50</v>
      </c>
      <c r="Z425">
        <v>75</v>
      </c>
      <c r="AA425">
        <v>65.665627999999998</v>
      </c>
      <c r="AB425">
        <v>43.777085</v>
      </c>
      <c r="AC425">
        <v>50</v>
      </c>
      <c r="AD425">
        <v>80.042552999999998</v>
      </c>
      <c r="AE425">
        <v>50</v>
      </c>
      <c r="AF425">
        <v>50</v>
      </c>
      <c r="AG425" t="s">
        <v>125</v>
      </c>
      <c r="AH425">
        <v>75</v>
      </c>
      <c r="AI425" t="s">
        <v>125</v>
      </c>
      <c r="AJ425" t="s">
        <v>125</v>
      </c>
      <c r="AK425">
        <v>9.8699999999999992</v>
      </c>
      <c r="AL425">
        <v>9.33</v>
      </c>
      <c r="AM425" t="s">
        <v>125</v>
      </c>
      <c r="AN425">
        <v>0.607568</v>
      </c>
      <c r="AO425">
        <v>60.756802999999998</v>
      </c>
      <c r="AP425">
        <v>100</v>
      </c>
      <c r="AQ425">
        <v>0.71676300000000004</v>
      </c>
      <c r="AR425">
        <v>71.676299</v>
      </c>
      <c r="AS425">
        <v>100</v>
      </c>
      <c r="AT425">
        <v>0.42261799999999999</v>
      </c>
      <c r="AU425">
        <v>0.66327599999999998</v>
      </c>
      <c r="AV425">
        <v>42.261754000000003</v>
      </c>
      <c r="AW425">
        <v>100</v>
      </c>
      <c r="AX425">
        <v>0.61639600000000005</v>
      </c>
      <c r="AY425">
        <v>0.74699400000000005</v>
      </c>
      <c r="AZ425">
        <v>61.639581999999997</v>
      </c>
      <c r="BA425">
        <v>100</v>
      </c>
      <c r="BB425" t="s">
        <v>125</v>
      </c>
      <c r="BC425" t="s">
        <v>125</v>
      </c>
      <c r="BD425" t="s">
        <v>125</v>
      </c>
      <c r="BE425" t="s">
        <v>125</v>
      </c>
      <c r="BF425" t="s">
        <v>125</v>
      </c>
      <c r="BG425" t="s">
        <v>125</v>
      </c>
      <c r="BH425">
        <v>0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 t="s">
        <v>125</v>
      </c>
      <c r="BQ425">
        <v>1</v>
      </c>
      <c r="BR425">
        <v>1.7441999999999999E-2</v>
      </c>
      <c r="BS425">
        <v>50</v>
      </c>
      <c r="BT425">
        <v>50</v>
      </c>
      <c r="BU425">
        <v>1.3332999999999999E-2</v>
      </c>
      <c r="BV425">
        <v>50</v>
      </c>
      <c r="BW425">
        <v>50</v>
      </c>
      <c r="BX425" t="s">
        <v>125</v>
      </c>
      <c r="BY425" t="s">
        <v>125</v>
      </c>
      <c r="BZ425" t="s">
        <v>125</v>
      </c>
      <c r="CA425" t="s">
        <v>125</v>
      </c>
      <c r="CB425" t="s">
        <v>125</v>
      </c>
      <c r="CC425" t="s">
        <v>125</v>
      </c>
      <c r="CD425" t="s">
        <v>125</v>
      </c>
      <c r="CE425" t="s">
        <v>125</v>
      </c>
      <c r="CF425" t="s">
        <v>125</v>
      </c>
      <c r="CG425" t="s">
        <v>125</v>
      </c>
      <c r="CH425" t="s">
        <v>125</v>
      </c>
      <c r="CI425" t="s">
        <v>125</v>
      </c>
      <c r="CJ425" t="s">
        <v>125</v>
      </c>
      <c r="CK425" t="s">
        <v>125</v>
      </c>
      <c r="CL425" t="s">
        <v>125</v>
      </c>
      <c r="CM425" t="s">
        <v>125</v>
      </c>
      <c r="CN425" t="s">
        <v>125</v>
      </c>
      <c r="CO425" t="s">
        <v>125</v>
      </c>
      <c r="CP425" t="s">
        <v>125</v>
      </c>
      <c r="CQ425">
        <v>0.72</v>
      </c>
      <c r="CR425">
        <v>0.75757600000000003</v>
      </c>
      <c r="CS425">
        <v>24</v>
      </c>
      <c r="CT425">
        <v>50</v>
      </c>
      <c r="CU425" t="s">
        <v>125</v>
      </c>
      <c r="CV425" t="s">
        <v>125</v>
      </c>
      <c r="CW425" t="s">
        <v>125</v>
      </c>
      <c r="CX425" t="s">
        <v>125</v>
      </c>
      <c r="CY425" t="s">
        <v>125</v>
      </c>
      <c r="CZ425" t="s">
        <v>125</v>
      </c>
      <c r="DA425">
        <v>15.314097</v>
      </c>
      <c r="DB425">
        <v>17.400950000000002</v>
      </c>
      <c r="DC425">
        <v>16.332519999999999</v>
      </c>
      <c r="DD425" t="s">
        <v>125</v>
      </c>
      <c r="DE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Q425" t="s">
        <v>126</v>
      </c>
    </row>
    <row r="426" spans="1:121" x14ac:dyDescent="0.15">
      <c r="A426">
        <v>2018</v>
      </c>
      <c r="B426" t="s">
        <v>210</v>
      </c>
      <c r="C426" t="str">
        <f t="shared" si="10"/>
        <v>0510011</v>
      </c>
      <c r="D426" t="s">
        <v>576</v>
      </c>
      <c r="E426" t="str">
        <f>"0511611"</f>
        <v>0511611</v>
      </c>
      <c r="F426" t="s">
        <v>328</v>
      </c>
      <c r="G426" t="s">
        <v>339</v>
      </c>
      <c r="H426">
        <v>5</v>
      </c>
      <c r="J426" t="s">
        <v>331</v>
      </c>
      <c r="K426">
        <v>693.803719</v>
      </c>
      <c r="L426">
        <v>850</v>
      </c>
      <c r="M426">
        <v>81.623966999999993</v>
      </c>
      <c r="N426">
        <v>3</v>
      </c>
      <c r="O426">
        <v>0</v>
      </c>
      <c r="P426">
        <v>80.090328999999997</v>
      </c>
      <c r="Q426">
        <v>50</v>
      </c>
      <c r="R426">
        <v>50</v>
      </c>
      <c r="S426">
        <v>69.406628999999995</v>
      </c>
      <c r="T426">
        <v>75</v>
      </c>
      <c r="U426">
        <v>46.271085999999997</v>
      </c>
      <c r="V426">
        <v>50</v>
      </c>
      <c r="W426">
        <v>74.258712000000003</v>
      </c>
      <c r="X426">
        <v>49.505808000000002</v>
      </c>
      <c r="Y426">
        <v>50</v>
      </c>
      <c r="Z426">
        <v>75</v>
      </c>
      <c r="AA426">
        <v>62.908267000000002</v>
      </c>
      <c r="AB426">
        <v>41.938844000000003</v>
      </c>
      <c r="AC426">
        <v>50</v>
      </c>
      <c r="AD426">
        <v>74.535572000000002</v>
      </c>
      <c r="AE426">
        <v>49.690381000000002</v>
      </c>
      <c r="AF426">
        <v>50</v>
      </c>
      <c r="AG426">
        <v>67.161289999999994</v>
      </c>
      <c r="AH426">
        <v>75</v>
      </c>
      <c r="AI426">
        <v>44.774194000000001</v>
      </c>
      <c r="AJ426">
        <v>50</v>
      </c>
      <c r="AK426">
        <v>5.59</v>
      </c>
      <c r="AL426">
        <v>12.09</v>
      </c>
      <c r="AM426">
        <v>7.83</v>
      </c>
      <c r="AN426">
        <v>0.72832699999999995</v>
      </c>
      <c r="AO426">
        <v>72.832690999999997</v>
      </c>
      <c r="AP426">
        <v>100</v>
      </c>
      <c r="AQ426">
        <v>0.72029399999999999</v>
      </c>
      <c r="AR426">
        <v>72.029426999999998</v>
      </c>
      <c r="AS426">
        <v>100</v>
      </c>
      <c r="AT426">
        <v>0.73749600000000004</v>
      </c>
      <c r="AU426">
        <v>0.72541699999999998</v>
      </c>
      <c r="AV426">
        <v>73.749639999999999</v>
      </c>
      <c r="AW426">
        <v>100</v>
      </c>
      <c r="AX426">
        <v>0.64447500000000002</v>
      </c>
      <c r="AY426">
        <v>0.74362300000000003</v>
      </c>
      <c r="AZ426">
        <v>64.447515999999993</v>
      </c>
      <c r="BA426">
        <v>100</v>
      </c>
      <c r="BB426" t="s">
        <v>125</v>
      </c>
      <c r="BC426" t="s">
        <v>125</v>
      </c>
      <c r="BD426" t="s">
        <v>125</v>
      </c>
      <c r="BE426" t="s">
        <v>125</v>
      </c>
      <c r="BF426" t="s">
        <v>125</v>
      </c>
      <c r="BG426" t="s">
        <v>125</v>
      </c>
      <c r="BH426">
        <v>1</v>
      </c>
      <c r="BI426">
        <v>0.96601899999999996</v>
      </c>
      <c r="BJ426">
        <v>0.88524599999999998</v>
      </c>
      <c r="BK426">
        <v>1</v>
      </c>
      <c r="BL426">
        <v>0.96116500000000005</v>
      </c>
      <c r="BM426">
        <v>0.86885199999999996</v>
      </c>
      <c r="BN426">
        <v>1</v>
      </c>
      <c r="BO426">
        <v>0.93670900000000001</v>
      </c>
      <c r="BP426">
        <v>0.81481499999999996</v>
      </c>
      <c r="BQ426">
        <v>1</v>
      </c>
      <c r="BR426">
        <v>5.2909999999999999E-2</v>
      </c>
      <c r="BS426">
        <v>49.417988999999999</v>
      </c>
      <c r="BT426">
        <v>50</v>
      </c>
      <c r="BU426">
        <v>8.0460000000000004E-2</v>
      </c>
      <c r="BV426">
        <v>43.908045999999999</v>
      </c>
      <c r="BW426">
        <v>50</v>
      </c>
      <c r="BX426" t="s">
        <v>125</v>
      </c>
      <c r="BY426" t="s">
        <v>125</v>
      </c>
      <c r="BZ426" t="s">
        <v>125</v>
      </c>
      <c r="CA426" t="s">
        <v>125</v>
      </c>
      <c r="CB426" t="s">
        <v>125</v>
      </c>
      <c r="CC426" t="s">
        <v>125</v>
      </c>
      <c r="CD426" t="s">
        <v>125</v>
      </c>
      <c r="CE426" t="s">
        <v>125</v>
      </c>
      <c r="CF426" t="s">
        <v>125</v>
      </c>
      <c r="CG426" t="s">
        <v>125</v>
      </c>
      <c r="CH426" t="s">
        <v>125</v>
      </c>
      <c r="CI426" t="s">
        <v>125</v>
      </c>
      <c r="CJ426" t="s">
        <v>125</v>
      </c>
      <c r="CK426" t="s">
        <v>125</v>
      </c>
      <c r="CL426" t="s">
        <v>125</v>
      </c>
      <c r="CM426" t="s">
        <v>125</v>
      </c>
      <c r="CN426" t="s">
        <v>125</v>
      </c>
      <c r="CO426" t="s">
        <v>125</v>
      </c>
      <c r="CP426" t="s">
        <v>125</v>
      </c>
      <c r="CQ426">
        <v>0.52857100000000001</v>
      </c>
      <c r="CR426">
        <v>1</v>
      </c>
      <c r="CS426">
        <v>35.238095000000001</v>
      </c>
      <c r="CT426">
        <v>50</v>
      </c>
      <c r="CU426" t="s">
        <v>125</v>
      </c>
      <c r="CV426" t="s">
        <v>125</v>
      </c>
      <c r="CW426" t="s">
        <v>125</v>
      </c>
      <c r="CX426" t="s">
        <v>125</v>
      </c>
      <c r="CY426" t="s">
        <v>125</v>
      </c>
      <c r="CZ426" t="s">
        <v>125</v>
      </c>
      <c r="DA426">
        <v>15.314097</v>
      </c>
      <c r="DB426">
        <v>17.400950000000002</v>
      </c>
      <c r="DC426">
        <v>16.332519999999999</v>
      </c>
      <c r="DD426" t="s">
        <v>125</v>
      </c>
      <c r="DE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Q426" t="s">
        <v>126</v>
      </c>
    </row>
    <row r="427" spans="1:121" x14ac:dyDescent="0.15">
      <c r="A427">
        <v>2018</v>
      </c>
      <c r="B427" t="s">
        <v>210</v>
      </c>
      <c r="C427" t="str">
        <f t="shared" si="10"/>
        <v>0510011</v>
      </c>
      <c r="D427" t="s">
        <v>577</v>
      </c>
      <c r="E427" t="str">
        <f>"0511811"</f>
        <v>0511811</v>
      </c>
      <c r="F427" t="s">
        <v>328</v>
      </c>
      <c r="G427" t="s">
        <v>339</v>
      </c>
      <c r="H427">
        <v>5</v>
      </c>
      <c r="J427" t="s">
        <v>331</v>
      </c>
      <c r="K427">
        <v>651.43869099999995</v>
      </c>
      <c r="L427">
        <v>800</v>
      </c>
      <c r="M427">
        <v>81.429835999999995</v>
      </c>
      <c r="N427">
        <v>3</v>
      </c>
      <c r="O427">
        <v>0</v>
      </c>
      <c r="P427">
        <v>79.142955999999998</v>
      </c>
      <c r="Q427">
        <v>50</v>
      </c>
      <c r="R427">
        <v>50</v>
      </c>
      <c r="S427">
        <v>65.192684</v>
      </c>
      <c r="T427">
        <v>75</v>
      </c>
      <c r="U427">
        <v>43.461789000000003</v>
      </c>
      <c r="V427">
        <v>50</v>
      </c>
      <c r="W427">
        <v>77.958026000000004</v>
      </c>
      <c r="X427">
        <v>50</v>
      </c>
      <c r="Y427">
        <v>50</v>
      </c>
      <c r="Z427">
        <v>75</v>
      </c>
      <c r="AA427">
        <v>61.049596999999999</v>
      </c>
      <c r="AB427">
        <v>40.699731999999997</v>
      </c>
      <c r="AC427">
        <v>50</v>
      </c>
      <c r="AD427">
        <v>81.345122000000003</v>
      </c>
      <c r="AE427">
        <v>50</v>
      </c>
      <c r="AF427">
        <v>50</v>
      </c>
      <c r="AG427" t="s">
        <v>125</v>
      </c>
      <c r="AH427">
        <v>75</v>
      </c>
      <c r="AI427" t="s">
        <v>125</v>
      </c>
      <c r="AJ427" t="s">
        <v>125</v>
      </c>
      <c r="AK427">
        <v>9.8000000000000007</v>
      </c>
      <c r="AL427">
        <v>13.95</v>
      </c>
      <c r="AM427" t="s">
        <v>125</v>
      </c>
      <c r="AN427">
        <v>0.70082100000000003</v>
      </c>
      <c r="AO427">
        <v>70.082117999999994</v>
      </c>
      <c r="AP427">
        <v>100</v>
      </c>
      <c r="AQ427">
        <v>0.71158399999999999</v>
      </c>
      <c r="AR427">
        <v>71.158427000000003</v>
      </c>
      <c r="AS427">
        <v>100</v>
      </c>
      <c r="AT427">
        <v>0.59446299999999996</v>
      </c>
      <c r="AU427">
        <v>0.72108000000000005</v>
      </c>
      <c r="AV427">
        <v>59.446280999999999</v>
      </c>
      <c r="AW427">
        <v>100</v>
      </c>
      <c r="AX427">
        <v>0.72499400000000003</v>
      </c>
      <c r="AY427">
        <v>0.70913599999999999</v>
      </c>
      <c r="AZ427">
        <v>72.499435000000005</v>
      </c>
      <c r="BA427">
        <v>100</v>
      </c>
      <c r="BB427" t="s">
        <v>125</v>
      </c>
      <c r="BC427" t="s">
        <v>125</v>
      </c>
      <c r="BD427" t="s">
        <v>125</v>
      </c>
      <c r="BE427" t="s">
        <v>125</v>
      </c>
      <c r="BF427" t="s">
        <v>125</v>
      </c>
      <c r="BG427" t="s">
        <v>125</v>
      </c>
      <c r="BH427">
        <v>1</v>
      </c>
      <c r="BI427">
        <v>0.99074099999999998</v>
      </c>
      <c r="BJ427">
        <v>0.953488</v>
      </c>
      <c r="BK427">
        <v>1</v>
      </c>
      <c r="BL427">
        <v>0.98611099999999996</v>
      </c>
      <c r="BM427">
        <v>0.93023299999999998</v>
      </c>
      <c r="BN427">
        <v>1</v>
      </c>
      <c r="BO427">
        <v>0.96511599999999997</v>
      </c>
      <c r="BP427" t="s">
        <v>125</v>
      </c>
      <c r="BQ427">
        <v>1</v>
      </c>
      <c r="BR427">
        <v>4.7732999999999998E-2</v>
      </c>
      <c r="BS427">
        <v>50</v>
      </c>
      <c r="BT427">
        <v>50</v>
      </c>
      <c r="BU427">
        <v>7.9545000000000005E-2</v>
      </c>
      <c r="BV427">
        <v>44.090909000000003</v>
      </c>
      <c r="BW427">
        <v>50</v>
      </c>
      <c r="BX427" t="s">
        <v>125</v>
      </c>
      <c r="BY427" t="s">
        <v>125</v>
      </c>
      <c r="BZ427" t="s">
        <v>125</v>
      </c>
      <c r="CA427" t="s">
        <v>125</v>
      </c>
      <c r="CB427" t="s">
        <v>125</v>
      </c>
      <c r="CC427" t="s">
        <v>125</v>
      </c>
      <c r="CD427" t="s">
        <v>125</v>
      </c>
      <c r="CE427" t="s">
        <v>125</v>
      </c>
      <c r="CF427" t="s">
        <v>125</v>
      </c>
      <c r="CG427" t="s">
        <v>125</v>
      </c>
      <c r="CH427" t="s">
        <v>125</v>
      </c>
      <c r="CI427" t="s">
        <v>125</v>
      </c>
      <c r="CJ427" t="s">
        <v>125</v>
      </c>
      <c r="CK427" t="s">
        <v>125</v>
      </c>
      <c r="CL427" t="s">
        <v>125</v>
      </c>
      <c r="CM427" t="s">
        <v>125</v>
      </c>
      <c r="CN427" t="s">
        <v>125</v>
      </c>
      <c r="CO427" t="s">
        <v>125</v>
      </c>
      <c r="CP427" t="s">
        <v>125</v>
      </c>
      <c r="CQ427">
        <v>0.776119</v>
      </c>
      <c r="CR427">
        <v>0.985294</v>
      </c>
      <c r="CS427">
        <v>50</v>
      </c>
      <c r="CT427">
        <v>50</v>
      </c>
      <c r="CU427" t="s">
        <v>125</v>
      </c>
      <c r="CV427" t="s">
        <v>125</v>
      </c>
      <c r="CW427" t="s">
        <v>125</v>
      </c>
      <c r="CX427" t="s">
        <v>125</v>
      </c>
      <c r="CY427" t="s">
        <v>125</v>
      </c>
      <c r="CZ427" t="s">
        <v>125</v>
      </c>
      <c r="DA427">
        <v>15.314097</v>
      </c>
      <c r="DB427">
        <v>17.400950000000002</v>
      </c>
      <c r="DC427">
        <v>16.332519999999999</v>
      </c>
      <c r="DD427" t="s">
        <v>125</v>
      </c>
      <c r="DE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Q427" t="s">
        <v>126</v>
      </c>
    </row>
    <row r="428" spans="1:121" x14ac:dyDescent="0.15">
      <c r="A428">
        <v>2018</v>
      </c>
      <c r="B428" t="s">
        <v>210</v>
      </c>
      <c r="C428" t="str">
        <f t="shared" si="10"/>
        <v>0510011</v>
      </c>
      <c r="D428" t="s">
        <v>578</v>
      </c>
      <c r="E428" t="str">
        <f>"0511211"</f>
        <v>0511211</v>
      </c>
      <c r="F428" t="s">
        <v>328</v>
      </c>
      <c r="G428" t="s">
        <v>339</v>
      </c>
      <c r="H428">
        <v>5</v>
      </c>
      <c r="J428" t="s">
        <v>331</v>
      </c>
      <c r="K428">
        <v>560.63141399999995</v>
      </c>
      <c r="L428">
        <v>600</v>
      </c>
      <c r="M428">
        <v>93.438569000000001</v>
      </c>
      <c r="N428">
        <v>2</v>
      </c>
      <c r="O428">
        <v>0</v>
      </c>
      <c r="P428">
        <v>85.356189999999998</v>
      </c>
      <c r="Q428">
        <v>50</v>
      </c>
      <c r="R428">
        <v>50</v>
      </c>
      <c r="S428">
        <v>73.816996000000003</v>
      </c>
      <c r="T428">
        <v>75</v>
      </c>
      <c r="U428">
        <v>49.211329999999997</v>
      </c>
      <c r="V428">
        <v>50</v>
      </c>
      <c r="W428">
        <v>82.186300000000003</v>
      </c>
      <c r="X428">
        <v>50</v>
      </c>
      <c r="Y428">
        <v>50</v>
      </c>
      <c r="Z428">
        <v>75</v>
      </c>
      <c r="AA428">
        <v>71.782348999999996</v>
      </c>
      <c r="AB428">
        <v>47.854899000000003</v>
      </c>
      <c r="AC428">
        <v>50</v>
      </c>
      <c r="AD428">
        <v>83.085218999999995</v>
      </c>
      <c r="AE428">
        <v>50</v>
      </c>
      <c r="AF428">
        <v>50</v>
      </c>
      <c r="AG428" t="s">
        <v>125</v>
      </c>
      <c r="AH428">
        <v>75</v>
      </c>
      <c r="AI428" t="s">
        <v>125</v>
      </c>
      <c r="AJ428" t="s">
        <v>125</v>
      </c>
      <c r="AK428">
        <v>1.18</v>
      </c>
      <c r="AL428">
        <v>3.21</v>
      </c>
      <c r="AM428" t="s">
        <v>125</v>
      </c>
      <c r="AN428">
        <v>0.83680200000000005</v>
      </c>
      <c r="AO428">
        <v>83.680204000000003</v>
      </c>
      <c r="AP428">
        <v>100</v>
      </c>
      <c r="AQ428">
        <v>0.83969499999999997</v>
      </c>
      <c r="AR428">
        <v>83.969487000000001</v>
      </c>
      <c r="AS428">
        <v>100</v>
      </c>
      <c r="AT428" t="s">
        <v>125</v>
      </c>
      <c r="AU428">
        <v>0.86536599999999997</v>
      </c>
      <c r="AV428" t="s">
        <v>125</v>
      </c>
      <c r="AW428" t="s">
        <v>125</v>
      </c>
      <c r="AX428" t="s">
        <v>125</v>
      </c>
      <c r="AY428">
        <v>0.86077300000000001</v>
      </c>
      <c r="AZ428" t="s">
        <v>125</v>
      </c>
      <c r="BA428" t="s">
        <v>125</v>
      </c>
      <c r="BB428" t="s">
        <v>125</v>
      </c>
      <c r="BC428" t="s">
        <v>125</v>
      </c>
      <c r="BD428" t="s">
        <v>125</v>
      </c>
      <c r="BE428" t="s">
        <v>125</v>
      </c>
      <c r="BF428" t="s">
        <v>125</v>
      </c>
      <c r="BG428" t="s">
        <v>125</v>
      </c>
      <c r="BH428">
        <v>1</v>
      </c>
      <c r="BI428">
        <v>0.98636400000000002</v>
      </c>
      <c r="BJ428">
        <v>0.91666700000000001</v>
      </c>
      <c r="BK428">
        <v>1</v>
      </c>
      <c r="BL428">
        <v>0.98636400000000002</v>
      </c>
      <c r="BM428">
        <v>0.91666700000000001</v>
      </c>
      <c r="BN428">
        <v>1</v>
      </c>
      <c r="BO428">
        <v>0.97297299999999998</v>
      </c>
      <c r="BP428" t="s">
        <v>125</v>
      </c>
      <c r="BQ428">
        <v>1</v>
      </c>
      <c r="BR428">
        <v>3.3815999999999999E-2</v>
      </c>
      <c r="BS428">
        <v>50</v>
      </c>
      <c r="BT428">
        <v>50</v>
      </c>
      <c r="BU428">
        <v>7.0422999999999999E-2</v>
      </c>
      <c r="BV428">
        <v>45.915492999999998</v>
      </c>
      <c r="BW428">
        <v>50</v>
      </c>
      <c r="BX428" t="s">
        <v>125</v>
      </c>
      <c r="BY428" t="s">
        <v>125</v>
      </c>
      <c r="BZ428" t="s">
        <v>125</v>
      </c>
      <c r="CA428" t="s">
        <v>125</v>
      </c>
      <c r="CB428" t="s">
        <v>125</v>
      </c>
      <c r="CC428" t="s">
        <v>125</v>
      </c>
      <c r="CD428" t="s">
        <v>125</v>
      </c>
      <c r="CE428" t="s">
        <v>125</v>
      </c>
      <c r="CF428" t="s">
        <v>125</v>
      </c>
      <c r="CG428" t="s">
        <v>125</v>
      </c>
      <c r="CH428" t="s">
        <v>125</v>
      </c>
      <c r="CI428" t="s">
        <v>125</v>
      </c>
      <c r="CJ428" t="s">
        <v>125</v>
      </c>
      <c r="CK428" t="s">
        <v>125</v>
      </c>
      <c r="CL428" t="s">
        <v>125</v>
      </c>
      <c r="CM428" t="s">
        <v>125</v>
      </c>
      <c r="CN428" t="s">
        <v>125</v>
      </c>
      <c r="CO428" t="s">
        <v>125</v>
      </c>
      <c r="CP428" t="s">
        <v>125</v>
      </c>
      <c r="CQ428">
        <v>0.86301399999999995</v>
      </c>
      <c r="CR428">
        <v>0.94805200000000001</v>
      </c>
      <c r="CS428">
        <v>50</v>
      </c>
      <c r="CT428">
        <v>50</v>
      </c>
      <c r="CU428" t="s">
        <v>125</v>
      </c>
      <c r="CV428" t="s">
        <v>125</v>
      </c>
      <c r="CW428" t="s">
        <v>125</v>
      </c>
      <c r="CX428" t="s">
        <v>125</v>
      </c>
      <c r="CY428" t="s">
        <v>125</v>
      </c>
      <c r="CZ428" t="s">
        <v>125</v>
      </c>
      <c r="DA428">
        <v>15.314097</v>
      </c>
      <c r="DB428">
        <v>17.400950000000002</v>
      </c>
      <c r="DC428">
        <v>16.332519999999999</v>
      </c>
      <c r="DD428" t="s">
        <v>125</v>
      </c>
      <c r="DE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Q428" t="s">
        <v>126</v>
      </c>
    </row>
    <row r="429" spans="1:121" x14ac:dyDescent="0.15">
      <c r="A429">
        <v>2018</v>
      </c>
      <c r="B429" t="s">
        <v>210</v>
      </c>
      <c r="C429" t="str">
        <f t="shared" si="10"/>
        <v>0510011</v>
      </c>
      <c r="D429" t="s">
        <v>579</v>
      </c>
      <c r="E429" t="str">
        <f>"0515311"</f>
        <v>0515311</v>
      </c>
      <c r="F429" t="s">
        <v>328</v>
      </c>
      <c r="G429">
        <v>6</v>
      </c>
      <c r="H429">
        <v>8</v>
      </c>
      <c r="J429" t="s">
        <v>331</v>
      </c>
      <c r="K429">
        <v>708.78348600000004</v>
      </c>
      <c r="L429">
        <v>900</v>
      </c>
      <c r="M429">
        <v>78.753720999999999</v>
      </c>
      <c r="N429">
        <v>2</v>
      </c>
      <c r="O429">
        <v>0</v>
      </c>
      <c r="P429">
        <v>81.983656999999994</v>
      </c>
      <c r="Q429">
        <v>50</v>
      </c>
      <c r="R429">
        <v>50</v>
      </c>
      <c r="S429">
        <v>68.699813000000006</v>
      </c>
      <c r="T429">
        <v>75</v>
      </c>
      <c r="U429">
        <v>45.799875</v>
      </c>
      <c r="V429">
        <v>50</v>
      </c>
      <c r="W429">
        <v>78.153735999999995</v>
      </c>
      <c r="X429">
        <v>50</v>
      </c>
      <c r="Y429">
        <v>50</v>
      </c>
      <c r="Z429">
        <v>75</v>
      </c>
      <c r="AA429">
        <v>62.972425999999999</v>
      </c>
      <c r="AB429">
        <v>41.981617</v>
      </c>
      <c r="AC429">
        <v>50</v>
      </c>
      <c r="AD429">
        <v>77.229167000000004</v>
      </c>
      <c r="AE429">
        <v>50</v>
      </c>
      <c r="AF429">
        <v>50</v>
      </c>
      <c r="AG429">
        <v>62.577961000000002</v>
      </c>
      <c r="AH429">
        <v>75</v>
      </c>
      <c r="AI429">
        <v>41.718640999999998</v>
      </c>
      <c r="AJ429">
        <v>50</v>
      </c>
      <c r="AK429">
        <v>6.3</v>
      </c>
      <c r="AL429">
        <v>12.02</v>
      </c>
      <c r="AM429">
        <v>12.42</v>
      </c>
      <c r="AN429">
        <v>0.58763900000000002</v>
      </c>
      <c r="AO429">
        <v>58.763933999999999</v>
      </c>
      <c r="AP429">
        <v>100</v>
      </c>
      <c r="AQ429">
        <v>0.71621000000000001</v>
      </c>
      <c r="AR429">
        <v>71.621020999999999</v>
      </c>
      <c r="AS429">
        <v>100</v>
      </c>
      <c r="AT429">
        <v>0.54536099999999998</v>
      </c>
      <c r="AU429">
        <v>0.596777</v>
      </c>
      <c r="AV429">
        <v>54.536133</v>
      </c>
      <c r="AW429">
        <v>100</v>
      </c>
      <c r="AX429">
        <v>0.57452599999999998</v>
      </c>
      <c r="AY429">
        <v>0.74640200000000001</v>
      </c>
      <c r="AZ429">
        <v>57.452559999999998</v>
      </c>
      <c r="BA429">
        <v>100</v>
      </c>
      <c r="BB429" t="s">
        <v>125</v>
      </c>
      <c r="BC429" t="s">
        <v>125</v>
      </c>
      <c r="BD429" t="s">
        <v>125</v>
      </c>
      <c r="BE429" t="s">
        <v>125</v>
      </c>
      <c r="BF429" t="s">
        <v>125</v>
      </c>
      <c r="BG429" t="s">
        <v>125</v>
      </c>
      <c r="BH429">
        <v>0</v>
      </c>
      <c r="BI429">
        <v>0.99757300000000004</v>
      </c>
      <c r="BJ429">
        <v>0.99382700000000002</v>
      </c>
      <c r="BK429">
        <v>0.99848899999999996</v>
      </c>
      <c r="BL429">
        <v>0.99635899999999999</v>
      </c>
      <c r="BM429">
        <v>0.98765400000000003</v>
      </c>
      <c r="BN429">
        <v>0.99848899999999996</v>
      </c>
      <c r="BO429">
        <v>0.98765400000000003</v>
      </c>
      <c r="BP429">
        <v>0.95833299999999999</v>
      </c>
      <c r="BQ429">
        <v>0.99487199999999998</v>
      </c>
      <c r="BR429">
        <v>5.1033000000000002E-2</v>
      </c>
      <c r="BS429">
        <v>49.793438999999999</v>
      </c>
      <c r="BT429">
        <v>50</v>
      </c>
      <c r="BU429">
        <v>8.1761E-2</v>
      </c>
      <c r="BV429">
        <v>43.647798999999999</v>
      </c>
      <c r="BW429">
        <v>50</v>
      </c>
      <c r="BX429" t="s">
        <v>125</v>
      </c>
      <c r="BY429" t="s">
        <v>125</v>
      </c>
      <c r="BZ429" t="s">
        <v>125</v>
      </c>
      <c r="CA429" t="s">
        <v>125</v>
      </c>
      <c r="CB429" t="s">
        <v>125</v>
      </c>
      <c r="CC429" t="s">
        <v>125</v>
      </c>
      <c r="CD429">
        <v>0.98007999999999995</v>
      </c>
      <c r="CE429">
        <v>50</v>
      </c>
      <c r="CF429">
        <v>50</v>
      </c>
      <c r="CG429" t="s">
        <v>125</v>
      </c>
      <c r="CH429" t="s">
        <v>125</v>
      </c>
      <c r="CI429" t="s">
        <v>125</v>
      </c>
      <c r="CJ429" t="s">
        <v>125</v>
      </c>
      <c r="CK429" t="s">
        <v>125</v>
      </c>
      <c r="CL429" t="s">
        <v>125</v>
      </c>
      <c r="CM429" t="s">
        <v>125</v>
      </c>
      <c r="CN429" t="s">
        <v>125</v>
      </c>
      <c r="CO429" t="s">
        <v>125</v>
      </c>
      <c r="CP429" t="s">
        <v>125</v>
      </c>
      <c r="CQ429">
        <v>0.65202700000000002</v>
      </c>
      <c r="CR429">
        <v>1.1792830000000001</v>
      </c>
      <c r="CS429">
        <v>43.468468000000001</v>
      </c>
      <c r="CT429">
        <v>50</v>
      </c>
      <c r="CU429" t="s">
        <v>125</v>
      </c>
      <c r="CV429" t="s">
        <v>125</v>
      </c>
      <c r="CW429" t="s">
        <v>125</v>
      </c>
      <c r="CX429" t="s">
        <v>125</v>
      </c>
      <c r="CY429" t="s">
        <v>125</v>
      </c>
      <c r="CZ429" t="s">
        <v>125</v>
      </c>
      <c r="DA429">
        <v>15.314097</v>
      </c>
      <c r="DB429">
        <v>17.400950000000002</v>
      </c>
      <c r="DC429">
        <v>16.332519999999999</v>
      </c>
      <c r="DD429" t="s">
        <v>125</v>
      </c>
      <c r="DE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Q429" t="s">
        <v>126</v>
      </c>
    </row>
    <row r="430" spans="1:121" x14ac:dyDescent="0.15">
      <c r="A430">
        <v>2018</v>
      </c>
      <c r="B430" t="s">
        <v>210</v>
      </c>
      <c r="C430" t="str">
        <f t="shared" si="10"/>
        <v>0510011</v>
      </c>
      <c r="D430" t="s">
        <v>580</v>
      </c>
      <c r="E430" t="str">
        <f>"0511311"</f>
        <v>0511311</v>
      </c>
      <c r="F430" t="s">
        <v>328</v>
      </c>
      <c r="G430" t="s">
        <v>339</v>
      </c>
      <c r="H430">
        <v>5</v>
      </c>
      <c r="J430" t="s">
        <v>331</v>
      </c>
      <c r="K430">
        <v>705.564165</v>
      </c>
      <c r="L430">
        <v>800</v>
      </c>
      <c r="M430">
        <v>88.195520999999999</v>
      </c>
      <c r="N430">
        <v>1</v>
      </c>
      <c r="O430">
        <v>0</v>
      </c>
      <c r="P430">
        <v>84.868144000000001</v>
      </c>
      <c r="Q430">
        <v>50</v>
      </c>
      <c r="R430">
        <v>50</v>
      </c>
      <c r="S430">
        <v>79.409043999999994</v>
      </c>
      <c r="T430">
        <v>75</v>
      </c>
      <c r="U430">
        <v>50</v>
      </c>
      <c r="V430">
        <v>50</v>
      </c>
      <c r="W430">
        <v>83.249180999999993</v>
      </c>
      <c r="X430">
        <v>50</v>
      </c>
      <c r="Y430">
        <v>50</v>
      </c>
      <c r="Z430">
        <v>75</v>
      </c>
      <c r="AA430">
        <v>78.492092</v>
      </c>
      <c r="AB430">
        <v>50</v>
      </c>
      <c r="AC430">
        <v>50</v>
      </c>
      <c r="AD430">
        <v>79.146000999999998</v>
      </c>
      <c r="AE430">
        <v>50</v>
      </c>
      <c r="AF430">
        <v>50</v>
      </c>
      <c r="AG430" t="s">
        <v>125</v>
      </c>
      <c r="AH430">
        <v>75</v>
      </c>
      <c r="AI430" t="s">
        <v>125</v>
      </c>
      <c r="AJ430" t="s">
        <v>125</v>
      </c>
      <c r="AK430">
        <v>-4.4000000000000004</v>
      </c>
      <c r="AL430">
        <v>-3.49</v>
      </c>
      <c r="AM430" t="s">
        <v>125</v>
      </c>
      <c r="AN430">
        <v>0.80228699999999997</v>
      </c>
      <c r="AO430">
        <v>80.22869</v>
      </c>
      <c r="AP430">
        <v>100</v>
      </c>
      <c r="AQ430">
        <v>0.79683999999999999</v>
      </c>
      <c r="AR430">
        <v>79.683998000000003</v>
      </c>
      <c r="AS430">
        <v>100</v>
      </c>
      <c r="AT430">
        <v>0.756965</v>
      </c>
      <c r="AU430">
        <v>0.811639</v>
      </c>
      <c r="AV430">
        <v>75.696470000000005</v>
      </c>
      <c r="AW430">
        <v>100</v>
      </c>
      <c r="AX430">
        <v>0.83908899999999997</v>
      </c>
      <c r="AY430">
        <v>0.78812199999999999</v>
      </c>
      <c r="AZ430">
        <v>83.908936999999995</v>
      </c>
      <c r="BA430">
        <v>100</v>
      </c>
      <c r="BB430" t="s">
        <v>125</v>
      </c>
      <c r="BC430" t="s">
        <v>125</v>
      </c>
      <c r="BD430" t="s">
        <v>125</v>
      </c>
      <c r="BE430" t="s">
        <v>125</v>
      </c>
      <c r="BF430" t="s">
        <v>125</v>
      </c>
      <c r="BG430" t="s">
        <v>125</v>
      </c>
      <c r="BH430">
        <v>0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0.98969099999999999</v>
      </c>
      <c r="BP430" t="s">
        <v>125</v>
      </c>
      <c r="BQ430">
        <v>0.98717900000000003</v>
      </c>
      <c r="BR430">
        <v>5.1802000000000001E-2</v>
      </c>
      <c r="BS430">
        <v>49.63964</v>
      </c>
      <c r="BT430">
        <v>50</v>
      </c>
      <c r="BU430">
        <v>7.6923000000000005E-2</v>
      </c>
      <c r="BV430">
        <v>44.615385000000003</v>
      </c>
      <c r="BW430">
        <v>50</v>
      </c>
      <c r="BX430" t="s">
        <v>125</v>
      </c>
      <c r="BY430" t="s">
        <v>125</v>
      </c>
      <c r="BZ430" t="s">
        <v>125</v>
      </c>
      <c r="CA430" t="s">
        <v>125</v>
      </c>
      <c r="CB430" t="s">
        <v>125</v>
      </c>
      <c r="CC430" t="s">
        <v>125</v>
      </c>
      <c r="CD430" t="s">
        <v>125</v>
      </c>
      <c r="CE430" t="s">
        <v>125</v>
      </c>
      <c r="CF430" t="s">
        <v>125</v>
      </c>
      <c r="CG430" t="s">
        <v>125</v>
      </c>
      <c r="CH430" t="s">
        <v>125</v>
      </c>
      <c r="CI430" t="s">
        <v>125</v>
      </c>
      <c r="CJ430" t="s">
        <v>125</v>
      </c>
      <c r="CK430" t="s">
        <v>125</v>
      </c>
      <c r="CL430" t="s">
        <v>125</v>
      </c>
      <c r="CM430" t="s">
        <v>125</v>
      </c>
      <c r="CN430" t="s">
        <v>125</v>
      </c>
      <c r="CO430" t="s">
        <v>125</v>
      </c>
      <c r="CP430" t="s">
        <v>125</v>
      </c>
      <c r="CQ430">
        <v>0.62686600000000003</v>
      </c>
      <c r="CR430">
        <v>1.0151520000000001</v>
      </c>
      <c r="CS430">
        <v>41.791044999999997</v>
      </c>
      <c r="CT430">
        <v>50</v>
      </c>
      <c r="CU430" t="s">
        <v>125</v>
      </c>
      <c r="CV430" t="s">
        <v>125</v>
      </c>
      <c r="CW430" t="s">
        <v>125</v>
      </c>
      <c r="CX430" t="s">
        <v>125</v>
      </c>
      <c r="CY430" t="s">
        <v>125</v>
      </c>
      <c r="CZ430" t="s">
        <v>125</v>
      </c>
      <c r="DA430">
        <v>15.314097</v>
      </c>
      <c r="DB430">
        <v>17.400950000000002</v>
      </c>
      <c r="DC430">
        <v>16.332519999999999</v>
      </c>
      <c r="DD430" t="s">
        <v>125</v>
      </c>
      <c r="DE430">
        <v>0</v>
      </c>
      <c r="DH430" t="s">
        <v>332</v>
      </c>
      <c r="DI430" t="s">
        <v>479</v>
      </c>
      <c r="DJ430">
        <v>1</v>
      </c>
      <c r="DK430">
        <v>1</v>
      </c>
      <c r="DL430">
        <v>0</v>
      </c>
      <c r="DM430">
        <v>1</v>
      </c>
      <c r="DN430">
        <v>1</v>
      </c>
      <c r="DO430">
        <v>0</v>
      </c>
      <c r="DQ430" t="s">
        <v>126</v>
      </c>
    </row>
    <row r="431" spans="1:121" x14ac:dyDescent="0.15">
      <c r="A431">
        <v>2018</v>
      </c>
      <c r="B431" t="s">
        <v>210</v>
      </c>
      <c r="C431" t="str">
        <f t="shared" si="10"/>
        <v>0510011</v>
      </c>
      <c r="D431" t="s">
        <v>581</v>
      </c>
      <c r="E431" t="str">
        <f>"0511411"</f>
        <v>0511411</v>
      </c>
      <c r="F431" t="s">
        <v>328</v>
      </c>
      <c r="G431" t="s">
        <v>329</v>
      </c>
      <c r="H431">
        <v>5</v>
      </c>
      <c r="J431" t="s">
        <v>331</v>
      </c>
      <c r="K431">
        <v>647.69951600000002</v>
      </c>
      <c r="L431">
        <v>800</v>
      </c>
      <c r="M431">
        <v>80.962440000000001</v>
      </c>
      <c r="N431">
        <v>2</v>
      </c>
      <c r="O431">
        <v>0</v>
      </c>
      <c r="P431">
        <v>79.921757999999997</v>
      </c>
      <c r="Q431">
        <v>50</v>
      </c>
      <c r="R431">
        <v>50</v>
      </c>
      <c r="S431">
        <v>65.184528999999998</v>
      </c>
      <c r="T431">
        <v>75</v>
      </c>
      <c r="U431">
        <v>43.456353</v>
      </c>
      <c r="V431">
        <v>50</v>
      </c>
      <c r="W431">
        <v>73.731093000000001</v>
      </c>
      <c r="X431">
        <v>49.154062000000003</v>
      </c>
      <c r="Y431">
        <v>50</v>
      </c>
      <c r="Z431">
        <v>75</v>
      </c>
      <c r="AA431">
        <v>59.613199999999999</v>
      </c>
      <c r="AB431">
        <v>39.742133000000003</v>
      </c>
      <c r="AC431">
        <v>50</v>
      </c>
      <c r="AD431">
        <v>73.968664000000004</v>
      </c>
      <c r="AE431">
        <v>49.312441999999997</v>
      </c>
      <c r="AF431">
        <v>50</v>
      </c>
      <c r="AG431" t="s">
        <v>125</v>
      </c>
      <c r="AH431">
        <v>75</v>
      </c>
      <c r="AI431" t="s">
        <v>125</v>
      </c>
      <c r="AJ431" t="s">
        <v>125</v>
      </c>
      <c r="AK431">
        <v>9.81</v>
      </c>
      <c r="AL431">
        <v>15.38</v>
      </c>
      <c r="AM431" t="s">
        <v>125</v>
      </c>
      <c r="AN431">
        <v>0.78513999999999995</v>
      </c>
      <c r="AO431">
        <v>78.513987999999998</v>
      </c>
      <c r="AP431">
        <v>100</v>
      </c>
      <c r="AQ431">
        <v>0.72795100000000001</v>
      </c>
      <c r="AR431">
        <v>72.795115999999993</v>
      </c>
      <c r="AS431">
        <v>100</v>
      </c>
      <c r="AT431">
        <v>0.68641300000000005</v>
      </c>
      <c r="AU431">
        <v>0.81140699999999999</v>
      </c>
      <c r="AV431">
        <v>68.641330999999994</v>
      </c>
      <c r="AW431">
        <v>100</v>
      </c>
      <c r="AX431">
        <v>0.707646</v>
      </c>
      <c r="AY431">
        <v>0.73340300000000003</v>
      </c>
      <c r="AZ431">
        <v>70.764617000000001</v>
      </c>
      <c r="BA431">
        <v>100</v>
      </c>
      <c r="BB431" t="s">
        <v>125</v>
      </c>
      <c r="BC431" t="s">
        <v>125</v>
      </c>
      <c r="BD431" t="s">
        <v>125</v>
      </c>
      <c r="BE431" t="s">
        <v>125</v>
      </c>
      <c r="BF431" t="s">
        <v>125</v>
      </c>
      <c r="BG431" t="s">
        <v>125</v>
      </c>
      <c r="BH431">
        <v>0</v>
      </c>
      <c r="BI431">
        <v>1</v>
      </c>
      <c r="BJ431">
        <v>1</v>
      </c>
      <c r="BK431">
        <v>1</v>
      </c>
      <c r="BL431">
        <v>0.99509800000000004</v>
      </c>
      <c r="BM431">
        <v>0.97826100000000005</v>
      </c>
      <c r="BN431">
        <v>1</v>
      </c>
      <c r="BO431">
        <v>0.98611099999999996</v>
      </c>
      <c r="BP431" t="s">
        <v>125</v>
      </c>
      <c r="BQ431">
        <v>1</v>
      </c>
      <c r="BR431">
        <v>5.2356E-2</v>
      </c>
      <c r="BS431">
        <v>49.528796</v>
      </c>
      <c r="BT431">
        <v>50</v>
      </c>
      <c r="BU431">
        <v>8.5365999999999997E-2</v>
      </c>
      <c r="BV431">
        <v>42.926828999999998</v>
      </c>
      <c r="BW431">
        <v>50</v>
      </c>
      <c r="BX431" t="s">
        <v>125</v>
      </c>
      <c r="BY431" t="s">
        <v>125</v>
      </c>
      <c r="BZ431" t="s">
        <v>125</v>
      </c>
      <c r="CA431" t="s">
        <v>125</v>
      </c>
      <c r="CB431" t="s">
        <v>125</v>
      </c>
      <c r="CC431" t="s">
        <v>125</v>
      </c>
      <c r="CD431" t="s">
        <v>125</v>
      </c>
      <c r="CE431" t="s">
        <v>125</v>
      </c>
      <c r="CF431" t="s">
        <v>125</v>
      </c>
      <c r="CG431" t="s">
        <v>125</v>
      </c>
      <c r="CH431" t="s">
        <v>125</v>
      </c>
      <c r="CI431" t="s">
        <v>125</v>
      </c>
      <c r="CJ431" t="s">
        <v>125</v>
      </c>
      <c r="CK431" t="s">
        <v>125</v>
      </c>
      <c r="CL431" t="s">
        <v>125</v>
      </c>
      <c r="CM431" t="s">
        <v>125</v>
      </c>
      <c r="CN431" t="s">
        <v>125</v>
      </c>
      <c r="CO431" t="s">
        <v>125</v>
      </c>
      <c r="CP431" t="s">
        <v>125</v>
      </c>
      <c r="CQ431">
        <v>0.49295800000000001</v>
      </c>
      <c r="CR431">
        <v>1</v>
      </c>
      <c r="CS431">
        <v>32.863849999999999</v>
      </c>
      <c r="CT431">
        <v>50</v>
      </c>
      <c r="CU431" t="s">
        <v>125</v>
      </c>
      <c r="CV431" t="s">
        <v>125</v>
      </c>
      <c r="CW431" t="s">
        <v>125</v>
      </c>
      <c r="CX431" t="s">
        <v>125</v>
      </c>
      <c r="CY431" t="s">
        <v>125</v>
      </c>
      <c r="CZ431" t="s">
        <v>125</v>
      </c>
      <c r="DA431">
        <v>15.314097</v>
      </c>
      <c r="DB431">
        <v>17.400950000000002</v>
      </c>
      <c r="DC431">
        <v>16.332519999999999</v>
      </c>
      <c r="DD431" t="s">
        <v>125</v>
      </c>
      <c r="DE431">
        <v>0</v>
      </c>
      <c r="DH431" t="s">
        <v>332</v>
      </c>
      <c r="DI431" t="s">
        <v>501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Q431" t="s">
        <v>126</v>
      </c>
    </row>
    <row r="432" spans="1:121" x14ac:dyDescent="0.15">
      <c r="A432">
        <v>2018</v>
      </c>
      <c r="B432" t="s">
        <v>210</v>
      </c>
      <c r="C432" t="str">
        <f t="shared" si="10"/>
        <v>0510011</v>
      </c>
      <c r="D432" t="s">
        <v>582</v>
      </c>
      <c r="E432" t="str">
        <f>"0515111"</f>
        <v>0515111</v>
      </c>
      <c r="F432" t="s">
        <v>328</v>
      </c>
      <c r="G432">
        <v>6</v>
      </c>
      <c r="H432">
        <v>8</v>
      </c>
      <c r="J432" t="s">
        <v>331</v>
      </c>
      <c r="K432">
        <v>761.27987199999995</v>
      </c>
      <c r="L432">
        <v>1000</v>
      </c>
      <c r="M432">
        <v>76.127987000000005</v>
      </c>
      <c r="N432">
        <v>2</v>
      </c>
      <c r="O432">
        <v>0</v>
      </c>
      <c r="P432">
        <v>75.688834</v>
      </c>
      <c r="Q432">
        <v>50</v>
      </c>
      <c r="R432">
        <v>50</v>
      </c>
      <c r="S432">
        <v>64.174431999999996</v>
      </c>
      <c r="T432">
        <v>75</v>
      </c>
      <c r="U432">
        <v>42.782955000000001</v>
      </c>
      <c r="V432">
        <v>50</v>
      </c>
      <c r="W432">
        <v>71.541985999999994</v>
      </c>
      <c r="X432">
        <v>47.694656999999999</v>
      </c>
      <c r="Y432">
        <v>50</v>
      </c>
      <c r="Z432">
        <v>75</v>
      </c>
      <c r="AA432">
        <v>58.443631000000003</v>
      </c>
      <c r="AB432">
        <v>38.962420999999999</v>
      </c>
      <c r="AC432">
        <v>50</v>
      </c>
      <c r="AD432">
        <v>74.179310000000001</v>
      </c>
      <c r="AE432">
        <v>49.452874000000001</v>
      </c>
      <c r="AF432">
        <v>50</v>
      </c>
      <c r="AG432">
        <v>64.606033999999994</v>
      </c>
      <c r="AH432">
        <v>75</v>
      </c>
      <c r="AI432">
        <v>43.070689999999999</v>
      </c>
      <c r="AJ432">
        <v>50</v>
      </c>
      <c r="AK432">
        <v>10.82</v>
      </c>
      <c r="AL432">
        <v>16.55</v>
      </c>
      <c r="AM432">
        <v>10.39</v>
      </c>
      <c r="AN432">
        <v>0.61384300000000003</v>
      </c>
      <c r="AO432">
        <v>61.384340000000002</v>
      </c>
      <c r="AP432">
        <v>100</v>
      </c>
      <c r="AQ432">
        <v>0.73438099999999995</v>
      </c>
      <c r="AR432">
        <v>73.438107000000002</v>
      </c>
      <c r="AS432">
        <v>100</v>
      </c>
      <c r="AT432">
        <v>0.59126299999999998</v>
      </c>
      <c r="AU432">
        <v>0.62579799999999997</v>
      </c>
      <c r="AV432">
        <v>59.126263999999999</v>
      </c>
      <c r="AW432">
        <v>100</v>
      </c>
      <c r="AX432">
        <v>0.62670999999999999</v>
      </c>
      <c r="AY432">
        <v>0.79164699999999999</v>
      </c>
      <c r="AZ432">
        <v>62.671016999999999</v>
      </c>
      <c r="BA432">
        <v>100</v>
      </c>
      <c r="BB432">
        <v>0.54761300000000002</v>
      </c>
      <c r="BC432">
        <v>27.380642999999999</v>
      </c>
      <c r="BD432">
        <v>50</v>
      </c>
      <c r="BE432">
        <v>0.60162800000000005</v>
      </c>
      <c r="BF432">
        <v>30.081406000000001</v>
      </c>
      <c r="BG432">
        <v>50</v>
      </c>
      <c r="BH432">
        <v>0</v>
      </c>
      <c r="BI432">
        <v>0.99548899999999996</v>
      </c>
      <c r="BJ432">
        <v>0.99583299999999997</v>
      </c>
      <c r="BK432">
        <v>0.99529400000000001</v>
      </c>
      <c r="BL432">
        <v>0.99398500000000001</v>
      </c>
      <c r="BM432">
        <v>0.99166699999999997</v>
      </c>
      <c r="BN432">
        <v>0.99529400000000001</v>
      </c>
      <c r="BO432">
        <v>0.99114999999999998</v>
      </c>
      <c r="BP432">
        <v>1</v>
      </c>
      <c r="BQ432">
        <v>0.98591499999999999</v>
      </c>
      <c r="BR432">
        <v>6.0150000000000002E-2</v>
      </c>
      <c r="BS432">
        <v>47.969925000000003</v>
      </c>
      <c r="BT432">
        <v>50</v>
      </c>
      <c r="BU432">
        <v>0.1</v>
      </c>
      <c r="BV432">
        <v>40</v>
      </c>
      <c r="BW432">
        <v>50</v>
      </c>
      <c r="BX432" t="s">
        <v>125</v>
      </c>
      <c r="BY432" t="s">
        <v>125</v>
      </c>
      <c r="BZ432" t="s">
        <v>125</v>
      </c>
      <c r="CA432" t="s">
        <v>125</v>
      </c>
      <c r="CB432" t="s">
        <v>125</v>
      </c>
      <c r="CC432" t="s">
        <v>125</v>
      </c>
      <c r="CD432">
        <v>0.92783499999999997</v>
      </c>
      <c r="CE432">
        <v>49.352927999999999</v>
      </c>
      <c r="CF432">
        <v>50</v>
      </c>
      <c r="CG432" t="s">
        <v>125</v>
      </c>
      <c r="CH432" t="s">
        <v>125</v>
      </c>
      <c r="CI432" t="s">
        <v>125</v>
      </c>
      <c r="CJ432" t="s">
        <v>125</v>
      </c>
      <c r="CK432" t="s">
        <v>125</v>
      </c>
      <c r="CL432" t="s">
        <v>125</v>
      </c>
      <c r="CM432" t="s">
        <v>125</v>
      </c>
      <c r="CN432" t="s">
        <v>125</v>
      </c>
      <c r="CO432" t="s">
        <v>125</v>
      </c>
      <c r="CP432" t="s">
        <v>125</v>
      </c>
      <c r="CQ432">
        <v>0.56867500000000004</v>
      </c>
      <c r="CR432">
        <v>0.94965699999999997</v>
      </c>
      <c r="CS432">
        <v>37.911647000000002</v>
      </c>
      <c r="CT432">
        <v>50</v>
      </c>
      <c r="CU432" t="s">
        <v>125</v>
      </c>
      <c r="CV432" t="s">
        <v>125</v>
      </c>
      <c r="CW432" t="s">
        <v>125</v>
      </c>
      <c r="CX432" t="s">
        <v>125</v>
      </c>
      <c r="CY432" t="s">
        <v>125</v>
      </c>
      <c r="CZ432" t="s">
        <v>125</v>
      </c>
      <c r="DA432">
        <v>15.314097</v>
      </c>
      <c r="DB432">
        <v>17.400950000000002</v>
      </c>
      <c r="DC432">
        <v>16.332519999999999</v>
      </c>
      <c r="DD432" t="s">
        <v>125</v>
      </c>
      <c r="DE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Q432" t="s">
        <v>126</v>
      </c>
    </row>
    <row r="433" spans="1:121" x14ac:dyDescent="0.15">
      <c r="A433">
        <v>2018</v>
      </c>
      <c r="B433" t="s">
        <v>193</v>
      </c>
      <c r="C433" t="str">
        <f t="shared" ref="C433:C439" si="11">"0520011"</f>
        <v>0520011</v>
      </c>
      <c r="D433" t="s">
        <v>583</v>
      </c>
      <c r="E433" t="str">
        <f>"0520411"</f>
        <v>0520411</v>
      </c>
      <c r="F433" t="s">
        <v>328</v>
      </c>
      <c r="G433" t="s">
        <v>339</v>
      </c>
      <c r="H433">
        <v>4</v>
      </c>
      <c r="J433" t="s">
        <v>331</v>
      </c>
      <c r="K433">
        <v>697.69022900000004</v>
      </c>
      <c r="L433">
        <v>850</v>
      </c>
      <c r="M433">
        <v>82.081203000000002</v>
      </c>
      <c r="N433">
        <v>2</v>
      </c>
      <c r="O433">
        <v>0</v>
      </c>
      <c r="P433">
        <v>84.344524000000007</v>
      </c>
      <c r="Q433">
        <v>50</v>
      </c>
      <c r="R433">
        <v>50</v>
      </c>
      <c r="S433">
        <v>75.211495999999997</v>
      </c>
      <c r="T433">
        <v>75</v>
      </c>
      <c r="U433">
        <v>50</v>
      </c>
      <c r="V433">
        <v>50</v>
      </c>
      <c r="W433">
        <v>82.248192000000003</v>
      </c>
      <c r="X433">
        <v>50</v>
      </c>
      <c r="Y433">
        <v>50</v>
      </c>
      <c r="Z433">
        <v>75</v>
      </c>
      <c r="AA433">
        <v>74.973968999999997</v>
      </c>
      <c r="AB433">
        <v>49.982646000000003</v>
      </c>
      <c r="AC433">
        <v>50</v>
      </c>
      <c r="AD433" t="s">
        <v>125</v>
      </c>
      <c r="AE433" t="s">
        <v>125</v>
      </c>
      <c r="AF433" t="s">
        <v>125</v>
      </c>
      <c r="AG433" t="s">
        <v>125</v>
      </c>
      <c r="AH433" t="s">
        <v>125</v>
      </c>
      <c r="AI433" t="s">
        <v>125</v>
      </c>
      <c r="AJ433" t="s">
        <v>125</v>
      </c>
      <c r="AK433">
        <v>-0.21</v>
      </c>
      <c r="AL433">
        <v>0.02</v>
      </c>
      <c r="AM433" t="s">
        <v>125</v>
      </c>
      <c r="AN433">
        <v>0.80199200000000004</v>
      </c>
      <c r="AO433">
        <v>80.199231999999995</v>
      </c>
      <c r="AP433">
        <v>100</v>
      </c>
      <c r="AQ433">
        <v>0.82253699999999996</v>
      </c>
      <c r="AR433">
        <v>82.253662000000006</v>
      </c>
      <c r="AS433">
        <v>100</v>
      </c>
      <c r="AT433">
        <v>0.72077800000000003</v>
      </c>
      <c r="AU433">
        <v>0.83890799999999999</v>
      </c>
      <c r="AV433">
        <v>72.077832999999998</v>
      </c>
      <c r="AW433">
        <v>100</v>
      </c>
      <c r="AX433">
        <v>0.76881200000000005</v>
      </c>
      <c r="AY433">
        <v>0.84695699999999996</v>
      </c>
      <c r="AZ433">
        <v>76.881236000000001</v>
      </c>
      <c r="BA433">
        <v>100</v>
      </c>
      <c r="BB433">
        <v>0.50891399999999998</v>
      </c>
      <c r="BC433">
        <v>25.445701</v>
      </c>
      <c r="BD433">
        <v>50</v>
      </c>
      <c r="BE433">
        <v>0.52686100000000002</v>
      </c>
      <c r="BF433">
        <v>26.343053000000001</v>
      </c>
      <c r="BG433">
        <v>50</v>
      </c>
      <c r="BH433">
        <v>0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 t="s">
        <v>125</v>
      </c>
      <c r="BP433" t="s">
        <v>125</v>
      </c>
      <c r="BQ433" t="s">
        <v>125</v>
      </c>
      <c r="BR433">
        <v>5.5556000000000001E-2</v>
      </c>
      <c r="BS433">
        <v>48.888888999999999</v>
      </c>
      <c r="BT433">
        <v>50</v>
      </c>
      <c r="BU433">
        <v>6.6667000000000004E-2</v>
      </c>
      <c r="BV433">
        <v>46.666666999999997</v>
      </c>
      <c r="BW433">
        <v>50</v>
      </c>
      <c r="BX433" t="s">
        <v>125</v>
      </c>
      <c r="BY433" t="s">
        <v>125</v>
      </c>
      <c r="BZ433" t="s">
        <v>125</v>
      </c>
      <c r="CA433" t="s">
        <v>125</v>
      </c>
      <c r="CB433" t="s">
        <v>125</v>
      </c>
      <c r="CC433" t="s">
        <v>125</v>
      </c>
      <c r="CD433" t="s">
        <v>125</v>
      </c>
      <c r="CE433" t="s">
        <v>125</v>
      </c>
      <c r="CF433" t="s">
        <v>125</v>
      </c>
      <c r="CG433" t="s">
        <v>125</v>
      </c>
      <c r="CH433" t="s">
        <v>125</v>
      </c>
      <c r="CI433" t="s">
        <v>125</v>
      </c>
      <c r="CJ433" t="s">
        <v>125</v>
      </c>
      <c r="CK433" t="s">
        <v>125</v>
      </c>
      <c r="CL433" t="s">
        <v>125</v>
      </c>
      <c r="CM433" t="s">
        <v>125</v>
      </c>
      <c r="CN433" t="s">
        <v>125</v>
      </c>
      <c r="CO433" t="s">
        <v>125</v>
      </c>
      <c r="CP433" t="s">
        <v>125</v>
      </c>
      <c r="CQ433">
        <v>0.58426999999999996</v>
      </c>
      <c r="CR433">
        <v>0.967391</v>
      </c>
      <c r="CS433">
        <v>38.951310999999997</v>
      </c>
      <c r="CT433">
        <v>50</v>
      </c>
      <c r="CU433" t="s">
        <v>125</v>
      </c>
      <c r="CV433" t="s">
        <v>125</v>
      </c>
      <c r="CW433" t="s">
        <v>125</v>
      </c>
      <c r="CX433" t="s">
        <v>125</v>
      </c>
      <c r="CY433" t="s">
        <v>125</v>
      </c>
      <c r="CZ433" t="s">
        <v>125</v>
      </c>
      <c r="DA433">
        <v>15.314097</v>
      </c>
      <c r="DB433">
        <v>17.400950000000002</v>
      </c>
      <c r="DC433">
        <v>16.332519999999999</v>
      </c>
      <c r="DD433" t="s">
        <v>125</v>
      </c>
      <c r="DE433">
        <v>0</v>
      </c>
      <c r="DH433" t="s">
        <v>332</v>
      </c>
      <c r="DI433" t="s">
        <v>529</v>
      </c>
      <c r="DJ433">
        <v>0</v>
      </c>
      <c r="DK433">
        <v>1</v>
      </c>
      <c r="DL433">
        <v>0</v>
      </c>
      <c r="DM433">
        <v>1</v>
      </c>
      <c r="DN433">
        <v>0</v>
      </c>
      <c r="DO433">
        <v>0</v>
      </c>
      <c r="DQ433" t="s">
        <v>126</v>
      </c>
    </row>
    <row r="434" spans="1:121" x14ac:dyDescent="0.15">
      <c r="A434">
        <v>2018</v>
      </c>
      <c r="B434" t="s">
        <v>193</v>
      </c>
      <c r="C434" t="str">
        <f t="shared" si="11"/>
        <v>0520011</v>
      </c>
      <c r="D434" t="s">
        <v>584</v>
      </c>
      <c r="E434" t="str">
        <f>"0526111"</f>
        <v>0526111</v>
      </c>
      <c r="F434" t="s">
        <v>328</v>
      </c>
      <c r="G434">
        <v>9</v>
      </c>
      <c r="H434">
        <v>12</v>
      </c>
      <c r="I434" t="s">
        <v>330</v>
      </c>
      <c r="J434" t="s">
        <v>331</v>
      </c>
      <c r="K434">
        <v>1285.588804</v>
      </c>
      <c r="L434">
        <v>1450</v>
      </c>
      <c r="M434">
        <v>88.661297000000005</v>
      </c>
      <c r="N434">
        <v>2</v>
      </c>
      <c r="O434">
        <v>1</v>
      </c>
      <c r="P434">
        <v>70.109562999999994</v>
      </c>
      <c r="Q434">
        <v>140.21912499999999</v>
      </c>
      <c r="R434">
        <v>150</v>
      </c>
      <c r="S434">
        <v>55.392206000000002</v>
      </c>
      <c r="T434">
        <v>74.591667000000001</v>
      </c>
      <c r="U434">
        <v>110.78441100000001</v>
      </c>
      <c r="V434">
        <v>150</v>
      </c>
      <c r="W434">
        <v>69.528261999999998</v>
      </c>
      <c r="X434">
        <v>139.056523</v>
      </c>
      <c r="Y434">
        <v>150</v>
      </c>
      <c r="Z434">
        <v>74.258332999999993</v>
      </c>
      <c r="AA434">
        <v>53.996682999999997</v>
      </c>
      <c r="AB434">
        <v>107.99336700000001</v>
      </c>
      <c r="AC434">
        <v>150</v>
      </c>
      <c r="AD434">
        <v>81.080719999999999</v>
      </c>
      <c r="AE434">
        <v>100</v>
      </c>
      <c r="AF434">
        <v>100</v>
      </c>
      <c r="AG434">
        <v>64.054207000000005</v>
      </c>
      <c r="AH434">
        <v>75</v>
      </c>
      <c r="AI434">
        <v>85.405608999999998</v>
      </c>
      <c r="AJ434">
        <v>100</v>
      </c>
      <c r="AK434">
        <v>19.190000000000001</v>
      </c>
      <c r="AL434">
        <v>20.260000000000002</v>
      </c>
      <c r="AM434">
        <v>10.94</v>
      </c>
      <c r="AN434" t="s">
        <v>125</v>
      </c>
      <c r="AO434" t="s">
        <v>125</v>
      </c>
      <c r="AP434" t="s">
        <v>125</v>
      </c>
      <c r="AQ434" t="s">
        <v>125</v>
      </c>
      <c r="AR434" t="s">
        <v>125</v>
      </c>
      <c r="AS434" t="s">
        <v>125</v>
      </c>
      <c r="AT434" t="s">
        <v>125</v>
      </c>
      <c r="AU434" t="s">
        <v>125</v>
      </c>
      <c r="AV434" t="s">
        <v>125</v>
      </c>
      <c r="AW434" t="s">
        <v>125</v>
      </c>
      <c r="AX434" t="s">
        <v>125</v>
      </c>
      <c r="AY434" t="s">
        <v>125</v>
      </c>
      <c r="AZ434" t="s">
        <v>125</v>
      </c>
      <c r="BA434" t="s">
        <v>125</v>
      </c>
      <c r="BB434" t="s">
        <v>125</v>
      </c>
      <c r="BC434" t="s">
        <v>125</v>
      </c>
      <c r="BD434" t="s">
        <v>125</v>
      </c>
      <c r="BE434" t="s">
        <v>125</v>
      </c>
      <c r="BF434" t="s">
        <v>125</v>
      </c>
      <c r="BG434" t="s">
        <v>125</v>
      </c>
      <c r="BH434">
        <v>0</v>
      </c>
      <c r="BI434">
        <v>0.98316499999999996</v>
      </c>
      <c r="BJ434">
        <v>0.95945899999999995</v>
      </c>
      <c r="BK434">
        <v>0.991031</v>
      </c>
      <c r="BL434">
        <v>0.98316499999999996</v>
      </c>
      <c r="BM434">
        <v>0.95945899999999995</v>
      </c>
      <c r="BN434">
        <v>0.991031</v>
      </c>
      <c r="BO434">
        <v>0.98322100000000001</v>
      </c>
      <c r="BP434">
        <v>0.96</v>
      </c>
      <c r="BQ434">
        <v>0.991031</v>
      </c>
      <c r="BR434">
        <v>7.4940000000000007E-2</v>
      </c>
      <c r="BS434">
        <v>45.012087000000001</v>
      </c>
      <c r="BT434">
        <v>50</v>
      </c>
      <c r="BU434">
        <v>0.162577</v>
      </c>
      <c r="BV434">
        <v>27.484663000000001</v>
      </c>
      <c r="BW434">
        <v>50</v>
      </c>
      <c r="BX434">
        <v>0.78741499999999998</v>
      </c>
      <c r="BY434">
        <v>50</v>
      </c>
      <c r="BZ434">
        <v>50</v>
      </c>
      <c r="CA434">
        <v>0.71938800000000003</v>
      </c>
      <c r="CB434">
        <v>47.959184</v>
      </c>
      <c r="CC434">
        <v>50</v>
      </c>
      <c r="CD434">
        <v>0.99096399999999996</v>
      </c>
      <c r="CE434">
        <v>50</v>
      </c>
      <c r="CF434">
        <v>50</v>
      </c>
      <c r="CG434">
        <v>0.97517699999999996</v>
      </c>
      <c r="CH434">
        <v>100</v>
      </c>
      <c r="CI434">
        <v>100</v>
      </c>
      <c r="CJ434">
        <v>0</v>
      </c>
      <c r="CK434">
        <v>0.943662</v>
      </c>
      <c r="CL434">
        <v>100</v>
      </c>
      <c r="CM434">
        <v>100</v>
      </c>
      <c r="CN434">
        <v>0.83812900000000001</v>
      </c>
      <c r="CO434">
        <v>100</v>
      </c>
      <c r="CP434">
        <v>100</v>
      </c>
      <c r="CQ434">
        <v>0.50333300000000003</v>
      </c>
      <c r="CR434">
        <v>0.92879299999999998</v>
      </c>
      <c r="CS434">
        <v>33.555556000000003</v>
      </c>
      <c r="CT434">
        <v>50</v>
      </c>
      <c r="CU434">
        <v>0.57741900000000002</v>
      </c>
      <c r="CV434">
        <v>48.118279999999999</v>
      </c>
      <c r="CW434">
        <v>50</v>
      </c>
      <c r="CX434">
        <v>0.943662</v>
      </c>
      <c r="CY434">
        <v>0.94</v>
      </c>
      <c r="CZ434">
        <v>-3.6619999999999999E-3</v>
      </c>
      <c r="DA434">
        <v>15.314097</v>
      </c>
      <c r="DB434">
        <v>17.400950000000002</v>
      </c>
      <c r="DC434">
        <v>16.332519999999999</v>
      </c>
      <c r="DD434">
        <v>7.9891730000000001</v>
      </c>
      <c r="DE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Q434" t="s">
        <v>126</v>
      </c>
    </row>
    <row r="435" spans="1:121" x14ac:dyDescent="0.15">
      <c r="A435">
        <v>2018</v>
      </c>
      <c r="B435" t="s">
        <v>193</v>
      </c>
      <c r="C435" t="str">
        <f t="shared" si="11"/>
        <v>0520011</v>
      </c>
      <c r="D435" t="s">
        <v>585</v>
      </c>
      <c r="E435" t="str">
        <f>"0525111"</f>
        <v>0525111</v>
      </c>
      <c r="F435" t="s">
        <v>328</v>
      </c>
      <c r="G435">
        <v>7</v>
      </c>
      <c r="H435">
        <v>8</v>
      </c>
      <c r="J435" t="s">
        <v>331</v>
      </c>
      <c r="K435">
        <v>711.61704599999996</v>
      </c>
      <c r="L435">
        <v>900</v>
      </c>
      <c r="M435">
        <v>79.068561000000003</v>
      </c>
      <c r="N435">
        <v>2</v>
      </c>
      <c r="O435">
        <v>0</v>
      </c>
      <c r="P435">
        <v>83.208189000000004</v>
      </c>
      <c r="Q435">
        <v>50</v>
      </c>
      <c r="R435">
        <v>50</v>
      </c>
      <c r="S435">
        <v>65.866668000000004</v>
      </c>
      <c r="T435">
        <v>75</v>
      </c>
      <c r="U435">
        <v>43.911112000000003</v>
      </c>
      <c r="V435">
        <v>50</v>
      </c>
      <c r="W435">
        <v>78.569609999999997</v>
      </c>
      <c r="X435">
        <v>50</v>
      </c>
      <c r="Y435">
        <v>50</v>
      </c>
      <c r="Z435">
        <v>75</v>
      </c>
      <c r="AA435">
        <v>59.378633000000001</v>
      </c>
      <c r="AB435">
        <v>39.585756000000003</v>
      </c>
      <c r="AC435">
        <v>50</v>
      </c>
      <c r="AD435">
        <v>79.03716</v>
      </c>
      <c r="AE435">
        <v>50</v>
      </c>
      <c r="AF435">
        <v>50</v>
      </c>
      <c r="AG435">
        <v>63.625028999999998</v>
      </c>
      <c r="AH435">
        <v>75</v>
      </c>
      <c r="AI435">
        <v>42.416685999999999</v>
      </c>
      <c r="AJ435">
        <v>50</v>
      </c>
      <c r="AK435">
        <v>9.1300000000000008</v>
      </c>
      <c r="AL435">
        <v>15.62</v>
      </c>
      <c r="AM435">
        <v>11.37</v>
      </c>
      <c r="AN435">
        <v>0.67917700000000003</v>
      </c>
      <c r="AO435">
        <v>67.917671999999996</v>
      </c>
      <c r="AP435">
        <v>100</v>
      </c>
      <c r="AQ435">
        <v>0.75854999999999995</v>
      </c>
      <c r="AR435">
        <v>75.854956000000001</v>
      </c>
      <c r="AS435">
        <v>100</v>
      </c>
      <c r="AT435">
        <v>0.496612</v>
      </c>
      <c r="AU435">
        <v>0.73171600000000003</v>
      </c>
      <c r="AV435">
        <v>49.661208999999999</v>
      </c>
      <c r="AW435">
        <v>100</v>
      </c>
      <c r="AX435">
        <v>0.60699599999999998</v>
      </c>
      <c r="AY435">
        <v>0.80216399999999999</v>
      </c>
      <c r="AZ435">
        <v>60.699630999999997</v>
      </c>
      <c r="BA435">
        <v>100</v>
      </c>
      <c r="BB435" t="s">
        <v>125</v>
      </c>
      <c r="BC435" t="s">
        <v>125</v>
      </c>
      <c r="BD435" t="s">
        <v>125</v>
      </c>
      <c r="BE435" t="s">
        <v>125</v>
      </c>
      <c r="BF435" t="s">
        <v>125</v>
      </c>
      <c r="BG435" t="s">
        <v>125</v>
      </c>
      <c r="BH435">
        <v>0</v>
      </c>
      <c r="BI435">
        <v>0.99393900000000002</v>
      </c>
      <c r="BJ435">
        <v>0.99425300000000005</v>
      </c>
      <c r="BK435">
        <v>0.99382700000000002</v>
      </c>
      <c r="BL435">
        <v>0.99393900000000002</v>
      </c>
      <c r="BM435">
        <v>0.99425300000000005</v>
      </c>
      <c r="BN435">
        <v>0.99382700000000002</v>
      </c>
      <c r="BO435">
        <v>0.99079799999999996</v>
      </c>
      <c r="BP435">
        <v>0.98765400000000003</v>
      </c>
      <c r="BQ435">
        <v>0.99183699999999997</v>
      </c>
      <c r="BR435">
        <v>4.5455000000000002E-2</v>
      </c>
      <c r="BS435">
        <v>50</v>
      </c>
      <c r="BT435">
        <v>50</v>
      </c>
      <c r="BU435">
        <v>0.110429</v>
      </c>
      <c r="BV435">
        <v>37.914110000000001</v>
      </c>
      <c r="BW435">
        <v>50</v>
      </c>
      <c r="BX435" t="s">
        <v>125</v>
      </c>
      <c r="BY435" t="s">
        <v>125</v>
      </c>
      <c r="BZ435" t="s">
        <v>125</v>
      </c>
      <c r="CA435" t="s">
        <v>125</v>
      </c>
      <c r="CB435" t="s">
        <v>125</v>
      </c>
      <c r="CC435" t="s">
        <v>125</v>
      </c>
      <c r="CD435">
        <v>0.99068299999999998</v>
      </c>
      <c r="CE435">
        <v>50</v>
      </c>
      <c r="CF435">
        <v>50</v>
      </c>
      <c r="CG435" t="s">
        <v>125</v>
      </c>
      <c r="CH435" t="s">
        <v>125</v>
      </c>
      <c r="CI435" t="s">
        <v>125</v>
      </c>
      <c r="CJ435" t="s">
        <v>125</v>
      </c>
      <c r="CK435" t="s">
        <v>125</v>
      </c>
      <c r="CL435" t="s">
        <v>125</v>
      </c>
      <c r="CM435" t="s">
        <v>125</v>
      </c>
      <c r="CN435" t="s">
        <v>125</v>
      </c>
      <c r="CO435" t="s">
        <v>125</v>
      </c>
      <c r="CP435" t="s">
        <v>125</v>
      </c>
      <c r="CQ435">
        <v>0.65483899999999995</v>
      </c>
      <c r="CR435">
        <v>0.95091999999999999</v>
      </c>
      <c r="CS435">
        <v>43.655914000000003</v>
      </c>
      <c r="CT435">
        <v>50</v>
      </c>
      <c r="CU435" t="s">
        <v>125</v>
      </c>
      <c r="CV435" t="s">
        <v>125</v>
      </c>
      <c r="CW435" t="s">
        <v>125</v>
      </c>
      <c r="CX435" t="s">
        <v>125</v>
      </c>
      <c r="CY435" t="s">
        <v>125</v>
      </c>
      <c r="CZ435" t="s">
        <v>125</v>
      </c>
      <c r="DA435">
        <v>15.314097</v>
      </c>
      <c r="DB435">
        <v>17.400950000000002</v>
      </c>
      <c r="DC435">
        <v>16.332519999999999</v>
      </c>
      <c r="DD435" t="s">
        <v>125</v>
      </c>
      <c r="DE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Q435" t="s">
        <v>126</v>
      </c>
    </row>
    <row r="436" spans="1:121" x14ac:dyDescent="0.15">
      <c r="A436">
        <v>2018</v>
      </c>
      <c r="B436" t="s">
        <v>193</v>
      </c>
      <c r="C436" t="str">
        <f t="shared" si="11"/>
        <v>0520011</v>
      </c>
      <c r="D436" t="s">
        <v>586</v>
      </c>
      <c r="E436" t="str">
        <f>"0520211"</f>
        <v>0520211</v>
      </c>
      <c r="F436" t="s">
        <v>328</v>
      </c>
      <c r="G436" t="s">
        <v>339</v>
      </c>
      <c r="H436">
        <v>4</v>
      </c>
      <c r="I436" t="s">
        <v>330</v>
      </c>
      <c r="J436" t="s">
        <v>331</v>
      </c>
      <c r="K436">
        <v>481.16095799999999</v>
      </c>
      <c r="L436">
        <v>550</v>
      </c>
      <c r="M436">
        <v>87.483811000000003</v>
      </c>
      <c r="N436">
        <v>1</v>
      </c>
      <c r="O436">
        <v>0</v>
      </c>
      <c r="P436">
        <v>85.060441999999995</v>
      </c>
      <c r="Q436">
        <v>50</v>
      </c>
      <c r="R436">
        <v>50</v>
      </c>
      <c r="S436">
        <v>74.561070999999998</v>
      </c>
      <c r="T436">
        <v>75</v>
      </c>
      <c r="U436">
        <v>49.707380999999998</v>
      </c>
      <c r="V436">
        <v>50</v>
      </c>
      <c r="W436">
        <v>80.362876999999997</v>
      </c>
      <c r="X436">
        <v>50</v>
      </c>
      <c r="Y436">
        <v>50</v>
      </c>
      <c r="Z436">
        <v>75</v>
      </c>
      <c r="AA436">
        <v>68.164564999999996</v>
      </c>
      <c r="AB436">
        <v>45.443043000000003</v>
      </c>
      <c r="AC436">
        <v>50</v>
      </c>
      <c r="AD436" t="s">
        <v>125</v>
      </c>
      <c r="AE436" t="s">
        <v>125</v>
      </c>
      <c r="AF436" t="s">
        <v>125</v>
      </c>
      <c r="AG436" t="s">
        <v>125</v>
      </c>
      <c r="AH436" t="s">
        <v>125</v>
      </c>
      <c r="AI436" t="s">
        <v>125</v>
      </c>
      <c r="AJ436" t="s">
        <v>125</v>
      </c>
      <c r="AK436">
        <v>0.43</v>
      </c>
      <c r="AL436">
        <v>6.83</v>
      </c>
      <c r="AM436" t="s">
        <v>125</v>
      </c>
      <c r="AN436">
        <v>0.81891999999999998</v>
      </c>
      <c r="AO436">
        <v>81.891979000000006</v>
      </c>
      <c r="AP436">
        <v>100</v>
      </c>
      <c r="AQ436">
        <v>0.84603600000000001</v>
      </c>
      <c r="AR436">
        <v>84.603590999999994</v>
      </c>
      <c r="AS436">
        <v>100</v>
      </c>
      <c r="AT436" t="s">
        <v>125</v>
      </c>
      <c r="AU436">
        <v>0.81948799999999999</v>
      </c>
      <c r="AV436" t="s">
        <v>125</v>
      </c>
      <c r="AW436" t="s">
        <v>125</v>
      </c>
      <c r="AX436" t="s">
        <v>125</v>
      </c>
      <c r="AY436">
        <v>0.85024</v>
      </c>
      <c r="AZ436" t="s">
        <v>125</v>
      </c>
      <c r="BA436" t="s">
        <v>125</v>
      </c>
      <c r="BB436" t="s">
        <v>125</v>
      </c>
      <c r="BC436" t="s">
        <v>125</v>
      </c>
      <c r="BD436" t="s">
        <v>125</v>
      </c>
      <c r="BE436" t="s">
        <v>125</v>
      </c>
      <c r="BF436" t="s">
        <v>125</v>
      </c>
      <c r="BG436" t="s">
        <v>125</v>
      </c>
      <c r="BH436">
        <v>0</v>
      </c>
      <c r="BI436">
        <v>0.99367099999999997</v>
      </c>
      <c r="BJ436">
        <v>0.97727299999999995</v>
      </c>
      <c r="BK436">
        <v>1</v>
      </c>
      <c r="BL436">
        <v>0.99367099999999997</v>
      </c>
      <c r="BM436">
        <v>0.97727299999999995</v>
      </c>
      <c r="BN436">
        <v>1</v>
      </c>
      <c r="BO436" t="s">
        <v>125</v>
      </c>
      <c r="BP436" t="s">
        <v>125</v>
      </c>
      <c r="BQ436" t="s">
        <v>125</v>
      </c>
      <c r="BR436">
        <v>5.042E-2</v>
      </c>
      <c r="BS436">
        <v>49.915965999999997</v>
      </c>
      <c r="BT436">
        <v>50</v>
      </c>
      <c r="BU436">
        <v>0.114286</v>
      </c>
      <c r="BV436">
        <v>37.142856999999999</v>
      </c>
      <c r="BW436">
        <v>50</v>
      </c>
      <c r="BX436" t="s">
        <v>125</v>
      </c>
      <c r="BY436" t="s">
        <v>125</v>
      </c>
      <c r="BZ436" t="s">
        <v>125</v>
      </c>
      <c r="CA436" t="s">
        <v>125</v>
      </c>
      <c r="CB436" t="s">
        <v>125</v>
      </c>
      <c r="CC436" t="s">
        <v>125</v>
      </c>
      <c r="CD436" t="s">
        <v>125</v>
      </c>
      <c r="CE436" t="s">
        <v>125</v>
      </c>
      <c r="CF436" t="s">
        <v>125</v>
      </c>
      <c r="CG436" t="s">
        <v>125</v>
      </c>
      <c r="CH436" t="s">
        <v>125</v>
      </c>
      <c r="CI436" t="s">
        <v>125</v>
      </c>
      <c r="CJ436" t="s">
        <v>125</v>
      </c>
      <c r="CK436" t="s">
        <v>125</v>
      </c>
      <c r="CL436" t="s">
        <v>125</v>
      </c>
      <c r="CM436" t="s">
        <v>125</v>
      </c>
      <c r="CN436" t="s">
        <v>125</v>
      </c>
      <c r="CO436" t="s">
        <v>125</v>
      </c>
      <c r="CP436" t="s">
        <v>125</v>
      </c>
      <c r="CQ436">
        <v>0.486842</v>
      </c>
      <c r="CR436">
        <v>1</v>
      </c>
      <c r="CS436">
        <v>32.456139999999998</v>
      </c>
      <c r="CT436">
        <v>50</v>
      </c>
      <c r="CU436" t="s">
        <v>125</v>
      </c>
      <c r="CV436" t="s">
        <v>125</v>
      </c>
      <c r="CW436" t="s">
        <v>125</v>
      </c>
      <c r="CX436" t="s">
        <v>125</v>
      </c>
      <c r="CY436" t="s">
        <v>125</v>
      </c>
      <c r="CZ436" t="s">
        <v>125</v>
      </c>
      <c r="DA436">
        <v>15.314097</v>
      </c>
      <c r="DB436">
        <v>17.400950000000002</v>
      </c>
      <c r="DC436">
        <v>16.332519999999999</v>
      </c>
      <c r="DD436" t="s">
        <v>125</v>
      </c>
      <c r="DE436">
        <v>0</v>
      </c>
      <c r="DH436" t="s">
        <v>332</v>
      </c>
      <c r="DI436" t="s">
        <v>498</v>
      </c>
      <c r="DJ436">
        <v>1</v>
      </c>
      <c r="DK436">
        <v>1</v>
      </c>
      <c r="DL436">
        <v>1</v>
      </c>
      <c r="DM436">
        <v>0</v>
      </c>
      <c r="DN436">
        <v>0</v>
      </c>
      <c r="DO436">
        <v>0</v>
      </c>
      <c r="DQ436" t="s">
        <v>126</v>
      </c>
    </row>
    <row r="437" spans="1:121" x14ac:dyDescent="0.15">
      <c r="A437">
        <v>2018</v>
      </c>
      <c r="B437" t="s">
        <v>193</v>
      </c>
      <c r="C437" t="str">
        <f t="shared" si="11"/>
        <v>0520011</v>
      </c>
      <c r="D437" t="s">
        <v>587</v>
      </c>
      <c r="E437" t="str">
        <f>"0520111"</f>
        <v>0520111</v>
      </c>
      <c r="F437" t="s">
        <v>328</v>
      </c>
      <c r="G437" t="s">
        <v>339</v>
      </c>
      <c r="H437">
        <v>4</v>
      </c>
      <c r="I437" t="s">
        <v>330</v>
      </c>
      <c r="J437" t="s">
        <v>331</v>
      </c>
      <c r="K437">
        <v>505.41851200000002</v>
      </c>
      <c r="L437">
        <v>550</v>
      </c>
      <c r="M437">
        <v>91.894274999999993</v>
      </c>
      <c r="N437">
        <v>1</v>
      </c>
      <c r="O437">
        <v>0</v>
      </c>
      <c r="P437">
        <v>81.615587000000005</v>
      </c>
      <c r="Q437">
        <v>50</v>
      </c>
      <c r="R437">
        <v>50</v>
      </c>
      <c r="S437">
        <v>71.511718999999999</v>
      </c>
      <c r="T437">
        <v>75</v>
      </c>
      <c r="U437">
        <v>47.674480000000003</v>
      </c>
      <c r="V437">
        <v>50</v>
      </c>
      <c r="W437">
        <v>75.772020999999995</v>
      </c>
      <c r="X437">
        <v>50</v>
      </c>
      <c r="Y437">
        <v>50</v>
      </c>
      <c r="Z437">
        <v>75</v>
      </c>
      <c r="AA437">
        <v>66.200085000000001</v>
      </c>
      <c r="AB437">
        <v>44.133389999999999</v>
      </c>
      <c r="AC437">
        <v>50</v>
      </c>
      <c r="AD437" t="s">
        <v>125</v>
      </c>
      <c r="AE437" t="s">
        <v>125</v>
      </c>
      <c r="AF437" t="s">
        <v>125</v>
      </c>
      <c r="AG437" t="s">
        <v>125</v>
      </c>
      <c r="AH437" t="s">
        <v>125</v>
      </c>
      <c r="AI437" t="s">
        <v>125</v>
      </c>
      <c r="AJ437" t="s">
        <v>125</v>
      </c>
      <c r="AK437">
        <v>3.48</v>
      </c>
      <c r="AL437">
        <v>8.7899999999999991</v>
      </c>
      <c r="AM437" t="s">
        <v>125</v>
      </c>
      <c r="AN437">
        <v>0.92044099999999995</v>
      </c>
      <c r="AO437">
        <v>92.044116000000002</v>
      </c>
      <c r="AP437">
        <v>100</v>
      </c>
      <c r="AQ437">
        <v>0.95210300000000003</v>
      </c>
      <c r="AR437">
        <v>95.210342999999995</v>
      </c>
      <c r="AS437">
        <v>100</v>
      </c>
      <c r="AT437" t="s">
        <v>125</v>
      </c>
      <c r="AU437">
        <v>0.94853900000000002</v>
      </c>
      <c r="AV437" t="s">
        <v>125</v>
      </c>
      <c r="AW437" t="s">
        <v>125</v>
      </c>
      <c r="AX437" t="s">
        <v>125</v>
      </c>
      <c r="AY437">
        <v>0.96457199999999998</v>
      </c>
      <c r="AZ437" t="s">
        <v>125</v>
      </c>
      <c r="BA437" t="s">
        <v>125</v>
      </c>
      <c r="BB437" t="s">
        <v>125</v>
      </c>
      <c r="BC437" t="s">
        <v>125</v>
      </c>
      <c r="BD437" t="s">
        <v>125</v>
      </c>
      <c r="BE437" t="s">
        <v>125</v>
      </c>
      <c r="BF437" t="s">
        <v>125</v>
      </c>
      <c r="BG437" t="s">
        <v>125</v>
      </c>
      <c r="BH437">
        <v>0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 t="s">
        <v>125</v>
      </c>
      <c r="BP437" t="s">
        <v>125</v>
      </c>
      <c r="BQ437" t="s">
        <v>125</v>
      </c>
      <c r="BR437">
        <v>5.0793999999999999E-2</v>
      </c>
      <c r="BS437">
        <v>49.841270000000002</v>
      </c>
      <c r="BT437">
        <v>50</v>
      </c>
      <c r="BU437">
        <v>0.10204100000000001</v>
      </c>
      <c r="BV437">
        <v>39.591836999999998</v>
      </c>
      <c r="BW437">
        <v>50</v>
      </c>
      <c r="BX437" t="s">
        <v>125</v>
      </c>
      <c r="BY437" t="s">
        <v>125</v>
      </c>
      <c r="BZ437" t="s">
        <v>125</v>
      </c>
      <c r="CA437" t="s">
        <v>125</v>
      </c>
      <c r="CB437" t="s">
        <v>125</v>
      </c>
      <c r="CC437" t="s">
        <v>125</v>
      </c>
      <c r="CD437" t="s">
        <v>125</v>
      </c>
      <c r="CE437" t="s">
        <v>125</v>
      </c>
      <c r="CF437" t="s">
        <v>125</v>
      </c>
      <c r="CG437" t="s">
        <v>125</v>
      </c>
      <c r="CH437" t="s">
        <v>125</v>
      </c>
      <c r="CI437" t="s">
        <v>125</v>
      </c>
      <c r="CJ437" t="s">
        <v>125</v>
      </c>
      <c r="CK437" t="s">
        <v>125</v>
      </c>
      <c r="CL437" t="s">
        <v>125</v>
      </c>
      <c r="CM437" t="s">
        <v>125</v>
      </c>
      <c r="CN437" t="s">
        <v>125</v>
      </c>
      <c r="CO437" t="s">
        <v>125</v>
      </c>
      <c r="CP437" t="s">
        <v>125</v>
      </c>
      <c r="CQ437">
        <v>0.55384599999999995</v>
      </c>
      <c r="CR437">
        <v>1.015625</v>
      </c>
      <c r="CS437">
        <v>36.923076999999999</v>
      </c>
      <c r="CT437">
        <v>50</v>
      </c>
      <c r="CU437" t="s">
        <v>125</v>
      </c>
      <c r="CV437" t="s">
        <v>125</v>
      </c>
      <c r="CW437" t="s">
        <v>125</v>
      </c>
      <c r="CX437" t="s">
        <v>125</v>
      </c>
      <c r="CY437" t="s">
        <v>125</v>
      </c>
      <c r="CZ437" t="s">
        <v>125</v>
      </c>
      <c r="DA437">
        <v>15.314097</v>
      </c>
      <c r="DB437">
        <v>17.400950000000002</v>
      </c>
      <c r="DC437">
        <v>16.332519999999999</v>
      </c>
      <c r="DD437" t="s">
        <v>125</v>
      </c>
      <c r="DE437">
        <v>0</v>
      </c>
      <c r="DH437" t="s">
        <v>332</v>
      </c>
      <c r="DI437" t="s">
        <v>498</v>
      </c>
      <c r="DJ437">
        <v>1</v>
      </c>
      <c r="DK437">
        <v>1</v>
      </c>
      <c r="DL437">
        <v>1</v>
      </c>
      <c r="DM437">
        <v>0</v>
      </c>
      <c r="DN437">
        <v>0</v>
      </c>
      <c r="DO437">
        <v>0</v>
      </c>
      <c r="DQ437" t="s">
        <v>126</v>
      </c>
    </row>
    <row r="438" spans="1:121" x14ac:dyDescent="0.15">
      <c r="A438">
        <v>2018</v>
      </c>
      <c r="B438" t="s">
        <v>193</v>
      </c>
      <c r="C438" t="str">
        <f t="shared" si="11"/>
        <v>0520011</v>
      </c>
      <c r="D438" t="s">
        <v>588</v>
      </c>
      <c r="E438" t="str">
        <f>"0520311"</f>
        <v>0520311</v>
      </c>
      <c r="F438" t="s">
        <v>328</v>
      </c>
      <c r="G438" t="s">
        <v>339</v>
      </c>
      <c r="H438">
        <v>4</v>
      </c>
      <c r="I438" t="s">
        <v>330</v>
      </c>
      <c r="J438" t="s">
        <v>331</v>
      </c>
      <c r="K438">
        <v>504.08404999999999</v>
      </c>
      <c r="L438">
        <v>550</v>
      </c>
      <c r="M438">
        <v>91.651645000000002</v>
      </c>
      <c r="N438">
        <v>1</v>
      </c>
      <c r="O438">
        <v>0</v>
      </c>
      <c r="P438">
        <v>87.814237000000006</v>
      </c>
      <c r="Q438">
        <v>50</v>
      </c>
      <c r="R438">
        <v>50</v>
      </c>
      <c r="S438">
        <v>80.808207999999993</v>
      </c>
      <c r="T438">
        <v>75</v>
      </c>
      <c r="U438">
        <v>50</v>
      </c>
      <c r="V438">
        <v>50</v>
      </c>
      <c r="W438">
        <v>84.555762999999999</v>
      </c>
      <c r="X438">
        <v>50</v>
      </c>
      <c r="Y438">
        <v>50</v>
      </c>
      <c r="Z438">
        <v>75</v>
      </c>
      <c r="AA438">
        <v>76.850488999999996</v>
      </c>
      <c r="AB438">
        <v>50</v>
      </c>
      <c r="AC438">
        <v>50</v>
      </c>
      <c r="AD438" t="s">
        <v>125</v>
      </c>
      <c r="AE438" t="s">
        <v>125</v>
      </c>
      <c r="AF438" t="s">
        <v>125</v>
      </c>
      <c r="AG438" t="s">
        <v>125</v>
      </c>
      <c r="AH438" t="s">
        <v>125</v>
      </c>
      <c r="AI438" t="s">
        <v>125</v>
      </c>
      <c r="AJ438" t="s">
        <v>125</v>
      </c>
      <c r="AK438">
        <v>-5.8</v>
      </c>
      <c r="AL438">
        <v>-1.85</v>
      </c>
      <c r="AM438" t="s">
        <v>125</v>
      </c>
      <c r="AN438">
        <v>0.811751</v>
      </c>
      <c r="AO438">
        <v>81.175138000000004</v>
      </c>
      <c r="AP438">
        <v>100</v>
      </c>
      <c r="AQ438">
        <v>0.87492199999999998</v>
      </c>
      <c r="AR438">
        <v>87.492245999999994</v>
      </c>
      <c r="AS438">
        <v>100</v>
      </c>
      <c r="AT438" t="s">
        <v>125</v>
      </c>
      <c r="AU438">
        <v>0.80909200000000003</v>
      </c>
      <c r="AV438" t="s">
        <v>125</v>
      </c>
      <c r="AW438" t="s">
        <v>125</v>
      </c>
      <c r="AX438" t="s">
        <v>125</v>
      </c>
      <c r="AY438">
        <v>0.92152299999999998</v>
      </c>
      <c r="AZ438" t="s">
        <v>125</v>
      </c>
      <c r="BA438" t="s">
        <v>125</v>
      </c>
      <c r="BB438" t="s">
        <v>125</v>
      </c>
      <c r="BC438" t="s">
        <v>125</v>
      </c>
      <c r="BD438" t="s">
        <v>125</v>
      </c>
      <c r="BE438" t="s">
        <v>125</v>
      </c>
      <c r="BF438" t="s">
        <v>125</v>
      </c>
      <c r="BG438" t="s">
        <v>125</v>
      </c>
      <c r="BH438">
        <v>0</v>
      </c>
      <c r="BI438">
        <v>0.99199999999999999</v>
      </c>
      <c r="BJ438">
        <v>1</v>
      </c>
      <c r="BK438">
        <v>0.98809499999999995</v>
      </c>
      <c r="BL438">
        <v>0.99193500000000001</v>
      </c>
      <c r="BM438">
        <v>1</v>
      </c>
      <c r="BN438">
        <v>0.98809499999999995</v>
      </c>
      <c r="BO438" t="s">
        <v>125</v>
      </c>
      <c r="BP438" t="s">
        <v>125</v>
      </c>
      <c r="BQ438" t="s">
        <v>125</v>
      </c>
      <c r="BR438">
        <v>2.2152000000000002E-2</v>
      </c>
      <c r="BS438">
        <v>50</v>
      </c>
      <c r="BT438">
        <v>50</v>
      </c>
      <c r="BU438">
        <v>4.2553000000000001E-2</v>
      </c>
      <c r="BV438">
        <v>50</v>
      </c>
      <c r="BW438">
        <v>50</v>
      </c>
      <c r="BX438" t="s">
        <v>125</v>
      </c>
      <c r="BY438" t="s">
        <v>125</v>
      </c>
      <c r="BZ438" t="s">
        <v>125</v>
      </c>
      <c r="CA438" t="s">
        <v>125</v>
      </c>
      <c r="CB438" t="s">
        <v>125</v>
      </c>
      <c r="CC438" t="s">
        <v>125</v>
      </c>
      <c r="CD438" t="s">
        <v>125</v>
      </c>
      <c r="CE438" t="s">
        <v>125</v>
      </c>
      <c r="CF438" t="s">
        <v>125</v>
      </c>
      <c r="CG438" t="s">
        <v>125</v>
      </c>
      <c r="CH438" t="s">
        <v>125</v>
      </c>
      <c r="CI438" t="s">
        <v>125</v>
      </c>
      <c r="CJ438" t="s">
        <v>125</v>
      </c>
      <c r="CK438" t="s">
        <v>125</v>
      </c>
      <c r="CL438" t="s">
        <v>125</v>
      </c>
      <c r="CM438" t="s">
        <v>125</v>
      </c>
      <c r="CN438" t="s">
        <v>125</v>
      </c>
      <c r="CO438" t="s">
        <v>125</v>
      </c>
      <c r="CP438" t="s">
        <v>125</v>
      </c>
      <c r="CQ438">
        <v>0.53125</v>
      </c>
      <c r="CR438">
        <v>0.98461500000000002</v>
      </c>
      <c r="CS438">
        <v>35.416666999999997</v>
      </c>
      <c r="CT438">
        <v>50</v>
      </c>
      <c r="CU438" t="s">
        <v>125</v>
      </c>
      <c r="CV438" t="s">
        <v>125</v>
      </c>
      <c r="CW438" t="s">
        <v>125</v>
      </c>
      <c r="CX438" t="s">
        <v>125</v>
      </c>
      <c r="CY438" t="s">
        <v>125</v>
      </c>
      <c r="CZ438" t="s">
        <v>125</v>
      </c>
      <c r="DA438">
        <v>15.314097</v>
      </c>
      <c r="DB438">
        <v>17.400950000000002</v>
      </c>
      <c r="DC438">
        <v>16.332519999999999</v>
      </c>
      <c r="DD438" t="s">
        <v>125</v>
      </c>
      <c r="DE438">
        <v>0</v>
      </c>
      <c r="DH438" t="s">
        <v>332</v>
      </c>
      <c r="DI438" t="s">
        <v>498</v>
      </c>
      <c r="DJ438">
        <v>1</v>
      </c>
      <c r="DK438">
        <v>1</v>
      </c>
      <c r="DL438">
        <v>1</v>
      </c>
      <c r="DM438">
        <v>0</v>
      </c>
      <c r="DN438">
        <v>0</v>
      </c>
      <c r="DO438">
        <v>0</v>
      </c>
      <c r="DQ438" t="s">
        <v>126</v>
      </c>
    </row>
    <row r="439" spans="1:121" x14ac:dyDescent="0.15">
      <c r="A439">
        <v>2018</v>
      </c>
      <c r="B439" t="s">
        <v>193</v>
      </c>
      <c r="C439" t="str">
        <f t="shared" si="11"/>
        <v>0520011</v>
      </c>
      <c r="D439" t="s">
        <v>589</v>
      </c>
      <c r="E439" t="str">
        <f>"0520511"</f>
        <v>0520511</v>
      </c>
      <c r="F439" t="s">
        <v>328</v>
      </c>
      <c r="G439">
        <v>5</v>
      </c>
      <c r="H439">
        <v>6</v>
      </c>
      <c r="J439" t="s">
        <v>331</v>
      </c>
      <c r="K439">
        <v>665.52667199999996</v>
      </c>
      <c r="L439">
        <v>850</v>
      </c>
      <c r="M439">
        <v>78.297255000000007</v>
      </c>
      <c r="N439">
        <v>2</v>
      </c>
      <c r="O439">
        <v>0</v>
      </c>
      <c r="P439">
        <v>82.645486000000005</v>
      </c>
      <c r="Q439">
        <v>50</v>
      </c>
      <c r="R439">
        <v>50</v>
      </c>
      <c r="S439">
        <v>72.297338999999994</v>
      </c>
      <c r="T439">
        <v>75</v>
      </c>
      <c r="U439">
        <v>48.198225999999998</v>
      </c>
      <c r="V439">
        <v>50</v>
      </c>
      <c r="W439">
        <v>78.087834000000001</v>
      </c>
      <c r="X439">
        <v>50</v>
      </c>
      <c r="Y439">
        <v>50</v>
      </c>
      <c r="Z439">
        <v>75</v>
      </c>
      <c r="AA439">
        <v>66.912256999999997</v>
      </c>
      <c r="AB439">
        <v>44.608170999999999</v>
      </c>
      <c r="AC439">
        <v>50</v>
      </c>
      <c r="AD439">
        <v>84.221259000000003</v>
      </c>
      <c r="AE439">
        <v>50</v>
      </c>
      <c r="AF439">
        <v>50</v>
      </c>
      <c r="AG439">
        <v>76.374194000000003</v>
      </c>
      <c r="AH439">
        <v>75</v>
      </c>
      <c r="AI439">
        <v>50</v>
      </c>
      <c r="AJ439">
        <v>50</v>
      </c>
      <c r="AK439">
        <v>2.7</v>
      </c>
      <c r="AL439">
        <v>8.08</v>
      </c>
      <c r="AM439">
        <v>-1.37</v>
      </c>
      <c r="AN439">
        <v>0.68192799999999998</v>
      </c>
      <c r="AO439">
        <v>68.192815999999993</v>
      </c>
      <c r="AP439">
        <v>100</v>
      </c>
      <c r="AQ439">
        <v>0.68359000000000003</v>
      </c>
      <c r="AR439">
        <v>68.359048999999999</v>
      </c>
      <c r="AS439">
        <v>100</v>
      </c>
      <c r="AT439">
        <v>0.56464199999999998</v>
      </c>
      <c r="AU439">
        <v>0.72467000000000004</v>
      </c>
      <c r="AV439">
        <v>56.464210999999999</v>
      </c>
      <c r="AW439">
        <v>100</v>
      </c>
      <c r="AX439">
        <v>0.54132599999999997</v>
      </c>
      <c r="AY439">
        <v>0.73523899999999998</v>
      </c>
      <c r="AZ439">
        <v>54.132629000000001</v>
      </c>
      <c r="BA439">
        <v>100</v>
      </c>
      <c r="BB439" t="s">
        <v>125</v>
      </c>
      <c r="BC439" t="s">
        <v>125</v>
      </c>
      <c r="BD439" t="s">
        <v>125</v>
      </c>
      <c r="BE439" t="s">
        <v>125</v>
      </c>
      <c r="BF439" t="s">
        <v>125</v>
      </c>
      <c r="BG439" t="s">
        <v>125</v>
      </c>
      <c r="BH439">
        <v>0</v>
      </c>
      <c r="BI439">
        <v>0.99548199999999998</v>
      </c>
      <c r="BJ439">
        <v>0.99141599999999996</v>
      </c>
      <c r="BK439">
        <v>0.99768000000000001</v>
      </c>
      <c r="BL439">
        <v>0.99397599999999997</v>
      </c>
      <c r="BM439">
        <v>0.987124</v>
      </c>
      <c r="BN439">
        <v>0.99768000000000001</v>
      </c>
      <c r="BO439">
        <v>0.990506</v>
      </c>
      <c r="BP439">
        <v>0.98275900000000005</v>
      </c>
      <c r="BQ439">
        <v>0.995</v>
      </c>
      <c r="BR439">
        <v>3.1674000000000001E-2</v>
      </c>
      <c r="BS439">
        <v>50</v>
      </c>
      <c r="BT439">
        <v>50</v>
      </c>
      <c r="BU439">
        <v>9.5238000000000003E-2</v>
      </c>
      <c r="BV439">
        <v>40.952381000000003</v>
      </c>
      <c r="BW439">
        <v>50</v>
      </c>
      <c r="BX439" t="s">
        <v>125</v>
      </c>
      <c r="BY439" t="s">
        <v>125</v>
      </c>
      <c r="BZ439" t="s">
        <v>125</v>
      </c>
      <c r="CA439" t="s">
        <v>125</v>
      </c>
      <c r="CB439" t="s">
        <v>125</v>
      </c>
      <c r="CC439" t="s">
        <v>125</v>
      </c>
      <c r="CD439" t="s">
        <v>125</v>
      </c>
      <c r="CE439" t="s">
        <v>125</v>
      </c>
      <c r="CF439" t="s">
        <v>125</v>
      </c>
      <c r="CG439" t="s">
        <v>125</v>
      </c>
      <c r="CH439" t="s">
        <v>125</v>
      </c>
      <c r="CI439" t="s">
        <v>125</v>
      </c>
      <c r="CJ439" t="s">
        <v>125</v>
      </c>
      <c r="CK439" t="s">
        <v>125</v>
      </c>
      <c r="CL439" t="s">
        <v>125</v>
      </c>
      <c r="CM439" t="s">
        <v>125</v>
      </c>
      <c r="CN439" t="s">
        <v>125</v>
      </c>
      <c r="CO439" t="s">
        <v>125</v>
      </c>
      <c r="CP439" t="s">
        <v>125</v>
      </c>
      <c r="CQ439">
        <v>0.51928799999999997</v>
      </c>
      <c r="CR439">
        <v>0.97118199999999999</v>
      </c>
      <c r="CS439">
        <v>34.619188999999999</v>
      </c>
      <c r="CT439">
        <v>50</v>
      </c>
      <c r="CU439" t="s">
        <v>125</v>
      </c>
      <c r="CV439" t="s">
        <v>125</v>
      </c>
      <c r="CW439" t="s">
        <v>125</v>
      </c>
      <c r="CX439" t="s">
        <v>125</v>
      </c>
      <c r="CY439" t="s">
        <v>125</v>
      </c>
      <c r="CZ439" t="s">
        <v>125</v>
      </c>
      <c r="DA439">
        <v>15.314097</v>
      </c>
      <c r="DB439">
        <v>17.400950000000002</v>
      </c>
      <c r="DC439">
        <v>16.332519999999999</v>
      </c>
      <c r="DD439" t="s">
        <v>125</v>
      </c>
      <c r="DE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Q439" t="s">
        <v>126</v>
      </c>
    </row>
    <row r="440" spans="1:121" x14ac:dyDescent="0.15">
      <c r="A440">
        <v>2018</v>
      </c>
      <c r="B440" t="s">
        <v>152</v>
      </c>
      <c r="C440" t="str">
        <f>"0530011"</f>
        <v>0530011</v>
      </c>
      <c r="D440" t="s">
        <v>590</v>
      </c>
      <c r="E440" t="str">
        <f>"0530111"</f>
        <v>0530111</v>
      </c>
      <c r="F440" t="s">
        <v>328</v>
      </c>
      <c r="G440" t="s">
        <v>329</v>
      </c>
      <c r="H440">
        <v>8</v>
      </c>
      <c r="I440" t="s">
        <v>330</v>
      </c>
      <c r="J440" t="s">
        <v>331</v>
      </c>
      <c r="K440">
        <v>509.75889999999998</v>
      </c>
      <c r="L440">
        <v>600</v>
      </c>
      <c r="M440">
        <v>84.959817000000001</v>
      </c>
      <c r="N440">
        <v>2</v>
      </c>
      <c r="O440">
        <v>0</v>
      </c>
      <c r="P440">
        <v>74.734504000000001</v>
      </c>
      <c r="Q440">
        <v>49.823003</v>
      </c>
      <c r="R440">
        <v>50</v>
      </c>
      <c r="S440">
        <v>60.332793000000002</v>
      </c>
      <c r="T440">
        <v>75</v>
      </c>
      <c r="U440">
        <v>40.221862000000002</v>
      </c>
      <c r="V440">
        <v>50</v>
      </c>
      <c r="W440">
        <v>69.067428000000007</v>
      </c>
      <c r="X440">
        <v>46.044952000000002</v>
      </c>
      <c r="Y440">
        <v>50</v>
      </c>
      <c r="Z440">
        <v>72.529133999999999</v>
      </c>
      <c r="AA440">
        <v>58.052906999999998</v>
      </c>
      <c r="AB440">
        <v>38.701937999999998</v>
      </c>
      <c r="AC440">
        <v>50</v>
      </c>
      <c r="AD440">
        <v>69.640711999999994</v>
      </c>
      <c r="AE440">
        <v>46.427140999999999</v>
      </c>
      <c r="AF440">
        <v>50</v>
      </c>
      <c r="AG440" t="s">
        <v>125</v>
      </c>
      <c r="AH440" t="s">
        <v>125</v>
      </c>
      <c r="AI440" t="s">
        <v>125</v>
      </c>
      <c r="AJ440" t="s">
        <v>125</v>
      </c>
      <c r="AK440">
        <v>14.66</v>
      </c>
      <c r="AL440">
        <v>14.47</v>
      </c>
      <c r="AM440" t="s">
        <v>125</v>
      </c>
      <c r="AN440">
        <v>0.67065900000000001</v>
      </c>
      <c r="AO440">
        <v>67.065860999999998</v>
      </c>
      <c r="AP440">
        <v>100</v>
      </c>
      <c r="AQ440">
        <v>0.88102499999999995</v>
      </c>
      <c r="AR440">
        <v>88.102495000000005</v>
      </c>
      <c r="AS440">
        <v>100</v>
      </c>
      <c r="AT440" t="s">
        <v>125</v>
      </c>
      <c r="AU440">
        <v>0.69493400000000005</v>
      </c>
      <c r="AV440" t="s">
        <v>125</v>
      </c>
      <c r="AW440" t="s">
        <v>125</v>
      </c>
      <c r="AX440" t="s">
        <v>125</v>
      </c>
      <c r="AY440">
        <v>0.91644999999999999</v>
      </c>
      <c r="AZ440" t="s">
        <v>125</v>
      </c>
      <c r="BA440" t="s">
        <v>125</v>
      </c>
      <c r="BB440" t="s">
        <v>125</v>
      </c>
      <c r="BC440" t="s">
        <v>125</v>
      </c>
      <c r="BD440" t="s">
        <v>125</v>
      </c>
      <c r="BE440" t="s">
        <v>125</v>
      </c>
      <c r="BF440" t="s">
        <v>125</v>
      </c>
      <c r="BG440" t="s">
        <v>125</v>
      </c>
      <c r="BH440">
        <v>0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 t="s">
        <v>125</v>
      </c>
      <c r="BQ440" t="s">
        <v>125</v>
      </c>
      <c r="BR440">
        <v>1.4388E-2</v>
      </c>
      <c r="BS440">
        <v>50</v>
      </c>
      <c r="BT440">
        <v>50</v>
      </c>
      <c r="BU440">
        <v>5.5556000000000001E-2</v>
      </c>
      <c r="BV440">
        <v>48.888888999999999</v>
      </c>
      <c r="BW440">
        <v>50</v>
      </c>
      <c r="BX440" t="s">
        <v>125</v>
      </c>
      <c r="BY440" t="s">
        <v>125</v>
      </c>
      <c r="BZ440" t="s">
        <v>125</v>
      </c>
      <c r="CA440" t="s">
        <v>125</v>
      </c>
      <c r="CB440" t="s">
        <v>125</v>
      </c>
      <c r="CC440" t="s">
        <v>125</v>
      </c>
      <c r="CD440" t="s">
        <v>125</v>
      </c>
      <c r="CE440" t="s">
        <v>125</v>
      </c>
      <c r="CF440" t="s">
        <v>125</v>
      </c>
      <c r="CG440" t="s">
        <v>125</v>
      </c>
      <c r="CH440" t="s">
        <v>125</v>
      </c>
      <c r="CI440" t="s">
        <v>125</v>
      </c>
      <c r="CJ440" t="s">
        <v>125</v>
      </c>
      <c r="CK440" t="s">
        <v>125</v>
      </c>
      <c r="CL440" t="s">
        <v>125</v>
      </c>
      <c r="CM440" t="s">
        <v>125</v>
      </c>
      <c r="CN440" t="s">
        <v>125</v>
      </c>
      <c r="CO440" t="s">
        <v>125</v>
      </c>
      <c r="CP440" t="s">
        <v>125</v>
      </c>
      <c r="CQ440">
        <v>0.51724099999999995</v>
      </c>
      <c r="CR440">
        <v>1</v>
      </c>
      <c r="CS440">
        <v>34.482759000000001</v>
      </c>
      <c r="CT440">
        <v>50</v>
      </c>
      <c r="CU440" t="s">
        <v>125</v>
      </c>
      <c r="CV440" t="s">
        <v>125</v>
      </c>
      <c r="CW440" t="s">
        <v>125</v>
      </c>
      <c r="CX440" t="s">
        <v>125</v>
      </c>
      <c r="CY440" t="s">
        <v>125</v>
      </c>
      <c r="CZ440" t="s">
        <v>125</v>
      </c>
      <c r="DA440">
        <v>15.314097</v>
      </c>
      <c r="DB440">
        <v>17.400950000000002</v>
      </c>
      <c r="DC440">
        <v>16.332519999999999</v>
      </c>
      <c r="DD440" t="s">
        <v>125</v>
      </c>
      <c r="DE440">
        <v>0</v>
      </c>
      <c r="DH440" t="s">
        <v>332</v>
      </c>
      <c r="DI440" t="s">
        <v>591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Q440" t="s">
        <v>126</v>
      </c>
    </row>
    <row r="441" spans="1:121" x14ac:dyDescent="0.15">
      <c r="A441">
        <v>2018</v>
      </c>
      <c r="B441" t="s">
        <v>153</v>
      </c>
      <c r="C441" t="str">
        <f t="shared" ref="C441:C448" si="12">"0540011"</f>
        <v>0540011</v>
      </c>
      <c r="D441" t="s">
        <v>592</v>
      </c>
      <c r="E441" t="str">
        <f>"0540211"</f>
        <v>0540211</v>
      </c>
      <c r="F441" t="s">
        <v>328</v>
      </c>
      <c r="G441" t="s">
        <v>339</v>
      </c>
      <c r="H441">
        <v>5</v>
      </c>
      <c r="J441" t="s">
        <v>331</v>
      </c>
      <c r="K441">
        <v>731.74567400000001</v>
      </c>
      <c r="L441">
        <v>850</v>
      </c>
      <c r="M441">
        <v>86.087726000000004</v>
      </c>
      <c r="N441">
        <v>1</v>
      </c>
      <c r="O441">
        <v>0</v>
      </c>
      <c r="P441">
        <v>80.209807999999995</v>
      </c>
      <c r="Q441">
        <v>50</v>
      </c>
      <c r="R441">
        <v>50</v>
      </c>
      <c r="S441">
        <v>70.125146000000001</v>
      </c>
      <c r="T441">
        <v>75</v>
      </c>
      <c r="U441">
        <v>46.750096999999997</v>
      </c>
      <c r="V441">
        <v>50</v>
      </c>
      <c r="W441">
        <v>77.034717999999998</v>
      </c>
      <c r="X441">
        <v>50</v>
      </c>
      <c r="Y441">
        <v>50</v>
      </c>
      <c r="Z441">
        <v>75</v>
      </c>
      <c r="AA441">
        <v>66.526966000000002</v>
      </c>
      <c r="AB441">
        <v>44.351309999999998</v>
      </c>
      <c r="AC441">
        <v>50</v>
      </c>
      <c r="AD441">
        <v>76.064420999999996</v>
      </c>
      <c r="AE441">
        <v>50</v>
      </c>
      <c r="AF441">
        <v>50</v>
      </c>
      <c r="AG441">
        <v>69.443212000000003</v>
      </c>
      <c r="AH441">
        <v>75</v>
      </c>
      <c r="AI441">
        <v>46.295475000000003</v>
      </c>
      <c r="AJ441">
        <v>50</v>
      </c>
      <c r="AK441">
        <v>4.87</v>
      </c>
      <c r="AL441">
        <v>8.4700000000000006</v>
      </c>
      <c r="AM441">
        <v>5.55</v>
      </c>
      <c r="AN441">
        <v>0.71269700000000002</v>
      </c>
      <c r="AO441">
        <v>71.269653000000005</v>
      </c>
      <c r="AP441">
        <v>100</v>
      </c>
      <c r="AQ441">
        <v>0.780254</v>
      </c>
      <c r="AR441">
        <v>78.025366000000005</v>
      </c>
      <c r="AS441">
        <v>100</v>
      </c>
      <c r="AT441">
        <v>0.73846999999999996</v>
      </c>
      <c r="AU441">
        <v>0.70439700000000005</v>
      </c>
      <c r="AV441">
        <v>73.846964</v>
      </c>
      <c r="AW441">
        <v>100</v>
      </c>
      <c r="AX441">
        <v>0.734205</v>
      </c>
      <c r="AY441">
        <v>0.79508299999999998</v>
      </c>
      <c r="AZ441">
        <v>73.420547999999997</v>
      </c>
      <c r="BA441">
        <v>100</v>
      </c>
      <c r="BB441" t="s">
        <v>125</v>
      </c>
      <c r="BC441" t="s">
        <v>125</v>
      </c>
      <c r="BD441" t="s">
        <v>125</v>
      </c>
      <c r="BE441" t="s">
        <v>125</v>
      </c>
      <c r="BF441" t="s">
        <v>125</v>
      </c>
      <c r="BG441" t="s">
        <v>125</v>
      </c>
      <c r="BH441">
        <v>0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2.8747000000000002E-2</v>
      </c>
      <c r="BS441">
        <v>50</v>
      </c>
      <c r="BT441">
        <v>50</v>
      </c>
      <c r="BU441">
        <v>6.1068999999999998E-2</v>
      </c>
      <c r="BV441">
        <v>47.786259999999999</v>
      </c>
      <c r="BW441">
        <v>50</v>
      </c>
      <c r="BX441" t="s">
        <v>125</v>
      </c>
      <c r="BY441" t="s">
        <v>125</v>
      </c>
      <c r="BZ441" t="s">
        <v>125</v>
      </c>
      <c r="CA441" t="s">
        <v>125</v>
      </c>
      <c r="CB441" t="s">
        <v>125</v>
      </c>
      <c r="CC441" t="s">
        <v>125</v>
      </c>
      <c r="CD441" t="s">
        <v>125</v>
      </c>
      <c r="CE441" t="s">
        <v>125</v>
      </c>
      <c r="CF441" t="s">
        <v>125</v>
      </c>
      <c r="CG441" t="s">
        <v>125</v>
      </c>
      <c r="CH441" t="s">
        <v>125</v>
      </c>
      <c r="CI441" t="s">
        <v>125</v>
      </c>
      <c r="CJ441" t="s">
        <v>125</v>
      </c>
      <c r="CK441" t="s">
        <v>125</v>
      </c>
      <c r="CL441" t="s">
        <v>125</v>
      </c>
      <c r="CM441" t="s">
        <v>125</v>
      </c>
      <c r="CN441" t="s">
        <v>125</v>
      </c>
      <c r="CO441" t="s">
        <v>125</v>
      </c>
      <c r="CP441" t="s">
        <v>125</v>
      </c>
      <c r="CQ441">
        <v>0.75</v>
      </c>
      <c r="CR441">
        <v>0.95238100000000003</v>
      </c>
      <c r="CS441">
        <v>50</v>
      </c>
      <c r="CT441">
        <v>50</v>
      </c>
      <c r="CU441" t="s">
        <v>125</v>
      </c>
      <c r="CV441" t="s">
        <v>125</v>
      </c>
      <c r="CW441" t="s">
        <v>125</v>
      </c>
      <c r="CX441" t="s">
        <v>125</v>
      </c>
      <c r="CY441" t="s">
        <v>125</v>
      </c>
      <c r="CZ441" t="s">
        <v>125</v>
      </c>
      <c r="DA441">
        <v>15.314097</v>
      </c>
      <c r="DB441">
        <v>17.400950000000002</v>
      </c>
      <c r="DC441">
        <v>16.332519999999999</v>
      </c>
      <c r="DD441" t="s">
        <v>125</v>
      </c>
      <c r="DE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Q441" t="s">
        <v>126</v>
      </c>
    </row>
    <row r="442" spans="1:121" x14ac:dyDescent="0.15">
      <c r="A442">
        <v>2018</v>
      </c>
      <c r="B442" t="s">
        <v>153</v>
      </c>
      <c r="C442" t="str">
        <f t="shared" si="12"/>
        <v>0540011</v>
      </c>
      <c r="D442" t="s">
        <v>593</v>
      </c>
      <c r="E442" t="str">
        <f>"0540811"</f>
        <v>0540811</v>
      </c>
      <c r="F442" t="s">
        <v>328</v>
      </c>
      <c r="G442">
        <v>6</v>
      </c>
      <c r="H442">
        <v>6</v>
      </c>
      <c r="J442" t="s">
        <v>331</v>
      </c>
      <c r="K442">
        <v>599.96289400000001</v>
      </c>
      <c r="L442">
        <v>750</v>
      </c>
      <c r="M442">
        <v>79.995052999999999</v>
      </c>
      <c r="N442">
        <v>2</v>
      </c>
      <c r="O442">
        <v>0</v>
      </c>
      <c r="P442">
        <v>83.686605999999998</v>
      </c>
      <c r="Q442">
        <v>50</v>
      </c>
      <c r="R442">
        <v>50</v>
      </c>
      <c r="S442">
        <v>66.457954999999998</v>
      </c>
      <c r="T442">
        <v>75</v>
      </c>
      <c r="U442">
        <v>44.305303000000002</v>
      </c>
      <c r="V442">
        <v>50</v>
      </c>
      <c r="W442">
        <v>82.393186</v>
      </c>
      <c r="X442">
        <v>50</v>
      </c>
      <c r="Y442">
        <v>50</v>
      </c>
      <c r="Z442">
        <v>75</v>
      </c>
      <c r="AA442">
        <v>64.527534000000003</v>
      </c>
      <c r="AB442">
        <v>43.018355999999997</v>
      </c>
      <c r="AC442">
        <v>50</v>
      </c>
      <c r="AD442" t="s">
        <v>125</v>
      </c>
      <c r="AE442" t="s">
        <v>125</v>
      </c>
      <c r="AF442" t="s">
        <v>125</v>
      </c>
      <c r="AG442" t="s">
        <v>125</v>
      </c>
      <c r="AH442" t="s">
        <v>125</v>
      </c>
      <c r="AI442" t="s">
        <v>125</v>
      </c>
      <c r="AJ442" t="s">
        <v>125</v>
      </c>
      <c r="AK442">
        <v>8.5399999999999991</v>
      </c>
      <c r="AL442">
        <v>10.47</v>
      </c>
      <c r="AM442" t="s">
        <v>125</v>
      </c>
      <c r="AN442">
        <v>0.69673600000000002</v>
      </c>
      <c r="AO442">
        <v>69.673591000000002</v>
      </c>
      <c r="AP442">
        <v>100</v>
      </c>
      <c r="AQ442">
        <v>0.85980800000000002</v>
      </c>
      <c r="AR442">
        <v>85.980818999999997</v>
      </c>
      <c r="AS442">
        <v>100</v>
      </c>
      <c r="AT442">
        <v>0.62149500000000002</v>
      </c>
      <c r="AU442">
        <v>0.71243699999999999</v>
      </c>
      <c r="AV442">
        <v>62.149478000000002</v>
      </c>
      <c r="AW442">
        <v>100</v>
      </c>
      <c r="AX442">
        <v>0.80753299999999995</v>
      </c>
      <c r="AY442">
        <v>0.87071699999999996</v>
      </c>
      <c r="AZ442">
        <v>80.753276999999997</v>
      </c>
      <c r="BA442">
        <v>100</v>
      </c>
      <c r="BB442" t="s">
        <v>125</v>
      </c>
      <c r="BC442" t="s">
        <v>125</v>
      </c>
      <c r="BD442" t="s">
        <v>125</v>
      </c>
      <c r="BE442" t="s">
        <v>125</v>
      </c>
      <c r="BF442" t="s">
        <v>125</v>
      </c>
      <c r="BG442" t="s">
        <v>125</v>
      </c>
      <c r="BH442">
        <v>0</v>
      </c>
      <c r="BI442">
        <v>0.99577199999999999</v>
      </c>
      <c r="BJ442">
        <v>0.98947399999999996</v>
      </c>
      <c r="BK442">
        <v>0.99735399999999996</v>
      </c>
      <c r="BL442">
        <v>0.99154299999999995</v>
      </c>
      <c r="BM442">
        <v>0.98947399999999996</v>
      </c>
      <c r="BN442">
        <v>0.99206300000000003</v>
      </c>
      <c r="BO442" t="s">
        <v>125</v>
      </c>
      <c r="BP442" t="s">
        <v>125</v>
      </c>
      <c r="BQ442" t="s">
        <v>125</v>
      </c>
      <c r="BR442">
        <v>3.3827000000000003E-2</v>
      </c>
      <c r="BS442">
        <v>50</v>
      </c>
      <c r="BT442">
        <v>50</v>
      </c>
      <c r="BU442">
        <v>0.123596</v>
      </c>
      <c r="BV442">
        <v>35.280898999999998</v>
      </c>
      <c r="BW442">
        <v>50</v>
      </c>
      <c r="BX442" t="s">
        <v>125</v>
      </c>
      <c r="BY442" t="s">
        <v>125</v>
      </c>
      <c r="BZ442" t="s">
        <v>125</v>
      </c>
      <c r="CA442" t="s">
        <v>125</v>
      </c>
      <c r="CB442" t="s">
        <v>125</v>
      </c>
      <c r="CC442" t="s">
        <v>125</v>
      </c>
      <c r="CD442" t="s">
        <v>125</v>
      </c>
      <c r="CE442" t="s">
        <v>125</v>
      </c>
      <c r="CF442" t="s">
        <v>125</v>
      </c>
      <c r="CG442" t="s">
        <v>125</v>
      </c>
      <c r="CH442" t="s">
        <v>125</v>
      </c>
      <c r="CI442" t="s">
        <v>125</v>
      </c>
      <c r="CJ442" t="s">
        <v>125</v>
      </c>
      <c r="CK442" t="s">
        <v>125</v>
      </c>
      <c r="CL442" t="s">
        <v>125</v>
      </c>
      <c r="CM442" t="s">
        <v>125</v>
      </c>
      <c r="CN442" t="s">
        <v>125</v>
      </c>
      <c r="CO442" t="s">
        <v>125</v>
      </c>
      <c r="CP442" t="s">
        <v>125</v>
      </c>
      <c r="CQ442">
        <v>0.43201800000000001</v>
      </c>
      <c r="CR442">
        <v>0.964059</v>
      </c>
      <c r="CS442">
        <v>28.801169999999999</v>
      </c>
      <c r="CT442">
        <v>50</v>
      </c>
      <c r="CU442" t="s">
        <v>125</v>
      </c>
      <c r="CV442" t="s">
        <v>125</v>
      </c>
      <c r="CW442" t="s">
        <v>125</v>
      </c>
      <c r="CX442" t="s">
        <v>125</v>
      </c>
      <c r="CY442" t="s">
        <v>125</v>
      </c>
      <c r="CZ442" t="s">
        <v>125</v>
      </c>
      <c r="DA442">
        <v>15.314097</v>
      </c>
      <c r="DB442">
        <v>17.400950000000002</v>
      </c>
      <c r="DC442">
        <v>16.332519999999999</v>
      </c>
      <c r="DD442" t="s">
        <v>125</v>
      </c>
      <c r="DE442">
        <v>0</v>
      </c>
      <c r="DH442" t="s">
        <v>332</v>
      </c>
      <c r="DI442" t="s">
        <v>453</v>
      </c>
      <c r="DJ442">
        <v>0</v>
      </c>
      <c r="DK442">
        <v>0</v>
      </c>
      <c r="DL442">
        <v>1</v>
      </c>
      <c r="DM442">
        <v>0</v>
      </c>
      <c r="DN442">
        <v>1</v>
      </c>
      <c r="DO442">
        <v>0</v>
      </c>
      <c r="DQ442" t="s">
        <v>126</v>
      </c>
    </row>
    <row r="443" spans="1:121" x14ac:dyDescent="0.15">
      <c r="A443">
        <v>2018</v>
      </c>
      <c r="B443" t="s">
        <v>153</v>
      </c>
      <c r="C443" t="str">
        <f t="shared" si="12"/>
        <v>0540011</v>
      </c>
      <c r="D443" t="s">
        <v>594</v>
      </c>
      <c r="E443" t="str">
        <f>"0546111"</f>
        <v>0546111</v>
      </c>
      <c r="F443" t="s">
        <v>328</v>
      </c>
      <c r="G443">
        <v>9</v>
      </c>
      <c r="H443">
        <v>12</v>
      </c>
      <c r="J443" t="s">
        <v>331</v>
      </c>
      <c r="K443">
        <v>1284.983571</v>
      </c>
      <c r="L443">
        <v>1450</v>
      </c>
      <c r="M443">
        <v>88.619557</v>
      </c>
      <c r="N443">
        <v>2</v>
      </c>
      <c r="O443">
        <v>1</v>
      </c>
      <c r="P443">
        <v>68.398895999999993</v>
      </c>
      <c r="Q443">
        <v>136.79779199999999</v>
      </c>
      <c r="R443">
        <v>150</v>
      </c>
      <c r="S443">
        <v>53.101190000000003</v>
      </c>
      <c r="T443">
        <v>71.619465000000005</v>
      </c>
      <c r="U443">
        <v>106.202381</v>
      </c>
      <c r="V443">
        <v>150</v>
      </c>
      <c r="W443">
        <v>70.620658000000006</v>
      </c>
      <c r="X443">
        <v>141.24131600000001</v>
      </c>
      <c r="Y443">
        <v>150</v>
      </c>
      <c r="Z443">
        <v>74.505013000000005</v>
      </c>
      <c r="AA443">
        <v>52.169974000000003</v>
      </c>
      <c r="AB443">
        <v>104.339947</v>
      </c>
      <c r="AC443">
        <v>150</v>
      </c>
      <c r="AD443">
        <v>74.386476999999999</v>
      </c>
      <c r="AE443">
        <v>99.181968999999995</v>
      </c>
      <c r="AF443">
        <v>100</v>
      </c>
      <c r="AG443">
        <v>59.434781999999998</v>
      </c>
      <c r="AH443">
        <v>75</v>
      </c>
      <c r="AI443">
        <v>79.246375999999998</v>
      </c>
      <c r="AJ443">
        <v>100</v>
      </c>
      <c r="AK443">
        <v>18.510000000000002</v>
      </c>
      <c r="AL443">
        <v>22.33</v>
      </c>
      <c r="AM443">
        <v>15.56</v>
      </c>
      <c r="AN443" t="s">
        <v>125</v>
      </c>
      <c r="AO443" t="s">
        <v>125</v>
      </c>
      <c r="AP443" t="s">
        <v>125</v>
      </c>
      <c r="AQ443" t="s">
        <v>125</v>
      </c>
      <c r="AR443" t="s">
        <v>125</v>
      </c>
      <c r="AS443" t="s">
        <v>125</v>
      </c>
      <c r="AT443" t="s">
        <v>125</v>
      </c>
      <c r="AU443" t="s">
        <v>125</v>
      </c>
      <c r="AV443" t="s">
        <v>125</v>
      </c>
      <c r="AW443" t="s">
        <v>125</v>
      </c>
      <c r="AX443" t="s">
        <v>125</v>
      </c>
      <c r="AY443" t="s">
        <v>125</v>
      </c>
      <c r="AZ443" t="s">
        <v>125</v>
      </c>
      <c r="BA443" t="s">
        <v>125</v>
      </c>
      <c r="BB443" t="s">
        <v>125</v>
      </c>
      <c r="BC443" t="s">
        <v>125</v>
      </c>
      <c r="BD443" t="s">
        <v>125</v>
      </c>
      <c r="BE443" t="s">
        <v>125</v>
      </c>
      <c r="BF443" t="s">
        <v>125</v>
      </c>
      <c r="BG443" t="s">
        <v>125</v>
      </c>
      <c r="BH443">
        <v>0</v>
      </c>
      <c r="BI443">
        <v>0.99188600000000005</v>
      </c>
      <c r="BJ443">
        <v>0.95652199999999998</v>
      </c>
      <c r="BK443">
        <v>1</v>
      </c>
      <c r="BL443">
        <v>0.99188600000000005</v>
      </c>
      <c r="BM443">
        <v>0.95652199999999998</v>
      </c>
      <c r="BN443">
        <v>1</v>
      </c>
      <c r="BO443">
        <v>0.993927</v>
      </c>
      <c r="BP443">
        <v>0.978495</v>
      </c>
      <c r="BQ443">
        <v>0.997506</v>
      </c>
      <c r="BR443">
        <v>4.0662999999999998E-2</v>
      </c>
      <c r="BS443">
        <v>50</v>
      </c>
      <c r="BT443">
        <v>50</v>
      </c>
      <c r="BU443">
        <v>9.5477000000000006E-2</v>
      </c>
      <c r="BV443">
        <v>40.904522999999998</v>
      </c>
      <c r="BW443">
        <v>50</v>
      </c>
      <c r="BX443">
        <v>0.73340000000000005</v>
      </c>
      <c r="BY443">
        <v>48.893360000000001</v>
      </c>
      <c r="BZ443">
        <v>50</v>
      </c>
      <c r="CA443">
        <v>0.74949699999999997</v>
      </c>
      <c r="CB443">
        <v>49.966464999999999</v>
      </c>
      <c r="CC443">
        <v>50</v>
      </c>
      <c r="CD443">
        <v>0.967611</v>
      </c>
      <c r="CE443">
        <v>50</v>
      </c>
      <c r="CF443">
        <v>50</v>
      </c>
      <c r="CG443">
        <v>0.99373699999999998</v>
      </c>
      <c r="CH443">
        <v>100</v>
      </c>
      <c r="CI443">
        <v>100</v>
      </c>
      <c r="CJ443">
        <v>0</v>
      </c>
      <c r="CK443">
        <v>0.99029100000000003</v>
      </c>
      <c r="CL443">
        <v>100</v>
      </c>
      <c r="CM443">
        <v>100</v>
      </c>
      <c r="CN443">
        <v>0.86221300000000001</v>
      </c>
      <c r="CO443">
        <v>100</v>
      </c>
      <c r="CP443">
        <v>100</v>
      </c>
      <c r="CQ443">
        <v>0.58642000000000005</v>
      </c>
      <c r="CR443">
        <v>0.96428599999999998</v>
      </c>
      <c r="CS443">
        <v>39.094650000000001</v>
      </c>
      <c r="CT443">
        <v>50</v>
      </c>
      <c r="CU443">
        <v>0.46937800000000002</v>
      </c>
      <c r="CV443">
        <v>39.114792999999999</v>
      </c>
      <c r="CW443">
        <v>50</v>
      </c>
      <c r="CX443">
        <v>0.99029100000000003</v>
      </c>
      <c r="CY443">
        <v>0.94</v>
      </c>
      <c r="CZ443">
        <v>-5.0291000000000002E-2</v>
      </c>
      <c r="DA443">
        <v>15.314097</v>
      </c>
      <c r="DB443">
        <v>17.400950000000002</v>
      </c>
      <c r="DC443">
        <v>16.332519999999999</v>
      </c>
      <c r="DD443">
        <v>7.9891730000000001</v>
      </c>
      <c r="DE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Q443" t="s">
        <v>126</v>
      </c>
    </row>
    <row r="444" spans="1:121" x14ac:dyDescent="0.15">
      <c r="A444">
        <v>2018</v>
      </c>
      <c r="B444" t="s">
        <v>153</v>
      </c>
      <c r="C444" t="str">
        <f t="shared" si="12"/>
        <v>0540011</v>
      </c>
      <c r="D444" t="s">
        <v>595</v>
      </c>
      <c r="E444" t="str">
        <f>"0540411"</f>
        <v>0540411</v>
      </c>
      <c r="F444" t="s">
        <v>328</v>
      </c>
      <c r="G444" t="s">
        <v>339</v>
      </c>
      <c r="H444">
        <v>5</v>
      </c>
      <c r="J444" t="s">
        <v>331</v>
      </c>
      <c r="K444">
        <v>657.55357400000003</v>
      </c>
      <c r="L444">
        <v>800</v>
      </c>
      <c r="M444">
        <v>82.194197000000003</v>
      </c>
      <c r="N444">
        <v>2</v>
      </c>
      <c r="O444">
        <v>0</v>
      </c>
      <c r="P444">
        <v>86.390596000000002</v>
      </c>
      <c r="Q444">
        <v>50</v>
      </c>
      <c r="R444">
        <v>50</v>
      </c>
      <c r="S444">
        <v>76.197944000000007</v>
      </c>
      <c r="T444">
        <v>75</v>
      </c>
      <c r="U444">
        <v>50</v>
      </c>
      <c r="V444">
        <v>50</v>
      </c>
      <c r="W444">
        <v>81.542417999999998</v>
      </c>
      <c r="X444">
        <v>50</v>
      </c>
      <c r="Y444">
        <v>50</v>
      </c>
      <c r="Z444">
        <v>75</v>
      </c>
      <c r="AA444">
        <v>70.045908999999995</v>
      </c>
      <c r="AB444">
        <v>46.697273000000003</v>
      </c>
      <c r="AC444">
        <v>50</v>
      </c>
      <c r="AD444">
        <v>79.508253999999994</v>
      </c>
      <c r="AE444">
        <v>50</v>
      </c>
      <c r="AF444">
        <v>50</v>
      </c>
      <c r="AG444" t="s">
        <v>125</v>
      </c>
      <c r="AH444">
        <v>75</v>
      </c>
      <c r="AI444" t="s">
        <v>125</v>
      </c>
      <c r="AJ444" t="s">
        <v>125</v>
      </c>
      <c r="AK444">
        <v>-1.19</v>
      </c>
      <c r="AL444">
        <v>4.95</v>
      </c>
      <c r="AM444" t="s">
        <v>125</v>
      </c>
      <c r="AN444">
        <v>0.732294</v>
      </c>
      <c r="AO444">
        <v>73.229427999999999</v>
      </c>
      <c r="AP444">
        <v>100</v>
      </c>
      <c r="AQ444">
        <v>0.64360700000000004</v>
      </c>
      <c r="AR444">
        <v>64.360668000000004</v>
      </c>
      <c r="AS444">
        <v>100</v>
      </c>
      <c r="AT444">
        <v>0.65905800000000003</v>
      </c>
      <c r="AU444">
        <v>0.744035</v>
      </c>
      <c r="AV444">
        <v>65.905749999999998</v>
      </c>
      <c r="AW444">
        <v>100</v>
      </c>
      <c r="AX444">
        <v>0.58875599999999995</v>
      </c>
      <c r="AY444">
        <v>0.65239999999999998</v>
      </c>
      <c r="AZ444">
        <v>58.875605999999998</v>
      </c>
      <c r="BA444">
        <v>100</v>
      </c>
      <c r="BB444" t="s">
        <v>125</v>
      </c>
      <c r="BC444" t="s">
        <v>125</v>
      </c>
      <c r="BD444" t="s">
        <v>125</v>
      </c>
      <c r="BE444" t="s">
        <v>125</v>
      </c>
      <c r="BF444" t="s">
        <v>125</v>
      </c>
      <c r="BG444" t="s">
        <v>125</v>
      </c>
      <c r="BH444">
        <v>0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 t="s">
        <v>125</v>
      </c>
      <c r="BQ444">
        <v>1</v>
      </c>
      <c r="BR444">
        <v>2.5172E-2</v>
      </c>
      <c r="BS444">
        <v>50</v>
      </c>
      <c r="BT444">
        <v>50</v>
      </c>
      <c r="BU444">
        <v>3.8961000000000003E-2</v>
      </c>
      <c r="BV444">
        <v>50</v>
      </c>
      <c r="BW444">
        <v>50</v>
      </c>
      <c r="BX444" t="s">
        <v>125</v>
      </c>
      <c r="BY444" t="s">
        <v>125</v>
      </c>
      <c r="BZ444" t="s">
        <v>125</v>
      </c>
      <c r="CA444" t="s">
        <v>125</v>
      </c>
      <c r="CB444" t="s">
        <v>125</v>
      </c>
      <c r="CC444" t="s">
        <v>125</v>
      </c>
      <c r="CD444" t="s">
        <v>125</v>
      </c>
      <c r="CE444" t="s">
        <v>125</v>
      </c>
      <c r="CF444" t="s">
        <v>125</v>
      </c>
      <c r="CG444" t="s">
        <v>125</v>
      </c>
      <c r="CH444" t="s">
        <v>125</v>
      </c>
      <c r="CI444" t="s">
        <v>125</v>
      </c>
      <c r="CJ444" t="s">
        <v>125</v>
      </c>
      <c r="CK444" t="s">
        <v>125</v>
      </c>
      <c r="CL444" t="s">
        <v>125</v>
      </c>
      <c r="CM444" t="s">
        <v>125</v>
      </c>
      <c r="CN444" t="s">
        <v>125</v>
      </c>
      <c r="CO444" t="s">
        <v>125</v>
      </c>
      <c r="CP444" t="s">
        <v>125</v>
      </c>
      <c r="CQ444">
        <v>0.72727299999999995</v>
      </c>
      <c r="CR444">
        <v>1</v>
      </c>
      <c r="CS444">
        <v>48.484848</v>
      </c>
      <c r="CT444">
        <v>50</v>
      </c>
      <c r="CU444" t="s">
        <v>125</v>
      </c>
      <c r="CV444" t="s">
        <v>125</v>
      </c>
      <c r="CW444" t="s">
        <v>125</v>
      </c>
      <c r="CX444" t="s">
        <v>125</v>
      </c>
      <c r="CY444" t="s">
        <v>125</v>
      </c>
      <c r="CZ444" t="s">
        <v>125</v>
      </c>
      <c r="DA444">
        <v>15.314097</v>
      </c>
      <c r="DB444">
        <v>17.400950000000002</v>
      </c>
      <c r="DC444">
        <v>16.332519999999999</v>
      </c>
      <c r="DD444" t="s">
        <v>125</v>
      </c>
      <c r="DE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Q444" t="s">
        <v>126</v>
      </c>
    </row>
    <row r="445" spans="1:121" x14ac:dyDescent="0.15">
      <c r="A445">
        <v>2018</v>
      </c>
      <c r="B445" t="s">
        <v>153</v>
      </c>
      <c r="C445" t="str">
        <f t="shared" si="12"/>
        <v>0540011</v>
      </c>
      <c r="D445" t="s">
        <v>596</v>
      </c>
      <c r="E445" t="str">
        <f>"0540611"</f>
        <v>0540611</v>
      </c>
      <c r="F445" t="s">
        <v>328</v>
      </c>
      <c r="G445" t="s">
        <v>339</v>
      </c>
      <c r="H445">
        <v>5</v>
      </c>
      <c r="J445" t="s">
        <v>331</v>
      </c>
      <c r="K445">
        <v>690.25500399999999</v>
      </c>
      <c r="L445">
        <v>800</v>
      </c>
      <c r="M445">
        <v>86.281874999999999</v>
      </c>
      <c r="N445">
        <v>1</v>
      </c>
      <c r="O445">
        <v>0</v>
      </c>
      <c r="P445">
        <v>84.088517999999993</v>
      </c>
      <c r="Q445">
        <v>50</v>
      </c>
      <c r="R445">
        <v>50</v>
      </c>
      <c r="S445">
        <v>69.555376999999993</v>
      </c>
      <c r="T445">
        <v>75</v>
      </c>
      <c r="U445">
        <v>46.370251000000003</v>
      </c>
      <c r="V445">
        <v>50</v>
      </c>
      <c r="W445">
        <v>81.371031000000002</v>
      </c>
      <c r="X445">
        <v>50</v>
      </c>
      <c r="Y445">
        <v>50</v>
      </c>
      <c r="Z445">
        <v>75</v>
      </c>
      <c r="AA445">
        <v>69.770328000000006</v>
      </c>
      <c r="AB445">
        <v>46.513551999999997</v>
      </c>
      <c r="AC445">
        <v>50</v>
      </c>
      <c r="AD445">
        <v>77.362903000000003</v>
      </c>
      <c r="AE445">
        <v>50</v>
      </c>
      <c r="AF445">
        <v>50</v>
      </c>
      <c r="AG445" t="s">
        <v>125</v>
      </c>
      <c r="AH445">
        <v>75</v>
      </c>
      <c r="AI445" t="s">
        <v>125</v>
      </c>
      <c r="AJ445" t="s">
        <v>125</v>
      </c>
      <c r="AK445">
        <v>5.44</v>
      </c>
      <c r="AL445">
        <v>5.22</v>
      </c>
      <c r="AM445" t="s">
        <v>125</v>
      </c>
      <c r="AN445">
        <v>0.75090999999999997</v>
      </c>
      <c r="AO445">
        <v>75.091012000000006</v>
      </c>
      <c r="AP445">
        <v>100</v>
      </c>
      <c r="AQ445">
        <v>0.78537800000000002</v>
      </c>
      <c r="AR445">
        <v>78.537833000000006</v>
      </c>
      <c r="AS445">
        <v>100</v>
      </c>
      <c r="AT445">
        <v>0.71471499999999999</v>
      </c>
      <c r="AU445">
        <v>0.75626300000000002</v>
      </c>
      <c r="AV445">
        <v>71.471542999999997</v>
      </c>
      <c r="AW445">
        <v>100</v>
      </c>
      <c r="AX445">
        <v>0.81941600000000003</v>
      </c>
      <c r="AY445">
        <v>0.78034499999999996</v>
      </c>
      <c r="AZ445">
        <v>81.941595000000007</v>
      </c>
      <c r="BA445">
        <v>100</v>
      </c>
      <c r="BB445" t="s">
        <v>125</v>
      </c>
      <c r="BC445" t="s">
        <v>125</v>
      </c>
      <c r="BD445" t="s">
        <v>125</v>
      </c>
      <c r="BE445" t="s">
        <v>125</v>
      </c>
      <c r="BF445" t="s">
        <v>125</v>
      </c>
      <c r="BG445" t="s">
        <v>125</v>
      </c>
      <c r="BH445">
        <v>0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 t="s">
        <v>125</v>
      </c>
      <c r="BQ445">
        <v>1</v>
      </c>
      <c r="BR445">
        <v>1.8218999999999999E-2</v>
      </c>
      <c r="BS445">
        <v>50</v>
      </c>
      <c r="BT445">
        <v>50</v>
      </c>
      <c r="BU445">
        <v>0.05</v>
      </c>
      <c r="BV445">
        <v>50</v>
      </c>
      <c r="BW445">
        <v>50</v>
      </c>
      <c r="BX445" t="s">
        <v>125</v>
      </c>
      <c r="BY445" t="s">
        <v>125</v>
      </c>
      <c r="BZ445" t="s">
        <v>125</v>
      </c>
      <c r="CA445" t="s">
        <v>125</v>
      </c>
      <c r="CB445" t="s">
        <v>125</v>
      </c>
      <c r="CC445" t="s">
        <v>125</v>
      </c>
      <c r="CD445" t="s">
        <v>125</v>
      </c>
      <c r="CE445" t="s">
        <v>125</v>
      </c>
      <c r="CF445" t="s">
        <v>125</v>
      </c>
      <c r="CG445" t="s">
        <v>125</v>
      </c>
      <c r="CH445" t="s">
        <v>125</v>
      </c>
      <c r="CI445" t="s">
        <v>125</v>
      </c>
      <c r="CJ445" t="s">
        <v>125</v>
      </c>
      <c r="CK445" t="s">
        <v>125</v>
      </c>
      <c r="CL445" t="s">
        <v>125</v>
      </c>
      <c r="CM445" t="s">
        <v>125</v>
      </c>
      <c r="CN445" t="s">
        <v>125</v>
      </c>
      <c r="CO445" t="s">
        <v>125</v>
      </c>
      <c r="CP445" t="s">
        <v>125</v>
      </c>
      <c r="CQ445">
        <v>0.60493799999999998</v>
      </c>
      <c r="CR445">
        <v>1</v>
      </c>
      <c r="CS445">
        <v>40.329217999999997</v>
      </c>
      <c r="CT445">
        <v>50</v>
      </c>
      <c r="CU445" t="s">
        <v>125</v>
      </c>
      <c r="CV445" t="s">
        <v>125</v>
      </c>
      <c r="CW445" t="s">
        <v>125</v>
      </c>
      <c r="CX445" t="s">
        <v>125</v>
      </c>
      <c r="CY445" t="s">
        <v>125</v>
      </c>
      <c r="CZ445" t="s">
        <v>125</v>
      </c>
      <c r="DA445">
        <v>15.314097</v>
      </c>
      <c r="DB445">
        <v>17.400950000000002</v>
      </c>
      <c r="DC445">
        <v>16.332519999999999</v>
      </c>
      <c r="DD445" t="s">
        <v>125</v>
      </c>
      <c r="DE445">
        <v>0</v>
      </c>
      <c r="DH445" t="s">
        <v>332</v>
      </c>
      <c r="DI445" t="s">
        <v>597</v>
      </c>
      <c r="DJ445">
        <v>0</v>
      </c>
      <c r="DK445">
        <v>0</v>
      </c>
      <c r="DL445">
        <v>0</v>
      </c>
      <c r="DM445">
        <v>1</v>
      </c>
      <c r="DN445">
        <v>1</v>
      </c>
      <c r="DO445">
        <v>0</v>
      </c>
      <c r="DQ445" t="s">
        <v>126</v>
      </c>
    </row>
    <row r="446" spans="1:121" x14ac:dyDescent="0.15">
      <c r="A446">
        <v>2018</v>
      </c>
      <c r="B446" t="s">
        <v>153</v>
      </c>
      <c r="C446" t="str">
        <f t="shared" si="12"/>
        <v>0540011</v>
      </c>
      <c r="D446" t="s">
        <v>598</v>
      </c>
      <c r="E446" t="str">
        <f>"0540711"</f>
        <v>0540711</v>
      </c>
      <c r="F446" t="s">
        <v>328</v>
      </c>
      <c r="G446" t="s">
        <v>339</v>
      </c>
      <c r="H446">
        <v>5</v>
      </c>
      <c r="I446" t="s">
        <v>330</v>
      </c>
      <c r="J446" t="s">
        <v>331</v>
      </c>
      <c r="K446">
        <v>734.36890600000004</v>
      </c>
      <c r="L446">
        <v>950</v>
      </c>
      <c r="M446">
        <v>77.301990000000004</v>
      </c>
      <c r="N446">
        <v>2</v>
      </c>
      <c r="O446">
        <v>0</v>
      </c>
      <c r="P446">
        <v>76.787150999999994</v>
      </c>
      <c r="Q446">
        <v>50</v>
      </c>
      <c r="R446">
        <v>50</v>
      </c>
      <c r="S446">
        <v>66.695228999999998</v>
      </c>
      <c r="T446">
        <v>75</v>
      </c>
      <c r="U446">
        <v>44.463486000000003</v>
      </c>
      <c r="V446">
        <v>50</v>
      </c>
      <c r="W446">
        <v>76.319388000000004</v>
      </c>
      <c r="X446">
        <v>50</v>
      </c>
      <c r="Y446">
        <v>50</v>
      </c>
      <c r="Z446">
        <v>75</v>
      </c>
      <c r="AA446">
        <v>66.522107000000005</v>
      </c>
      <c r="AB446">
        <v>44.348070999999997</v>
      </c>
      <c r="AC446">
        <v>50</v>
      </c>
      <c r="AD446">
        <v>73.871588000000003</v>
      </c>
      <c r="AE446">
        <v>49.247725000000003</v>
      </c>
      <c r="AF446">
        <v>50</v>
      </c>
      <c r="AG446">
        <v>67.162903</v>
      </c>
      <c r="AH446">
        <v>75</v>
      </c>
      <c r="AI446">
        <v>44.775269000000002</v>
      </c>
      <c r="AJ446">
        <v>50</v>
      </c>
      <c r="AK446">
        <v>8.3000000000000007</v>
      </c>
      <c r="AL446">
        <v>8.4700000000000006</v>
      </c>
      <c r="AM446">
        <v>7.83</v>
      </c>
      <c r="AN446">
        <v>0.56743100000000002</v>
      </c>
      <c r="AO446">
        <v>56.743059000000002</v>
      </c>
      <c r="AP446">
        <v>100</v>
      </c>
      <c r="AQ446">
        <v>0.84060800000000002</v>
      </c>
      <c r="AR446">
        <v>84.060785999999993</v>
      </c>
      <c r="AS446">
        <v>100</v>
      </c>
      <c r="AT446">
        <v>0.47456900000000002</v>
      </c>
      <c r="AU446">
        <v>0.61981399999999998</v>
      </c>
      <c r="AV446">
        <v>47.456947</v>
      </c>
      <c r="AW446">
        <v>100</v>
      </c>
      <c r="AX446">
        <v>0.848163</v>
      </c>
      <c r="AY446">
        <v>0.83634600000000003</v>
      </c>
      <c r="AZ446">
        <v>84.816325000000006</v>
      </c>
      <c r="BA446">
        <v>100</v>
      </c>
      <c r="BB446">
        <v>0.73684099999999997</v>
      </c>
      <c r="BC446">
        <v>36.842030000000001</v>
      </c>
      <c r="BD446">
        <v>50</v>
      </c>
      <c r="BE446">
        <v>0.56572599999999995</v>
      </c>
      <c r="BF446">
        <v>28.286290999999999</v>
      </c>
      <c r="BG446">
        <v>50</v>
      </c>
      <c r="BH446">
        <v>0</v>
      </c>
      <c r="BI446">
        <v>0.98564600000000002</v>
      </c>
      <c r="BJ446">
        <v>0.97647099999999998</v>
      </c>
      <c r="BK446">
        <v>0.99193500000000001</v>
      </c>
      <c r="BL446">
        <v>0.98571399999999998</v>
      </c>
      <c r="BM446">
        <v>0.97674399999999995</v>
      </c>
      <c r="BN446">
        <v>0.99193500000000001</v>
      </c>
      <c r="BO446">
        <v>0.98591499999999999</v>
      </c>
      <c r="BP446">
        <v>1</v>
      </c>
      <c r="BQ446">
        <v>0.97560999999999998</v>
      </c>
      <c r="BR446">
        <v>5.1345000000000002E-2</v>
      </c>
      <c r="BS446">
        <v>49.731051000000001</v>
      </c>
      <c r="BT446">
        <v>50</v>
      </c>
      <c r="BU446">
        <v>9.1463000000000003E-2</v>
      </c>
      <c r="BV446">
        <v>41.707317000000003</v>
      </c>
      <c r="BW446">
        <v>50</v>
      </c>
      <c r="BX446" t="s">
        <v>125</v>
      </c>
      <c r="BY446" t="s">
        <v>125</v>
      </c>
      <c r="BZ446" t="s">
        <v>125</v>
      </c>
      <c r="CA446" t="s">
        <v>125</v>
      </c>
      <c r="CB446" t="s">
        <v>125</v>
      </c>
      <c r="CC446" t="s">
        <v>125</v>
      </c>
      <c r="CD446" t="s">
        <v>125</v>
      </c>
      <c r="CE446" t="s">
        <v>125</v>
      </c>
      <c r="CF446" t="s">
        <v>125</v>
      </c>
      <c r="CG446" t="s">
        <v>125</v>
      </c>
      <c r="CH446" t="s">
        <v>125</v>
      </c>
      <c r="CI446" t="s">
        <v>125</v>
      </c>
      <c r="CJ446" t="s">
        <v>125</v>
      </c>
      <c r="CK446" t="s">
        <v>125</v>
      </c>
      <c r="CL446" t="s">
        <v>125</v>
      </c>
      <c r="CM446" t="s">
        <v>125</v>
      </c>
      <c r="CN446" t="s">
        <v>125</v>
      </c>
      <c r="CO446" t="s">
        <v>125</v>
      </c>
      <c r="CP446" t="s">
        <v>125</v>
      </c>
      <c r="CQ446">
        <v>0.32835799999999998</v>
      </c>
      <c r="CR446">
        <v>1</v>
      </c>
      <c r="CS446">
        <v>21.890547000000002</v>
      </c>
      <c r="CT446">
        <v>50</v>
      </c>
      <c r="CU446" t="s">
        <v>125</v>
      </c>
      <c r="CV446" t="s">
        <v>125</v>
      </c>
      <c r="CW446" t="s">
        <v>125</v>
      </c>
      <c r="CX446" t="s">
        <v>125</v>
      </c>
      <c r="CY446" t="s">
        <v>125</v>
      </c>
      <c r="CZ446" t="s">
        <v>125</v>
      </c>
      <c r="DA446">
        <v>15.314097</v>
      </c>
      <c r="DB446">
        <v>17.400950000000002</v>
      </c>
      <c r="DC446">
        <v>16.332519999999999</v>
      </c>
      <c r="DD446" t="s">
        <v>125</v>
      </c>
      <c r="DE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Q446" t="s">
        <v>126</v>
      </c>
    </row>
    <row r="447" spans="1:121" x14ac:dyDescent="0.15">
      <c r="A447">
        <v>2018</v>
      </c>
      <c r="B447" t="s">
        <v>153</v>
      </c>
      <c r="C447" t="str">
        <f t="shared" si="12"/>
        <v>0540011</v>
      </c>
      <c r="D447" t="s">
        <v>599</v>
      </c>
      <c r="E447" t="str">
        <f>"0540911"</f>
        <v>0540911</v>
      </c>
      <c r="F447" t="s">
        <v>328</v>
      </c>
      <c r="G447" t="s">
        <v>339</v>
      </c>
      <c r="H447">
        <v>5</v>
      </c>
      <c r="J447" t="s">
        <v>331</v>
      </c>
      <c r="K447">
        <v>676.20184600000005</v>
      </c>
      <c r="L447">
        <v>850</v>
      </c>
      <c r="M447">
        <v>79.553157999999996</v>
      </c>
      <c r="N447">
        <v>2</v>
      </c>
      <c r="O447">
        <v>0</v>
      </c>
      <c r="P447">
        <v>79.634029999999996</v>
      </c>
      <c r="Q447">
        <v>50</v>
      </c>
      <c r="R447">
        <v>50</v>
      </c>
      <c r="S447">
        <v>62.168911000000001</v>
      </c>
      <c r="T447">
        <v>75</v>
      </c>
      <c r="U447">
        <v>41.445940999999998</v>
      </c>
      <c r="V447">
        <v>50</v>
      </c>
      <c r="W447">
        <v>80.757227</v>
      </c>
      <c r="X447">
        <v>50</v>
      </c>
      <c r="Y447">
        <v>50</v>
      </c>
      <c r="Z447">
        <v>75</v>
      </c>
      <c r="AA447">
        <v>62.977981</v>
      </c>
      <c r="AB447">
        <v>41.985320000000002</v>
      </c>
      <c r="AC447">
        <v>50</v>
      </c>
      <c r="AD447">
        <v>81.487558000000007</v>
      </c>
      <c r="AE447">
        <v>50</v>
      </c>
      <c r="AF447">
        <v>50</v>
      </c>
      <c r="AG447">
        <v>64.748947999999999</v>
      </c>
      <c r="AH447">
        <v>75</v>
      </c>
      <c r="AI447">
        <v>43.165965</v>
      </c>
      <c r="AJ447">
        <v>50</v>
      </c>
      <c r="AK447">
        <v>12.83</v>
      </c>
      <c r="AL447">
        <v>12.02</v>
      </c>
      <c r="AM447">
        <v>10.25</v>
      </c>
      <c r="AN447">
        <v>0.70621999999999996</v>
      </c>
      <c r="AO447">
        <v>70.622016000000002</v>
      </c>
      <c r="AP447">
        <v>100</v>
      </c>
      <c r="AQ447">
        <v>0.83935300000000002</v>
      </c>
      <c r="AR447">
        <v>83.935325000000006</v>
      </c>
      <c r="AS447">
        <v>100</v>
      </c>
      <c r="AT447">
        <v>0.48905300000000002</v>
      </c>
      <c r="AU447">
        <v>0.75779700000000005</v>
      </c>
      <c r="AV447">
        <v>48.905267000000002</v>
      </c>
      <c r="AW447">
        <v>100</v>
      </c>
      <c r="AX447">
        <v>0.73121199999999997</v>
      </c>
      <c r="AY447">
        <v>0.86503699999999994</v>
      </c>
      <c r="AZ447">
        <v>73.121178</v>
      </c>
      <c r="BA447">
        <v>100</v>
      </c>
      <c r="BB447" t="s">
        <v>125</v>
      </c>
      <c r="BC447" t="s">
        <v>125</v>
      </c>
      <c r="BD447" t="s">
        <v>125</v>
      </c>
      <c r="BE447" t="s">
        <v>125</v>
      </c>
      <c r="BF447" t="s">
        <v>125</v>
      </c>
      <c r="BG447" t="s">
        <v>125</v>
      </c>
      <c r="BH447">
        <v>0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2.8219000000000001E-2</v>
      </c>
      <c r="BS447">
        <v>50</v>
      </c>
      <c r="BT447">
        <v>50</v>
      </c>
      <c r="BU447">
        <v>0.101563</v>
      </c>
      <c r="BV447">
        <v>39.6875</v>
      </c>
      <c r="BW447">
        <v>50</v>
      </c>
      <c r="BX447" t="s">
        <v>125</v>
      </c>
      <c r="BY447" t="s">
        <v>125</v>
      </c>
      <c r="BZ447" t="s">
        <v>125</v>
      </c>
      <c r="CA447" t="s">
        <v>125</v>
      </c>
      <c r="CB447" t="s">
        <v>125</v>
      </c>
      <c r="CC447" t="s">
        <v>125</v>
      </c>
      <c r="CD447" t="s">
        <v>125</v>
      </c>
      <c r="CE447" t="s">
        <v>125</v>
      </c>
      <c r="CF447" t="s">
        <v>125</v>
      </c>
      <c r="CG447" t="s">
        <v>125</v>
      </c>
      <c r="CH447" t="s">
        <v>125</v>
      </c>
      <c r="CI447" t="s">
        <v>125</v>
      </c>
      <c r="CJ447" t="s">
        <v>125</v>
      </c>
      <c r="CK447" t="s">
        <v>125</v>
      </c>
      <c r="CL447" t="s">
        <v>125</v>
      </c>
      <c r="CM447" t="s">
        <v>125</v>
      </c>
      <c r="CN447" t="s">
        <v>125</v>
      </c>
      <c r="CO447" t="s">
        <v>125</v>
      </c>
      <c r="CP447" t="s">
        <v>125</v>
      </c>
      <c r="CQ447">
        <v>0.5</v>
      </c>
      <c r="CR447">
        <v>0.99009899999999995</v>
      </c>
      <c r="CS447">
        <v>33.333333000000003</v>
      </c>
      <c r="CT447">
        <v>50</v>
      </c>
      <c r="CU447" t="s">
        <v>125</v>
      </c>
      <c r="CV447" t="s">
        <v>125</v>
      </c>
      <c r="CW447" t="s">
        <v>125</v>
      </c>
      <c r="CX447" t="s">
        <v>125</v>
      </c>
      <c r="CY447" t="s">
        <v>125</v>
      </c>
      <c r="CZ447" t="s">
        <v>125</v>
      </c>
      <c r="DA447">
        <v>15.314097</v>
      </c>
      <c r="DB447">
        <v>17.400950000000002</v>
      </c>
      <c r="DC447">
        <v>16.332519999999999</v>
      </c>
      <c r="DD447" t="s">
        <v>125</v>
      </c>
      <c r="DE447">
        <v>0</v>
      </c>
      <c r="DH447" t="s">
        <v>332</v>
      </c>
      <c r="DI447" t="s">
        <v>591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Q447" t="s">
        <v>126</v>
      </c>
    </row>
    <row r="448" spans="1:121" x14ac:dyDescent="0.15">
      <c r="A448">
        <v>2018</v>
      </c>
      <c r="B448" t="s">
        <v>153</v>
      </c>
      <c r="C448" t="str">
        <f t="shared" si="12"/>
        <v>0540011</v>
      </c>
      <c r="D448" t="s">
        <v>600</v>
      </c>
      <c r="E448" t="str">
        <f>"0545211"</f>
        <v>0545211</v>
      </c>
      <c r="F448" t="s">
        <v>328</v>
      </c>
      <c r="G448">
        <v>7</v>
      </c>
      <c r="H448">
        <v>8</v>
      </c>
      <c r="J448" t="s">
        <v>331</v>
      </c>
      <c r="K448">
        <v>664.45754899999997</v>
      </c>
      <c r="L448">
        <v>900</v>
      </c>
      <c r="M448">
        <v>73.828616999999994</v>
      </c>
      <c r="N448">
        <v>3</v>
      </c>
      <c r="O448">
        <v>1</v>
      </c>
      <c r="P448">
        <v>80.174751999999998</v>
      </c>
      <c r="Q448">
        <v>50</v>
      </c>
      <c r="R448">
        <v>50</v>
      </c>
      <c r="S448">
        <v>62.244261000000002</v>
      </c>
      <c r="T448">
        <v>75</v>
      </c>
      <c r="U448">
        <v>41.496174000000003</v>
      </c>
      <c r="V448">
        <v>50</v>
      </c>
      <c r="W448">
        <v>77.585052000000005</v>
      </c>
      <c r="X448">
        <v>50</v>
      </c>
      <c r="Y448">
        <v>50</v>
      </c>
      <c r="Z448">
        <v>75</v>
      </c>
      <c r="AA448">
        <v>55.72833</v>
      </c>
      <c r="AB448">
        <v>37.15222</v>
      </c>
      <c r="AC448">
        <v>50</v>
      </c>
      <c r="AD448">
        <v>77.564639999999997</v>
      </c>
      <c r="AE448">
        <v>50</v>
      </c>
      <c r="AF448">
        <v>50</v>
      </c>
      <c r="AG448">
        <v>58.098781000000002</v>
      </c>
      <c r="AH448">
        <v>75</v>
      </c>
      <c r="AI448">
        <v>38.732520999999998</v>
      </c>
      <c r="AJ448">
        <v>50</v>
      </c>
      <c r="AK448">
        <v>12.75</v>
      </c>
      <c r="AL448">
        <v>19.27</v>
      </c>
      <c r="AM448">
        <v>16.899999999999999</v>
      </c>
      <c r="AN448">
        <v>0.61337799999999998</v>
      </c>
      <c r="AO448">
        <v>61.337806999999998</v>
      </c>
      <c r="AP448">
        <v>100</v>
      </c>
      <c r="AQ448">
        <v>0.66171899999999995</v>
      </c>
      <c r="AR448">
        <v>66.171904999999995</v>
      </c>
      <c r="AS448">
        <v>100</v>
      </c>
      <c r="AT448">
        <v>0.500946</v>
      </c>
      <c r="AU448">
        <v>0.64218699999999995</v>
      </c>
      <c r="AV448">
        <v>50.094560000000001</v>
      </c>
      <c r="AW448">
        <v>100</v>
      </c>
      <c r="AX448">
        <v>0.43653999999999998</v>
      </c>
      <c r="AY448">
        <v>0.71910499999999999</v>
      </c>
      <c r="AZ448">
        <v>43.654015999999999</v>
      </c>
      <c r="BA448">
        <v>100</v>
      </c>
      <c r="BB448" t="s">
        <v>125</v>
      </c>
      <c r="BC448" t="s">
        <v>125</v>
      </c>
      <c r="BD448" t="s">
        <v>125</v>
      </c>
      <c r="BE448" t="s">
        <v>125</v>
      </c>
      <c r="BF448" t="s">
        <v>125</v>
      </c>
      <c r="BG448" t="s">
        <v>125</v>
      </c>
      <c r="BH448">
        <v>0</v>
      </c>
      <c r="BI448">
        <v>0.99685199999999996</v>
      </c>
      <c r="BJ448">
        <v>0.99069799999999997</v>
      </c>
      <c r="BK448">
        <v>0.998645</v>
      </c>
      <c r="BL448">
        <v>0.99685199999999996</v>
      </c>
      <c r="BM448">
        <v>0.99069799999999997</v>
      </c>
      <c r="BN448">
        <v>0.998645</v>
      </c>
      <c r="BO448">
        <v>0.997942</v>
      </c>
      <c r="BP448">
        <v>1</v>
      </c>
      <c r="BQ448">
        <v>0.99742900000000001</v>
      </c>
      <c r="BR448">
        <v>2.5263000000000001E-2</v>
      </c>
      <c r="BS448">
        <v>50</v>
      </c>
      <c r="BT448">
        <v>50</v>
      </c>
      <c r="BU448">
        <v>7.177E-2</v>
      </c>
      <c r="BV448">
        <v>45.645932999999999</v>
      </c>
      <c r="BW448">
        <v>50</v>
      </c>
      <c r="BX448" t="s">
        <v>125</v>
      </c>
      <c r="BY448" t="s">
        <v>125</v>
      </c>
      <c r="BZ448" t="s">
        <v>125</v>
      </c>
      <c r="CA448" t="s">
        <v>125</v>
      </c>
      <c r="CB448" t="s">
        <v>125</v>
      </c>
      <c r="CC448" t="s">
        <v>125</v>
      </c>
      <c r="CD448">
        <v>0.96551699999999996</v>
      </c>
      <c r="CE448">
        <v>50</v>
      </c>
      <c r="CF448">
        <v>50</v>
      </c>
      <c r="CG448" t="s">
        <v>125</v>
      </c>
      <c r="CH448" t="s">
        <v>125</v>
      </c>
      <c r="CI448" t="s">
        <v>125</v>
      </c>
      <c r="CJ448" t="s">
        <v>125</v>
      </c>
      <c r="CK448" t="s">
        <v>125</v>
      </c>
      <c r="CL448" t="s">
        <v>125</v>
      </c>
      <c r="CM448" t="s">
        <v>125</v>
      </c>
      <c r="CN448" t="s">
        <v>125</v>
      </c>
      <c r="CO448" t="s">
        <v>125</v>
      </c>
      <c r="CP448" t="s">
        <v>125</v>
      </c>
      <c r="CQ448">
        <v>0.45258599999999999</v>
      </c>
      <c r="CR448">
        <v>0.95473300000000005</v>
      </c>
      <c r="CS448">
        <v>30.172414</v>
      </c>
      <c r="CT448">
        <v>50</v>
      </c>
      <c r="CU448" t="s">
        <v>125</v>
      </c>
      <c r="CV448" t="s">
        <v>125</v>
      </c>
      <c r="CW448" t="s">
        <v>125</v>
      </c>
      <c r="CX448" t="s">
        <v>125</v>
      </c>
      <c r="CY448" t="s">
        <v>125</v>
      </c>
      <c r="CZ448" t="s">
        <v>125</v>
      </c>
      <c r="DA448">
        <v>15.314097</v>
      </c>
      <c r="DB448">
        <v>17.400950000000002</v>
      </c>
      <c r="DC448">
        <v>16.332519999999999</v>
      </c>
      <c r="DD448" t="s">
        <v>125</v>
      </c>
      <c r="DE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Q448" t="s">
        <v>126</v>
      </c>
    </row>
    <row r="449" spans="1:121" x14ac:dyDescent="0.15">
      <c r="A449">
        <v>2018</v>
      </c>
      <c r="B449" t="s">
        <v>196</v>
      </c>
      <c r="C449" t="str">
        <f>"0560011"</f>
        <v>0560011</v>
      </c>
      <c r="D449" t="s">
        <v>601</v>
      </c>
      <c r="E449" t="str">
        <f>"0566111"</f>
        <v>0566111</v>
      </c>
      <c r="F449" t="s">
        <v>328</v>
      </c>
      <c r="G449">
        <v>9</v>
      </c>
      <c r="H449">
        <v>12</v>
      </c>
      <c r="J449" t="s">
        <v>331</v>
      </c>
      <c r="K449">
        <v>1299.564678</v>
      </c>
      <c r="L449">
        <v>1450</v>
      </c>
      <c r="M449">
        <v>89.625150000000005</v>
      </c>
      <c r="N449">
        <v>2</v>
      </c>
      <c r="O449">
        <v>0</v>
      </c>
      <c r="P449">
        <v>68.154167000000001</v>
      </c>
      <c r="Q449">
        <v>136.308333</v>
      </c>
      <c r="R449">
        <v>150</v>
      </c>
      <c r="S449">
        <v>61.783332999999999</v>
      </c>
      <c r="T449">
        <v>69.624358999999998</v>
      </c>
      <c r="U449">
        <v>123.566667</v>
      </c>
      <c r="V449">
        <v>150</v>
      </c>
      <c r="W449">
        <v>64.659374999999997</v>
      </c>
      <c r="X449">
        <v>129.31874999999999</v>
      </c>
      <c r="Y449">
        <v>150</v>
      </c>
      <c r="Z449">
        <v>67.212821000000005</v>
      </c>
      <c r="AA449">
        <v>53.594444000000003</v>
      </c>
      <c r="AB449">
        <v>107.188889</v>
      </c>
      <c r="AC449">
        <v>150</v>
      </c>
      <c r="AD449">
        <v>79.773116999999999</v>
      </c>
      <c r="AE449">
        <v>100</v>
      </c>
      <c r="AF449">
        <v>100</v>
      </c>
      <c r="AG449">
        <v>66.634988000000007</v>
      </c>
      <c r="AH449">
        <v>75</v>
      </c>
      <c r="AI449">
        <v>88.846650999999994</v>
      </c>
      <c r="AJ449">
        <v>100</v>
      </c>
      <c r="AK449">
        <v>7.84</v>
      </c>
      <c r="AL449">
        <v>13.61</v>
      </c>
      <c r="AM449">
        <v>8.36</v>
      </c>
      <c r="AN449" t="s">
        <v>125</v>
      </c>
      <c r="AO449" t="s">
        <v>125</v>
      </c>
      <c r="AP449" t="s">
        <v>125</v>
      </c>
      <c r="AQ449" t="s">
        <v>125</v>
      </c>
      <c r="AR449" t="s">
        <v>125</v>
      </c>
      <c r="AS449" t="s">
        <v>125</v>
      </c>
      <c r="AT449" t="s">
        <v>125</v>
      </c>
      <c r="AU449" t="s">
        <v>125</v>
      </c>
      <c r="AV449" t="s">
        <v>125</v>
      </c>
      <c r="AW449" t="s">
        <v>125</v>
      </c>
      <c r="AX449" t="s">
        <v>125</v>
      </c>
      <c r="AY449" t="s">
        <v>125</v>
      </c>
      <c r="AZ449" t="s">
        <v>125</v>
      </c>
      <c r="BA449" t="s">
        <v>125</v>
      </c>
      <c r="BB449" t="s">
        <v>125</v>
      </c>
      <c r="BC449" t="s">
        <v>125</v>
      </c>
      <c r="BD449" t="s">
        <v>125</v>
      </c>
      <c r="BE449" t="s">
        <v>125</v>
      </c>
      <c r="BF449" t="s">
        <v>125</v>
      </c>
      <c r="BG449" t="s">
        <v>125</v>
      </c>
      <c r="BH449">
        <v>1</v>
      </c>
      <c r="BI449">
        <v>0.99382700000000002</v>
      </c>
      <c r="BJ449">
        <v>1</v>
      </c>
      <c r="BK449">
        <v>0.99242399999999997</v>
      </c>
      <c r="BL449">
        <v>0.99382700000000002</v>
      </c>
      <c r="BM449">
        <v>1</v>
      </c>
      <c r="BN449">
        <v>0.99242399999999997</v>
      </c>
      <c r="BO449">
        <v>0.97515499999999999</v>
      </c>
      <c r="BP449">
        <v>0.93103400000000003</v>
      </c>
      <c r="BQ449">
        <v>0.98484799999999995</v>
      </c>
      <c r="BR449">
        <v>5.7813000000000003E-2</v>
      </c>
      <c r="BS449">
        <v>48.4375</v>
      </c>
      <c r="BT449">
        <v>50</v>
      </c>
      <c r="BU449">
        <v>0.140741</v>
      </c>
      <c r="BV449">
        <v>31.851852000000001</v>
      </c>
      <c r="BW449">
        <v>50</v>
      </c>
      <c r="BX449">
        <v>0.97872300000000001</v>
      </c>
      <c r="BY449">
        <v>50</v>
      </c>
      <c r="BZ449">
        <v>50</v>
      </c>
      <c r="CA449">
        <v>0.65957399999999999</v>
      </c>
      <c r="CB449">
        <v>43.971631000000002</v>
      </c>
      <c r="CC449">
        <v>50</v>
      </c>
      <c r="CD449">
        <v>0.98750000000000004</v>
      </c>
      <c r="CE449">
        <v>50</v>
      </c>
      <c r="CF449">
        <v>50</v>
      </c>
      <c r="CG449">
        <v>0.97484300000000002</v>
      </c>
      <c r="CH449">
        <v>100</v>
      </c>
      <c r="CI449">
        <v>100</v>
      </c>
      <c r="CJ449">
        <v>0</v>
      </c>
      <c r="CK449">
        <v>0.96875</v>
      </c>
      <c r="CL449">
        <v>100</v>
      </c>
      <c r="CM449">
        <v>100</v>
      </c>
      <c r="CN449">
        <v>0.79617800000000005</v>
      </c>
      <c r="CO449">
        <v>100</v>
      </c>
      <c r="CP449">
        <v>100</v>
      </c>
      <c r="CQ449">
        <v>0.67142900000000005</v>
      </c>
      <c r="CR449">
        <v>0.92715199999999998</v>
      </c>
      <c r="CS449">
        <v>44.761904999999999</v>
      </c>
      <c r="CT449">
        <v>50</v>
      </c>
      <c r="CU449">
        <v>0.54374999999999996</v>
      </c>
      <c r="CV449">
        <v>45.3125</v>
      </c>
      <c r="CW449">
        <v>50</v>
      </c>
      <c r="CX449">
        <v>0.96875</v>
      </c>
      <c r="CY449">
        <v>0.94</v>
      </c>
      <c r="CZ449">
        <v>-2.8750000000000001E-2</v>
      </c>
      <c r="DA449">
        <v>15.314097</v>
      </c>
      <c r="DB449">
        <v>17.400950000000002</v>
      </c>
      <c r="DC449">
        <v>16.332519999999999</v>
      </c>
      <c r="DD449">
        <v>7.9891730000000001</v>
      </c>
      <c r="DE449">
        <v>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Q449" t="s">
        <v>126</v>
      </c>
    </row>
    <row r="450" spans="1:121" x14ac:dyDescent="0.15">
      <c r="A450">
        <v>2018</v>
      </c>
      <c r="B450" t="s">
        <v>196</v>
      </c>
      <c r="C450" t="str">
        <f>"0560011"</f>
        <v>0560011</v>
      </c>
      <c r="D450" t="s">
        <v>602</v>
      </c>
      <c r="E450" t="str">
        <f>"0565111"</f>
        <v>0565111</v>
      </c>
      <c r="F450" t="s">
        <v>328</v>
      </c>
      <c r="G450">
        <v>6</v>
      </c>
      <c r="H450">
        <v>8</v>
      </c>
      <c r="J450" t="s">
        <v>331</v>
      </c>
      <c r="K450">
        <v>672.97633800000006</v>
      </c>
      <c r="L450">
        <v>900</v>
      </c>
      <c r="M450">
        <v>74.775148999999999</v>
      </c>
      <c r="N450">
        <v>3</v>
      </c>
      <c r="O450">
        <v>1</v>
      </c>
      <c r="P450">
        <v>79.402198999999996</v>
      </c>
      <c r="Q450">
        <v>50</v>
      </c>
      <c r="R450">
        <v>50</v>
      </c>
      <c r="S450">
        <v>66.513191000000006</v>
      </c>
      <c r="T450">
        <v>75</v>
      </c>
      <c r="U450">
        <v>44.342126999999998</v>
      </c>
      <c r="V450">
        <v>50</v>
      </c>
      <c r="W450">
        <v>70.555193000000003</v>
      </c>
      <c r="X450">
        <v>47.036794999999998</v>
      </c>
      <c r="Y450">
        <v>50</v>
      </c>
      <c r="Z450">
        <v>75</v>
      </c>
      <c r="AA450">
        <v>56.817864</v>
      </c>
      <c r="AB450">
        <v>37.878576000000002</v>
      </c>
      <c r="AC450">
        <v>50</v>
      </c>
      <c r="AD450">
        <v>74.984133999999997</v>
      </c>
      <c r="AE450">
        <v>49.989421999999998</v>
      </c>
      <c r="AF450">
        <v>50</v>
      </c>
      <c r="AG450">
        <v>58.934592000000002</v>
      </c>
      <c r="AH450">
        <v>75</v>
      </c>
      <c r="AI450">
        <v>39.289727999999997</v>
      </c>
      <c r="AJ450">
        <v>50</v>
      </c>
      <c r="AK450">
        <v>8.48</v>
      </c>
      <c r="AL450">
        <v>18.18</v>
      </c>
      <c r="AM450">
        <v>16.059999999999999</v>
      </c>
      <c r="AN450">
        <v>0.68117300000000003</v>
      </c>
      <c r="AO450">
        <v>68.117316000000002</v>
      </c>
      <c r="AP450">
        <v>100</v>
      </c>
      <c r="AQ450">
        <v>0.59281399999999995</v>
      </c>
      <c r="AR450">
        <v>59.281391999999997</v>
      </c>
      <c r="AS450">
        <v>100</v>
      </c>
      <c r="AT450">
        <v>0.58227700000000004</v>
      </c>
      <c r="AU450">
        <v>0.71346600000000004</v>
      </c>
      <c r="AV450">
        <v>58.227721000000003</v>
      </c>
      <c r="AW450">
        <v>100</v>
      </c>
      <c r="AX450">
        <v>0.47382400000000002</v>
      </c>
      <c r="AY450">
        <v>0.63098799999999999</v>
      </c>
      <c r="AZ450">
        <v>47.382444999999997</v>
      </c>
      <c r="BA450">
        <v>100</v>
      </c>
      <c r="BB450" t="s">
        <v>125</v>
      </c>
      <c r="BC450" t="s">
        <v>125</v>
      </c>
      <c r="BD450" t="s">
        <v>125</v>
      </c>
      <c r="BE450" t="s">
        <v>125</v>
      </c>
      <c r="BF450" t="s">
        <v>125</v>
      </c>
      <c r="BG450" t="s">
        <v>125</v>
      </c>
      <c r="BH450">
        <v>0</v>
      </c>
      <c r="BI450">
        <v>0.99507400000000001</v>
      </c>
      <c r="BJ450">
        <v>0.98148100000000005</v>
      </c>
      <c r="BK450">
        <v>1</v>
      </c>
      <c r="BL450">
        <v>0.99014800000000003</v>
      </c>
      <c r="BM450">
        <v>0.97222200000000003</v>
      </c>
      <c r="BN450">
        <v>0.99664399999999997</v>
      </c>
      <c r="BO450">
        <v>0.98412699999999997</v>
      </c>
      <c r="BP450">
        <v>0.97142899999999999</v>
      </c>
      <c r="BQ450">
        <v>0.98901099999999997</v>
      </c>
      <c r="BR450">
        <v>5.4186999999999999E-2</v>
      </c>
      <c r="BS450">
        <v>49.162562000000001</v>
      </c>
      <c r="BT450">
        <v>50</v>
      </c>
      <c r="BU450">
        <v>0.117647</v>
      </c>
      <c r="BV450">
        <v>36.470587999999999</v>
      </c>
      <c r="BW450">
        <v>50</v>
      </c>
      <c r="BX450" t="s">
        <v>125</v>
      </c>
      <c r="BY450" t="s">
        <v>125</v>
      </c>
      <c r="BZ450" t="s">
        <v>125</v>
      </c>
      <c r="CA450" t="s">
        <v>125</v>
      </c>
      <c r="CB450" t="s">
        <v>125</v>
      </c>
      <c r="CC450" t="s">
        <v>125</v>
      </c>
      <c r="CD450">
        <v>0.98648599999999997</v>
      </c>
      <c r="CE450">
        <v>50</v>
      </c>
      <c r="CF450">
        <v>50</v>
      </c>
      <c r="CG450" t="s">
        <v>125</v>
      </c>
      <c r="CH450" t="s">
        <v>125</v>
      </c>
      <c r="CI450" t="s">
        <v>125</v>
      </c>
      <c r="CJ450" t="s">
        <v>125</v>
      </c>
      <c r="CK450" t="s">
        <v>125</v>
      </c>
      <c r="CL450" t="s">
        <v>125</v>
      </c>
      <c r="CM450" t="s">
        <v>125</v>
      </c>
      <c r="CN450" t="s">
        <v>125</v>
      </c>
      <c r="CO450" t="s">
        <v>125</v>
      </c>
      <c r="CP450" t="s">
        <v>125</v>
      </c>
      <c r="CQ450">
        <v>0.53696500000000003</v>
      </c>
      <c r="CR450">
        <v>0.96254700000000004</v>
      </c>
      <c r="CS450">
        <v>35.797665000000002</v>
      </c>
      <c r="CT450">
        <v>50</v>
      </c>
      <c r="CU450" t="s">
        <v>125</v>
      </c>
      <c r="CV450" t="s">
        <v>125</v>
      </c>
      <c r="CW450" t="s">
        <v>125</v>
      </c>
      <c r="CX450" t="s">
        <v>125</v>
      </c>
      <c r="CY450" t="s">
        <v>125</v>
      </c>
      <c r="CZ450" t="s">
        <v>125</v>
      </c>
      <c r="DA450">
        <v>15.314097</v>
      </c>
      <c r="DB450">
        <v>17.400950000000002</v>
      </c>
      <c r="DC450">
        <v>16.332519999999999</v>
      </c>
      <c r="DD450" t="s">
        <v>125</v>
      </c>
      <c r="DE450">
        <v>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Q450" t="s">
        <v>126</v>
      </c>
    </row>
    <row r="451" spans="1:121" x14ac:dyDescent="0.15">
      <c r="A451">
        <v>2018</v>
      </c>
      <c r="B451" t="s">
        <v>196</v>
      </c>
      <c r="C451" t="str">
        <f>"0560011"</f>
        <v>0560011</v>
      </c>
      <c r="D451" t="s">
        <v>603</v>
      </c>
      <c r="E451" t="str">
        <f>"0560411"</f>
        <v>0560411</v>
      </c>
      <c r="F451" t="s">
        <v>328</v>
      </c>
      <c r="G451" t="s">
        <v>329</v>
      </c>
      <c r="H451">
        <v>2</v>
      </c>
      <c r="I451" t="s">
        <v>330</v>
      </c>
      <c r="J451" t="s">
        <v>331</v>
      </c>
      <c r="K451">
        <v>86.399358000000007</v>
      </c>
      <c r="L451">
        <v>100</v>
      </c>
      <c r="M451">
        <v>86.399358000000007</v>
      </c>
      <c r="N451" t="s">
        <v>125</v>
      </c>
      <c r="O451" t="s">
        <v>125</v>
      </c>
      <c r="P451" t="s">
        <v>125</v>
      </c>
      <c r="Q451" t="s">
        <v>125</v>
      </c>
      <c r="R451" t="s">
        <v>125</v>
      </c>
      <c r="S451" t="s">
        <v>125</v>
      </c>
      <c r="T451" t="s">
        <v>125</v>
      </c>
      <c r="U451" t="s">
        <v>125</v>
      </c>
      <c r="V451" t="s">
        <v>125</v>
      </c>
      <c r="W451" t="s">
        <v>125</v>
      </c>
      <c r="X451" t="s">
        <v>125</v>
      </c>
      <c r="Y451" t="s">
        <v>125</v>
      </c>
      <c r="Z451" t="s">
        <v>125</v>
      </c>
      <c r="AA451" t="s">
        <v>125</v>
      </c>
      <c r="AB451" t="s">
        <v>125</v>
      </c>
      <c r="AC451" t="s">
        <v>125</v>
      </c>
      <c r="AD451" t="s">
        <v>125</v>
      </c>
      <c r="AE451" t="s">
        <v>125</v>
      </c>
      <c r="AF451" t="s">
        <v>125</v>
      </c>
      <c r="AG451" t="s">
        <v>125</v>
      </c>
      <c r="AH451" t="s">
        <v>125</v>
      </c>
      <c r="AI451" t="s">
        <v>125</v>
      </c>
      <c r="AJ451" t="s">
        <v>125</v>
      </c>
      <c r="AK451" t="s">
        <v>125</v>
      </c>
      <c r="AL451" t="s">
        <v>125</v>
      </c>
      <c r="AM451" t="s">
        <v>125</v>
      </c>
      <c r="AN451" t="s">
        <v>125</v>
      </c>
      <c r="AO451" t="s">
        <v>125</v>
      </c>
      <c r="AP451" t="s">
        <v>125</v>
      </c>
      <c r="AQ451" t="s">
        <v>125</v>
      </c>
      <c r="AR451" t="s">
        <v>125</v>
      </c>
      <c r="AS451" t="s">
        <v>125</v>
      </c>
      <c r="AT451" t="s">
        <v>125</v>
      </c>
      <c r="AU451" t="s">
        <v>125</v>
      </c>
      <c r="AV451" t="s">
        <v>125</v>
      </c>
      <c r="AW451" t="s">
        <v>125</v>
      </c>
      <c r="AX451" t="s">
        <v>125</v>
      </c>
      <c r="AY451" t="s">
        <v>125</v>
      </c>
      <c r="AZ451" t="s">
        <v>125</v>
      </c>
      <c r="BA451" t="s">
        <v>125</v>
      </c>
      <c r="BB451" t="s">
        <v>125</v>
      </c>
      <c r="BC451" t="s">
        <v>125</v>
      </c>
      <c r="BD451" t="s">
        <v>125</v>
      </c>
      <c r="BE451" t="s">
        <v>125</v>
      </c>
      <c r="BF451" t="s">
        <v>125</v>
      </c>
      <c r="BG451" t="s">
        <v>125</v>
      </c>
      <c r="BH451" t="s">
        <v>125</v>
      </c>
      <c r="BI451" t="s">
        <v>125</v>
      </c>
      <c r="BJ451" t="s">
        <v>125</v>
      </c>
      <c r="BK451" t="s">
        <v>125</v>
      </c>
      <c r="BL451" t="s">
        <v>125</v>
      </c>
      <c r="BM451" t="s">
        <v>125</v>
      </c>
      <c r="BN451" t="s">
        <v>125</v>
      </c>
      <c r="BO451" t="s">
        <v>125</v>
      </c>
      <c r="BP451" t="s">
        <v>125</v>
      </c>
      <c r="BQ451" t="s">
        <v>125</v>
      </c>
      <c r="BR451">
        <v>5.1723999999999999E-2</v>
      </c>
      <c r="BS451">
        <v>49.655172</v>
      </c>
      <c r="BT451">
        <v>50</v>
      </c>
      <c r="BU451">
        <v>0.11627899999999999</v>
      </c>
      <c r="BV451">
        <v>36.744185999999999</v>
      </c>
      <c r="BW451">
        <v>50</v>
      </c>
      <c r="BX451" t="s">
        <v>125</v>
      </c>
      <c r="BY451" t="s">
        <v>125</v>
      </c>
      <c r="BZ451" t="s">
        <v>125</v>
      </c>
      <c r="CA451" t="s">
        <v>125</v>
      </c>
      <c r="CB451" t="s">
        <v>125</v>
      </c>
      <c r="CC451" t="s">
        <v>125</v>
      </c>
      <c r="CD451" t="s">
        <v>125</v>
      </c>
      <c r="CE451" t="s">
        <v>125</v>
      </c>
      <c r="CF451" t="s">
        <v>125</v>
      </c>
      <c r="CG451" t="s">
        <v>125</v>
      </c>
      <c r="CH451" t="s">
        <v>125</v>
      </c>
      <c r="CI451" t="s">
        <v>125</v>
      </c>
      <c r="CJ451" t="s">
        <v>125</v>
      </c>
      <c r="CK451" t="s">
        <v>125</v>
      </c>
      <c r="CL451" t="s">
        <v>125</v>
      </c>
      <c r="CM451" t="s">
        <v>125</v>
      </c>
      <c r="CN451" t="s">
        <v>125</v>
      </c>
      <c r="CO451" t="s">
        <v>125</v>
      </c>
      <c r="CP451" t="s">
        <v>125</v>
      </c>
      <c r="CQ451" t="s">
        <v>125</v>
      </c>
      <c r="CR451" t="s">
        <v>125</v>
      </c>
      <c r="CS451" t="s">
        <v>125</v>
      </c>
      <c r="CT451" t="s">
        <v>125</v>
      </c>
      <c r="CU451" t="s">
        <v>125</v>
      </c>
      <c r="CV451" t="s">
        <v>125</v>
      </c>
      <c r="CW451" t="s">
        <v>125</v>
      </c>
      <c r="CX451" t="s">
        <v>125</v>
      </c>
      <c r="CY451" t="s">
        <v>125</v>
      </c>
      <c r="CZ451" t="s">
        <v>125</v>
      </c>
      <c r="DA451" t="s">
        <v>125</v>
      </c>
      <c r="DB451" t="s">
        <v>125</v>
      </c>
      <c r="DC451" t="s">
        <v>125</v>
      </c>
      <c r="DD451" t="s">
        <v>125</v>
      </c>
      <c r="DE451" t="s">
        <v>125</v>
      </c>
      <c r="DJ451" t="s">
        <v>125</v>
      </c>
      <c r="DK451" t="s">
        <v>125</v>
      </c>
      <c r="DL451" t="s">
        <v>125</v>
      </c>
      <c r="DM451" t="s">
        <v>125</v>
      </c>
      <c r="DN451" t="s">
        <v>125</v>
      </c>
      <c r="DO451" t="s">
        <v>125</v>
      </c>
      <c r="DQ451" t="s">
        <v>126</v>
      </c>
    </row>
    <row r="452" spans="1:121" x14ac:dyDescent="0.15">
      <c r="A452">
        <v>2018</v>
      </c>
      <c r="B452" t="s">
        <v>196</v>
      </c>
      <c r="C452" t="str">
        <f>"0560011"</f>
        <v>0560011</v>
      </c>
      <c r="D452" t="s">
        <v>604</v>
      </c>
      <c r="E452" t="str">
        <f>"0560311"</f>
        <v>0560311</v>
      </c>
      <c r="F452" t="s">
        <v>328</v>
      </c>
      <c r="G452">
        <v>3</v>
      </c>
      <c r="H452">
        <v>5</v>
      </c>
      <c r="J452" t="s">
        <v>331</v>
      </c>
      <c r="K452">
        <v>706.58196799999996</v>
      </c>
      <c r="L452">
        <v>850</v>
      </c>
      <c r="M452">
        <v>83.127290000000002</v>
      </c>
      <c r="N452">
        <v>2</v>
      </c>
      <c r="O452">
        <v>0</v>
      </c>
      <c r="P452">
        <v>78.926123000000004</v>
      </c>
      <c r="Q452">
        <v>50</v>
      </c>
      <c r="R452">
        <v>50</v>
      </c>
      <c r="S452">
        <v>67.622625999999997</v>
      </c>
      <c r="T452">
        <v>75</v>
      </c>
      <c r="U452">
        <v>45.081750999999997</v>
      </c>
      <c r="V452">
        <v>50</v>
      </c>
      <c r="W452">
        <v>74.327512999999996</v>
      </c>
      <c r="X452">
        <v>49.551675000000003</v>
      </c>
      <c r="Y452">
        <v>50</v>
      </c>
      <c r="Z452">
        <v>75</v>
      </c>
      <c r="AA452">
        <v>62.168103000000002</v>
      </c>
      <c r="AB452">
        <v>41.445402000000001</v>
      </c>
      <c r="AC452">
        <v>50</v>
      </c>
      <c r="AD452">
        <v>78.254643000000002</v>
      </c>
      <c r="AE452">
        <v>50</v>
      </c>
      <c r="AF452">
        <v>50</v>
      </c>
      <c r="AG452">
        <v>64.296111999999994</v>
      </c>
      <c r="AH452">
        <v>75</v>
      </c>
      <c r="AI452">
        <v>42.864075</v>
      </c>
      <c r="AJ452">
        <v>50</v>
      </c>
      <c r="AK452">
        <v>7.37</v>
      </c>
      <c r="AL452">
        <v>12.83</v>
      </c>
      <c r="AM452">
        <v>10.7</v>
      </c>
      <c r="AN452">
        <v>0.69223800000000002</v>
      </c>
      <c r="AO452">
        <v>69.223826000000003</v>
      </c>
      <c r="AP452">
        <v>100</v>
      </c>
      <c r="AQ452">
        <v>0.78950500000000001</v>
      </c>
      <c r="AR452">
        <v>78.950468999999998</v>
      </c>
      <c r="AS452">
        <v>100</v>
      </c>
      <c r="AT452">
        <v>0.59593399999999996</v>
      </c>
      <c r="AU452">
        <v>0.72871699999999995</v>
      </c>
      <c r="AV452">
        <v>59.593387</v>
      </c>
      <c r="AW452">
        <v>100</v>
      </c>
      <c r="AX452">
        <v>0.73316800000000004</v>
      </c>
      <c r="AY452">
        <v>0.81055999999999995</v>
      </c>
      <c r="AZ452">
        <v>73.316761</v>
      </c>
      <c r="BA452">
        <v>100</v>
      </c>
      <c r="BB452" t="s">
        <v>125</v>
      </c>
      <c r="BC452" t="s">
        <v>125</v>
      </c>
      <c r="BD452" t="s">
        <v>125</v>
      </c>
      <c r="BE452" t="s">
        <v>125</v>
      </c>
      <c r="BF452" t="s">
        <v>125</v>
      </c>
      <c r="BG452" t="s">
        <v>125</v>
      </c>
      <c r="BH452">
        <v>0</v>
      </c>
      <c r="BI452">
        <v>0.99271799999999999</v>
      </c>
      <c r="BJ452">
        <v>0.98319299999999998</v>
      </c>
      <c r="BK452">
        <v>0.996587</v>
      </c>
      <c r="BL452">
        <v>0.99031499999999995</v>
      </c>
      <c r="BM452">
        <v>0.97479000000000005</v>
      </c>
      <c r="BN452">
        <v>0.99659900000000001</v>
      </c>
      <c r="BO452">
        <v>0.99259299999999995</v>
      </c>
      <c r="BP452">
        <v>0.97619</v>
      </c>
      <c r="BQ452">
        <v>1</v>
      </c>
      <c r="BR452">
        <v>3.6408000000000003E-2</v>
      </c>
      <c r="BS452">
        <v>50</v>
      </c>
      <c r="BT452">
        <v>50</v>
      </c>
      <c r="BU452">
        <v>6.7226999999999995E-2</v>
      </c>
      <c r="BV452">
        <v>46.554622000000002</v>
      </c>
      <c r="BW452">
        <v>50</v>
      </c>
      <c r="BX452" t="s">
        <v>125</v>
      </c>
      <c r="BY452" t="s">
        <v>125</v>
      </c>
      <c r="BZ452" t="s">
        <v>125</v>
      </c>
      <c r="CA452" t="s">
        <v>125</v>
      </c>
      <c r="CB452" t="s">
        <v>125</v>
      </c>
      <c r="CC452" t="s">
        <v>125</v>
      </c>
      <c r="CD452" t="s">
        <v>125</v>
      </c>
      <c r="CE452" t="s">
        <v>125</v>
      </c>
      <c r="CF452" t="s">
        <v>125</v>
      </c>
      <c r="CG452" t="s">
        <v>125</v>
      </c>
      <c r="CH452" t="s">
        <v>125</v>
      </c>
      <c r="CI452" t="s">
        <v>125</v>
      </c>
      <c r="CJ452" t="s">
        <v>125</v>
      </c>
      <c r="CK452" t="s">
        <v>125</v>
      </c>
      <c r="CL452" t="s">
        <v>125</v>
      </c>
      <c r="CM452" t="s">
        <v>125</v>
      </c>
      <c r="CN452" t="s">
        <v>125</v>
      </c>
      <c r="CO452" t="s">
        <v>125</v>
      </c>
      <c r="CP452" t="s">
        <v>125</v>
      </c>
      <c r="CQ452">
        <v>0.83006500000000005</v>
      </c>
      <c r="CR452">
        <v>0.987097</v>
      </c>
      <c r="CS452">
        <v>50</v>
      </c>
      <c r="CT452">
        <v>50</v>
      </c>
      <c r="CU452" t="s">
        <v>125</v>
      </c>
      <c r="CV452" t="s">
        <v>125</v>
      </c>
      <c r="CW452" t="s">
        <v>125</v>
      </c>
      <c r="CX452" t="s">
        <v>125</v>
      </c>
      <c r="CY452" t="s">
        <v>125</v>
      </c>
      <c r="CZ452" t="s">
        <v>125</v>
      </c>
      <c r="DA452">
        <v>15.314097</v>
      </c>
      <c r="DB452">
        <v>17.400950000000002</v>
      </c>
      <c r="DC452">
        <v>16.332519999999999</v>
      </c>
      <c r="DD452" t="s">
        <v>125</v>
      </c>
      <c r="DE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Q452" t="s">
        <v>126</v>
      </c>
    </row>
    <row r="453" spans="1:121" x14ac:dyDescent="0.15">
      <c r="A453">
        <v>2018</v>
      </c>
      <c r="B453" t="s">
        <v>197</v>
      </c>
      <c r="C453" t="str">
        <f t="shared" ref="C453:C467" si="13">"0570011"</f>
        <v>0570011</v>
      </c>
      <c r="D453" t="s">
        <v>605</v>
      </c>
      <c r="E453" t="str">
        <f>"0575111"</f>
        <v>0575111</v>
      </c>
      <c r="F453" t="s">
        <v>328</v>
      </c>
      <c r="G453">
        <v>6</v>
      </c>
      <c r="H453">
        <v>8</v>
      </c>
      <c r="J453" t="s">
        <v>331</v>
      </c>
      <c r="K453">
        <v>749.62101600000005</v>
      </c>
      <c r="L453">
        <v>1000</v>
      </c>
      <c r="M453">
        <v>74.962102000000002</v>
      </c>
      <c r="N453">
        <v>2</v>
      </c>
      <c r="O453">
        <v>0</v>
      </c>
      <c r="P453">
        <v>77.443102999999994</v>
      </c>
      <c r="Q453">
        <v>50</v>
      </c>
      <c r="R453">
        <v>50</v>
      </c>
      <c r="S453">
        <v>62.899774999999998</v>
      </c>
      <c r="T453">
        <v>75</v>
      </c>
      <c r="U453">
        <v>41.933183</v>
      </c>
      <c r="V453">
        <v>50</v>
      </c>
      <c r="W453">
        <v>73.562144000000004</v>
      </c>
      <c r="X453">
        <v>49.041429000000001</v>
      </c>
      <c r="Y453">
        <v>50</v>
      </c>
      <c r="Z453">
        <v>75</v>
      </c>
      <c r="AA453">
        <v>58.569597000000002</v>
      </c>
      <c r="AB453">
        <v>39.046398000000003</v>
      </c>
      <c r="AC453">
        <v>50</v>
      </c>
      <c r="AD453">
        <v>73.583119999999994</v>
      </c>
      <c r="AE453">
        <v>49.055413000000001</v>
      </c>
      <c r="AF453">
        <v>50</v>
      </c>
      <c r="AG453">
        <v>61.932661000000003</v>
      </c>
      <c r="AH453">
        <v>75</v>
      </c>
      <c r="AI453">
        <v>41.288440000000001</v>
      </c>
      <c r="AJ453">
        <v>50</v>
      </c>
      <c r="AK453">
        <v>12.1</v>
      </c>
      <c r="AL453">
        <v>16.43</v>
      </c>
      <c r="AM453">
        <v>13.06</v>
      </c>
      <c r="AN453">
        <v>0.58253299999999997</v>
      </c>
      <c r="AO453">
        <v>58.253318</v>
      </c>
      <c r="AP453">
        <v>100</v>
      </c>
      <c r="AQ453">
        <v>0.63804799999999995</v>
      </c>
      <c r="AR453">
        <v>63.804766000000001</v>
      </c>
      <c r="AS453">
        <v>100</v>
      </c>
      <c r="AT453">
        <v>0.58726599999999995</v>
      </c>
      <c r="AU453">
        <v>0.580928</v>
      </c>
      <c r="AV453">
        <v>58.726630999999998</v>
      </c>
      <c r="AW453">
        <v>100</v>
      </c>
      <c r="AX453">
        <v>0.56806500000000004</v>
      </c>
      <c r="AY453">
        <v>0.66177600000000003</v>
      </c>
      <c r="AZ453">
        <v>56.806548999999997</v>
      </c>
      <c r="BA453">
        <v>100</v>
      </c>
      <c r="BB453">
        <v>0.75324899999999995</v>
      </c>
      <c r="BC453">
        <v>37.662466000000002</v>
      </c>
      <c r="BD453">
        <v>50</v>
      </c>
      <c r="BE453">
        <v>0.69973799999999997</v>
      </c>
      <c r="BF453">
        <v>34.986897999999997</v>
      </c>
      <c r="BG453">
        <v>50</v>
      </c>
      <c r="BH453">
        <v>0</v>
      </c>
      <c r="BI453">
        <v>0.99657499999999999</v>
      </c>
      <c r="BJ453">
        <v>0.98809499999999995</v>
      </c>
      <c r="BK453">
        <v>1</v>
      </c>
      <c r="BL453">
        <v>0.99486300000000005</v>
      </c>
      <c r="BM453">
        <v>0.98214299999999999</v>
      </c>
      <c r="BN453">
        <v>1</v>
      </c>
      <c r="BO453">
        <v>1</v>
      </c>
      <c r="BP453">
        <v>1</v>
      </c>
      <c r="BQ453">
        <v>1</v>
      </c>
      <c r="BR453">
        <v>3.9384000000000002E-2</v>
      </c>
      <c r="BS453">
        <v>50</v>
      </c>
      <c r="BT453">
        <v>50</v>
      </c>
      <c r="BU453">
        <v>9.7403000000000003E-2</v>
      </c>
      <c r="BV453">
        <v>40.519480999999999</v>
      </c>
      <c r="BW453">
        <v>50</v>
      </c>
      <c r="BX453" t="s">
        <v>125</v>
      </c>
      <c r="BY453" t="s">
        <v>125</v>
      </c>
      <c r="BZ453" t="s">
        <v>125</v>
      </c>
      <c r="CA453" t="s">
        <v>125</v>
      </c>
      <c r="CB453" t="s">
        <v>125</v>
      </c>
      <c r="CC453" t="s">
        <v>125</v>
      </c>
      <c r="CD453">
        <v>0.95428599999999997</v>
      </c>
      <c r="CE453">
        <v>50</v>
      </c>
      <c r="CF453">
        <v>50</v>
      </c>
      <c r="CG453" t="s">
        <v>125</v>
      </c>
      <c r="CH453" t="s">
        <v>125</v>
      </c>
      <c r="CI453" t="s">
        <v>125</v>
      </c>
      <c r="CJ453" t="s">
        <v>125</v>
      </c>
      <c r="CK453" t="s">
        <v>125</v>
      </c>
      <c r="CL453" t="s">
        <v>125</v>
      </c>
      <c r="CM453" t="s">
        <v>125</v>
      </c>
      <c r="CN453" t="s">
        <v>125</v>
      </c>
      <c r="CO453" t="s">
        <v>125</v>
      </c>
      <c r="CP453" t="s">
        <v>125</v>
      </c>
      <c r="CQ453">
        <v>0.42744100000000002</v>
      </c>
      <c r="CR453">
        <v>0.97932799999999998</v>
      </c>
      <c r="CS453">
        <v>28.496041999999999</v>
      </c>
      <c r="CT453">
        <v>50</v>
      </c>
      <c r="CU453" t="s">
        <v>125</v>
      </c>
      <c r="CV453" t="s">
        <v>125</v>
      </c>
      <c r="CW453" t="s">
        <v>125</v>
      </c>
      <c r="CX453" t="s">
        <v>125</v>
      </c>
      <c r="CY453" t="s">
        <v>125</v>
      </c>
      <c r="CZ453" t="s">
        <v>125</v>
      </c>
      <c r="DA453">
        <v>15.314097</v>
      </c>
      <c r="DB453">
        <v>17.400950000000002</v>
      </c>
      <c r="DC453">
        <v>16.332519999999999</v>
      </c>
      <c r="DD453" t="s">
        <v>125</v>
      </c>
      <c r="DE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Q453" t="s">
        <v>126</v>
      </c>
    </row>
    <row r="454" spans="1:121" x14ac:dyDescent="0.15">
      <c r="A454">
        <v>2018</v>
      </c>
      <c r="B454" t="s">
        <v>197</v>
      </c>
      <c r="C454" t="str">
        <f t="shared" si="13"/>
        <v>0570011</v>
      </c>
      <c r="D454" t="s">
        <v>606</v>
      </c>
      <c r="E454" t="str">
        <f>"0570211"</f>
        <v>0570211</v>
      </c>
      <c r="F454" t="s">
        <v>328</v>
      </c>
      <c r="G454" t="s">
        <v>339</v>
      </c>
      <c r="H454">
        <v>5</v>
      </c>
      <c r="J454" t="s">
        <v>331</v>
      </c>
      <c r="K454">
        <v>803.17650000000003</v>
      </c>
      <c r="L454">
        <v>950</v>
      </c>
      <c r="M454">
        <v>84.544894999999997</v>
      </c>
      <c r="N454">
        <v>2</v>
      </c>
      <c r="O454">
        <v>0</v>
      </c>
      <c r="P454">
        <v>77.890032000000005</v>
      </c>
      <c r="Q454">
        <v>50</v>
      </c>
      <c r="R454">
        <v>50</v>
      </c>
      <c r="S454">
        <v>67.688422000000003</v>
      </c>
      <c r="T454">
        <v>75</v>
      </c>
      <c r="U454">
        <v>45.125615000000003</v>
      </c>
      <c r="V454">
        <v>50</v>
      </c>
      <c r="W454">
        <v>78.005217000000002</v>
      </c>
      <c r="X454">
        <v>50</v>
      </c>
      <c r="Y454">
        <v>50</v>
      </c>
      <c r="Z454">
        <v>75</v>
      </c>
      <c r="AA454">
        <v>70.297911999999997</v>
      </c>
      <c r="AB454">
        <v>46.865273999999999</v>
      </c>
      <c r="AC454">
        <v>50</v>
      </c>
      <c r="AD454">
        <v>75.217044999999999</v>
      </c>
      <c r="AE454">
        <v>50</v>
      </c>
      <c r="AF454">
        <v>50</v>
      </c>
      <c r="AG454">
        <v>66.225806000000006</v>
      </c>
      <c r="AH454">
        <v>75</v>
      </c>
      <c r="AI454">
        <v>44.150537999999997</v>
      </c>
      <c r="AJ454">
        <v>50</v>
      </c>
      <c r="AK454">
        <v>7.31</v>
      </c>
      <c r="AL454">
        <v>4.7</v>
      </c>
      <c r="AM454">
        <v>8.77</v>
      </c>
      <c r="AN454">
        <v>0.70997100000000002</v>
      </c>
      <c r="AO454">
        <v>70.997103999999993</v>
      </c>
      <c r="AP454">
        <v>100</v>
      </c>
      <c r="AQ454">
        <v>0.82394199999999995</v>
      </c>
      <c r="AR454">
        <v>82.394180000000006</v>
      </c>
      <c r="AS454">
        <v>100</v>
      </c>
      <c r="AT454">
        <v>0.63903500000000002</v>
      </c>
      <c r="AU454">
        <v>0.73338700000000001</v>
      </c>
      <c r="AV454">
        <v>63.903523999999997</v>
      </c>
      <c r="AW454">
        <v>100</v>
      </c>
      <c r="AX454">
        <v>0.74866999999999995</v>
      </c>
      <c r="AY454">
        <v>0.84878900000000002</v>
      </c>
      <c r="AZ454">
        <v>74.866962999999998</v>
      </c>
      <c r="BA454">
        <v>100</v>
      </c>
      <c r="BB454">
        <v>0.79457</v>
      </c>
      <c r="BC454">
        <v>39.728478000000003</v>
      </c>
      <c r="BD454">
        <v>50</v>
      </c>
      <c r="BE454">
        <v>0.70289599999999997</v>
      </c>
      <c r="BF454">
        <v>35.144824</v>
      </c>
      <c r="BG454">
        <v>50</v>
      </c>
      <c r="BH454">
        <v>0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3.3980999999999997E-2</v>
      </c>
      <c r="BS454">
        <v>50</v>
      </c>
      <c r="BT454">
        <v>50</v>
      </c>
      <c r="BU454">
        <v>4.6875E-2</v>
      </c>
      <c r="BV454">
        <v>50</v>
      </c>
      <c r="BW454">
        <v>50</v>
      </c>
      <c r="BX454" t="s">
        <v>125</v>
      </c>
      <c r="BY454" t="s">
        <v>125</v>
      </c>
      <c r="BZ454" t="s">
        <v>125</v>
      </c>
      <c r="CA454" t="s">
        <v>125</v>
      </c>
      <c r="CB454" t="s">
        <v>125</v>
      </c>
      <c r="CC454" t="s">
        <v>125</v>
      </c>
      <c r="CD454" t="s">
        <v>125</v>
      </c>
      <c r="CE454" t="s">
        <v>125</v>
      </c>
      <c r="CF454" t="s">
        <v>125</v>
      </c>
      <c r="CG454" t="s">
        <v>125</v>
      </c>
      <c r="CH454" t="s">
        <v>125</v>
      </c>
      <c r="CI454" t="s">
        <v>125</v>
      </c>
      <c r="CJ454" t="s">
        <v>125</v>
      </c>
      <c r="CK454" t="s">
        <v>125</v>
      </c>
      <c r="CL454" t="s">
        <v>125</v>
      </c>
      <c r="CM454" t="s">
        <v>125</v>
      </c>
      <c r="CN454" t="s">
        <v>125</v>
      </c>
      <c r="CO454" t="s">
        <v>125</v>
      </c>
      <c r="CP454" t="s">
        <v>125</v>
      </c>
      <c r="CQ454">
        <v>0.77777799999999997</v>
      </c>
      <c r="CR454">
        <v>1.0161290000000001</v>
      </c>
      <c r="CS454">
        <v>50</v>
      </c>
      <c r="CT454">
        <v>50</v>
      </c>
      <c r="CU454" t="s">
        <v>125</v>
      </c>
      <c r="CV454" t="s">
        <v>125</v>
      </c>
      <c r="CW454" t="s">
        <v>125</v>
      </c>
      <c r="CX454" t="s">
        <v>125</v>
      </c>
      <c r="CY454" t="s">
        <v>125</v>
      </c>
      <c r="CZ454" t="s">
        <v>125</v>
      </c>
      <c r="DA454">
        <v>15.314097</v>
      </c>
      <c r="DB454">
        <v>17.400950000000002</v>
      </c>
      <c r="DC454">
        <v>16.332519999999999</v>
      </c>
      <c r="DD454" t="s">
        <v>125</v>
      </c>
      <c r="DE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Q454" t="s">
        <v>126</v>
      </c>
    </row>
    <row r="455" spans="1:121" x14ac:dyDescent="0.15">
      <c r="A455">
        <v>2018</v>
      </c>
      <c r="B455" t="s">
        <v>197</v>
      </c>
      <c r="C455" t="str">
        <f t="shared" si="13"/>
        <v>0570011</v>
      </c>
      <c r="D455" t="s">
        <v>607</v>
      </c>
      <c r="E455" t="str">
        <f>"0575211"</f>
        <v>0575211</v>
      </c>
      <c r="F455" t="s">
        <v>328</v>
      </c>
      <c r="G455">
        <v>6</v>
      </c>
      <c r="H455">
        <v>8</v>
      </c>
      <c r="J455" t="s">
        <v>331</v>
      </c>
      <c r="K455">
        <v>740.50006299999995</v>
      </c>
      <c r="L455">
        <v>900</v>
      </c>
      <c r="M455">
        <v>82.277784999999994</v>
      </c>
      <c r="N455">
        <v>2</v>
      </c>
      <c r="O455">
        <v>0</v>
      </c>
      <c r="P455">
        <v>85.669590999999997</v>
      </c>
      <c r="Q455">
        <v>50</v>
      </c>
      <c r="R455">
        <v>50</v>
      </c>
      <c r="S455">
        <v>72.659625000000005</v>
      </c>
      <c r="T455">
        <v>75</v>
      </c>
      <c r="U455">
        <v>48.439749999999997</v>
      </c>
      <c r="V455">
        <v>50</v>
      </c>
      <c r="W455">
        <v>82.734195999999997</v>
      </c>
      <c r="X455">
        <v>50</v>
      </c>
      <c r="Y455">
        <v>50</v>
      </c>
      <c r="Z455">
        <v>75</v>
      </c>
      <c r="AA455">
        <v>68.393145000000004</v>
      </c>
      <c r="AB455">
        <v>45.59543</v>
      </c>
      <c r="AC455">
        <v>50</v>
      </c>
      <c r="AD455">
        <v>76.599920999999995</v>
      </c>
      <c r="AE455">
        <v>50</v>
      </c>
      <c r="AF455">
        <v>50</v>
      </c>
      <c r="AG455">
        <v>64.775700000000001</v>
      </c>
      <c r="AH455">
        <v>75</v>
      </c>
      <c r="AI455">
        <v>43.183799999999998</v>
      </c>
      <c r="AJ455">
        <v>50</v>
      </c>
      <c r="AK455">
        <v>2.34</v>
      </c>
      <c r="AL455">
        <v>6.6</v>
      </c>
      <c r="AM455">
        <v>10.220000000000001</v>
      </c>
      <c r="AN455">
        <v>0.69467199999999996</v>
      </c>
      <c r="AO455">
        <v>69.467234000000005</v>
      </c>
      <c r="AP455">
        <v>100</v>
      </c>
      <c r="AQ455">
        <v>0.73013600000000001</v>
      </c>
      <c r="AR455">
        <v>73.013621000000001</v>
      </c>
      <c r="AS455">
        <v>100</v>
      </c>
      <c r="AT455">
        <v>0.57767400000000002</v>
      </c>
      <c r="AU455">
        <v>0.72258999999999995</v>
      </c>
      <c r="AV455">
        <v>57.767414000000002</v>
      </c>
      <c r="AW455">
        <v>100</v>
      </c>
      <c r="AX455">
        <v>0.57162299999999999</v>
      </c>
      <c r="AY455">
        <v>0.76795999999999998</v>
      </c>
      <c r="AZ455">
        <v>57.162345000000002</v>
      </c>
      <c r="BA455">
        <v>100</v>
      </c>
      <c r="BB455" t="s">
        <v>125</v>
      </c>
      <c r="BC455" t="s">
        <v>125</v>
      </c>
      <c r="BD455" t="s">
        <v>125</v>
      </c>
      <c r="BE455" t="s">
        <v>125</v>
      </c>
      <c r="BF455" t="s">
        <v>125</v>
      </c>
      <c r="BG455" t="s">
        <v>125</v>
      </c>
      <c r="BH455">
        <v>0</v>
      </c>
      <c r="BI455">
        <v>0.99881399999999998</v>
      </c>
      <c r="BJ455">
        <v>0.99521499999999996</v>
      </c>
      <c r="BK455">
        <v>1</v>
      </c>
      <c r="BL455">
        <v>0.99881399999999998</v>
      </c>
      <c r="BM455">
        <v>0.99521499999999996</v>
      </c>
      <c r="BN455">
        <v>1</v>
      </c>
      <c r="BO455">
        <v>0.99642900000000001</v>
      </c>
      <c r="BP455">
        <v>0.98630099999999998</v>
      </c>
      <c r="BQ455">
        <v>1</v>
      </c>
      <c r="BR455">
        <v>2.3725E-2</v>
      </c>
      <c r="BS455">
        <v>50</v>
      </c>
      <c r="BT455">
        <v>50</v>
      </c>
      <c r="BU455">
        <v>4.6783999999999999E-2</v>
      </c>
      <c r="BV455">
        <v>50</v>
      </c>
      <c r="BW455">
        <v>50</v>
      </c>
      <c r="BX455" t="s">
        <v>125</v>
      </c>
      <c r="BY455" t="s">
        <v>125</v>
      </c>
      <c r="BZ455" t="s">
        <v>125</v>
      </c>
      <c r="CA455" t="s">
        <v>125</v>
      </c>
      <c r="CB455" t="s">
        <v>125</v>
      </c>
      <c r="CC455" t="s">
        <v>125</v>
      </c>
      <c r="CD455">
        <v>0.99585100000000004</v>
      </c>
      <c r="CE455">
        <v>50</v>
      </c>
      <c r="CF455">
        <v>50</v>
      </c>
      <c r="CG455" t="s">
        <v>125</v>
      </c>
      <c r="CH455" t="s">
        <v>125</v>
      </c>
      <c r="CI455" t="s">
        <v>125</v>
      </c>
      <c r="CJ455" t="s">
        <v>125</v>
      </c>
      <c r="CK455" t="s">
        <v>125</v>
      </c>
      <c r="CL455" t="s">
        <v>125</v>
      </c>
      <c r="CM455" t="s">
        <v>125</v>
      </c>
      <c r="CN455" t="s">
        <v>125</v>
      </c>
      <c r="CO455" t="s">
        <v>125</v>
      </c>
      <c r="CP455" t="s">
        <v>125</v>
      </c>
      <c r="CQ455">
        <v>0.68805700000000003</v>
      </c>
      <c r="CR455">
        <v>0.980769</v>
      </c>
      <c r="CS455">
        <v>45.870469</v>
      </c>
      <c r="CT455">
        <v>50</v>
      </c>
      <c r="CU455" t="s">
        <v>125</v>
      </c>
      <c r="CV455" t="s">
        <v>125</v>
      </c>
      <c r="CW455" t="s">
        <v>125</v>
      </c>
      <c r="CX455" t="s">
        <v>125</v>
      </c>
      <c r="CY455" t="s">
        <v>125</v>
      </c>
      <c r="CZ455" t="s">
        <v>125</v>
      </c>
      <c r="DA455">
        <v>15.314097</v>
      </c>
      <c r="DB455">
        <v>17.400950000000002</v>
      </c>
      <c r="DC455">
        <v>16.332519999999999</v>
      </c>
      <c r="DD455" t="s">
        <v>125</v>
      </c>
      <c r="DE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Q455" t="s">
        <v>126</v>
      </c>
    </row>
    <row r="456" spans="1:121" x14ac:dyDescent="0.15">
      <c r="A456">
        <v>2018</v>
      </c>
      <c r="B456" t="s">
        <v>197</v>
      </c>
      <c r="C456" t="str">
        <f t="shared" si="13"/>
        <v>0570011</v>
      </c>
      <c r="D456" t="s">
        <v>608</v>
      </c>
      <c r="E456" t="str">
        <f>"0570411"</f>
        <v>0570411</v>
      </c>
      <c r="F456" t="s">
        <v>328</v>
      </c>
      <c r="G456" t="s">
        <v>339</v>
      </c>
      <c r="H456">
        <v>5</v>
      </c>
      <c r="J456" t="s">
        <v>331</v>
      </c>
      <c r="K456">
        <v>716.60707600000001</v>
      </c>
      <c r="L456">
        <v>850</v>
      </c>
      <c r="M456">
        <v>84.306714999999997</v>
      </c>
      <c r="N456">
        <v>2</v>
      </c>
      <c r="O456">
        <v>0</v>
      </c>
      <c r="P456">
        <v>78.500358000000006</v>
      </c>
      <c r="Q456">
        <v>50</v>
      </c>
      <c r="R456">
        <v>50</v>
      </c>
      <c r="S456">
        <v>65.164232999999996</v>
      </c>
      <c r="T456">
        <v>75</v>
      </c>
      <c r="U456">
        <v>43.442822</v>
      </c>
      <c r="V456">
        <v>50</v>
      </c>
      <c r="W456">
        <v>75.511521999999999</v>
      </c>
      <c r="X456">
        <v>50</v>
      </c>
      <c r="Y456">
        <v>50</v>
      </c>
      <c r="Z456">
        <v>75</v>
      </c>
      <c r="AA456">
        <v>62.374918999999998</v>
      </c>
      <c r="AB456">
        <v>41.583278999999997</v>
      </c>
      <c r="AC456">
        <v>50</v>
      </c>
      <c r="AD456">
        <v>73.565765999999996</v>
      </c>
      <c r="AE456">
        <v>49.043844</v>
      </c>
      <c r="AF456">
        <v>50</v>
      </c>
      <c r="AG456">
        <v>64.269634999999994</v>
      </c>
      <c r="AH456">
        <v>75</v>
      </c>
      <c r="AI456">
        <v>42.846423999999999</v>
      </c>
      <c r="AJ456">
        <v>50</v>
      </c>
      <c r="AK456">
        <v>9.83</v>
      </c>
      <c r="AL456">
        <v>12.62</v>
      </c>
      <c r="AM456">
        <v>10.73</v>
      </c>
      <c r="AN456">
        <v>0.77990199999999998</v>
      </c>
      <c r="AO456">
        <v>77.990206000000001</v>
      </c>
      <c r="AP456">
        <v>100</v>
      </c>
      <c r="AQ456">
        <v>0.80723100000000003</v>
      </c>
      <c r="AR456">
        <v>80.723063999999994</v>
      </c>
      <c r="AS456">
        <v>100</v>
      </c>
      <c r="AT456">
        <v>0.60962300000000003</v>
      </c>
      <c r="AU456">
        <v>0.84423000000000004</v>
      </c>
      <c r="AV456">
        <v>60.962274999999998</v>
      </c>
      <c r="AW456">
        <v>100</v>
      </c>
      <c r="AX456">
        <v>0.700152</v>
      </c>
      <c r="AY456">
        <v>0.84768299999999996</v>
      </c>
      <c r="AZ456">
        <v>70.015162000000004</v>
      </c>
      <c r="BA456">
        <v>100</v>
      </c>
      <c r="BB456" t="s">
        <v>125</v>
      </c>
      <c r="BC456" t="s">
        <v>125</v>
      </c>
      <c r="BD456" t="s">
        <v>125</v>
      </c>
      <c r="BE456" t="s">
        <v>125</v>
      </c>
      <c r="BF456" t="s">
        <v>125</v>
      </c>
      <c r="BG456" t="s">
        <v>125</v>
      </c>
      <c r="BH456">
        <v>0</v>
      </c>
      <c r="BI456">
        <v>0.99052099999999998</v>
      </c>
      <c r="BJ456">
        <v>0.96666700000000005</v>
      </c>
      <c r="BK456">
        <v>1</v>
      </c>
      <c r="BL456">
        <v>0.99052099999999998</v>
      </c>
      <c r="BM456">
        <v>0.96666700000000005</v>
      </c>
      <c r="BN456">
        <v>1</v>
      </c>
      <c r="BO456">
        <v>1</v>
      </c>
      <c r="BP456">
        <v>1</v>
      </c>
      <c r="BQ456">
        <v>1</v>
      </c>
      <c r="BR456">
        <v>1.4599000000000001E-2</v>
      </c>
      <c r="BS456">
        <v>50</v>
      </c>
      <c r="BT456">
        <v>50</v>
      </c>
      <c r="BU456">
        <v>1.1235999999999999E-2</v>
      </c>
      <c r="BV456">
        <v>50</v>
      </c>
      <c r="BW456">
        <v>50</v>
      </c>
      <c r="BX456" t="s">
        <v>125</v>
      </c>
      <c r="BY456" t="s">
        <v>125</v>
      </c>
      <c r="BZ456" t="s">
        <v>125</v>
      </c>
      <c r="CA456" t="s">
        <v>125</v>
      </c>
      <c r="CB456" t="s">
        <v>125</v>
      </c>
      <c r="CC456" t="s">
        <v>125</v>
      </c>
      <c r="CD456" t="s">
        <v>125</v>
      </c>
      <c r="CE456" t="s">
        <v>125</v>
      </c>
      <c r="CF456" t="s">
        <v>125</v>
      </c>
      <c r="CG456" t="s">
        <v>125</v>
      </c>
      <c r="CH456" t="s">
        <v>125</v>
      </c>
      <c r="CI456" t="s">
        <v>125</v>
      </c>
      <c r="CJ456" t="s">
        <v>125</v>
      </c>
      <c r="CK456" t="s">
        <v>125</v>
      </c>
      <c r="CL456" t="s">
        <v>125</v>
      </c>
      <c r="CM456" t="s">
        <v>125</v>
      </c>
      <c r="CN456" t="s">
        <v>125</v>
      </c>
      <c r="CO456" t="s">
        <v>125</v>
      </c>
      <c r="CP456" t="s">
        <v>125</v>
      </c>
      <c r="CQ456">
        <v>0.88333300000000003</v>
      </c>
      <c r="CR456">
        <v>1</v>
      </c>
      <c r="CS456">
        <v>50</v>
      </c>
      <c r="CT456">
        <v>50</v>
      </c>
      <c r="CU456" t="s">
        <v>125</v>
      </c>
      <c r="CV456" t="s">
        <v>125</v>
      </c>
      <c r="CW456" t="s">
        <v>125</v>
      </c>
      <c r="CX456" t="s">
        <v>125</v>
      </c>
      <c r="CY456" t="s">
        <v>125</v>
      </c>
      <c r="CZ456" t="s">
        <v>125</v>
      </c>
      <c r="DA456">
        <v>15.314097</v>
      </c>
      <c r="DB456">
        <v>17.400950000000002</v>
      </c>
      <c r="DC456">
        <v>16.332519999999999</v>
      </c>
      <c r="DD456" t="s">
        <v>125</v>
      </c>
      <c r="DE456">
        <v>0</v>
      </c>
      <c r="DH456" t="s">
        <v>332</v>
      </c>
      <c r="DI456" t="s">
        <v>501</v>
      </c>
      <c r="DJ456">
        <v>0</v>
      </c>
      <c r="DK456">
        <v>1</v>
      </c>
      <c r="DL456">
        <v>0</v>
      </c>
      <c r="DM456">
        <v>0</v>
      </c>
      <c r="DN456">
        <v>0</v>
      </c>
      <c r="DO456">
        <v>0</v>
      </c>
      <c r="DQ456" t="s">
        <v>126</v>
      </c>
    </row>
    <row r="457" spans="1:121" x14ac:dyDescent="0.15">
      <c r="A457">
        <v>2018</v>
      </c>
      <c r="B457" t="s">
        <v>197</v>
      </c>
      <c r="C457" t="str">
        <f t="shared" si="13"/>
        <v>0570011</v>
      </c>
      <c r="D457" t="s">
        <v>609</v>
      </c>
      <c r="E457" t="str">
        <f>"0576111"</f>
        <v>0576111</v>
      </c>
      <c r="F457" t="s">
        <v>328</v>
      </c>
      <c r="G457">
        <v>9</v>
      </c>
      <c r="H457">
        <v>12</v>
      </c>
      <c r="J457" t="s">
        <v>331</v>
      </c>
      <c r="K457">
        <v>1375.5038360000001</v>
      </c>
      <c r="L457">
        <v>1550</v>
      </c>
      <c r="M457">
        <v>88.742182999999997</v>
      </c>
      <c r="N457">
        <v>2</v>
      </c>
      <c r="O457">
        <v>1</v>
      </c>
      <c r="P457">
        <v>69.866985999999997</v>
      </c>
      <c r="Q457">
        <v>139.733971</v>
      </c>
      <c r="R457">
        <v>150</v>
      </c>
      <c r="S457">
        <v>55.206656000000002</v>
      </c>
      <c r="T457">
        <v>75</v>
      </c>
      <c r="U457">
        <v>110.413312</v>
      </c>
      <c r="V457">
        <v>150</v>
      </c>
      <c r="W457">
        <v>68.553374000000005</v>
      </c>
      <c r="X457">
        <v>137.10674700000001</v>
      </c>
      <c r="Y457">
        <v>150</v>
      </c>
      <c r="Z457">
        <v>75</v>
      </c>
      <c r="AA457">
        <v>51.785024</v>
      </c>
      <c r="AB457">
        <v>103.570048</v>
      </c>
      <c r="AC457">
        <v>150</v>
      </c>
      <c r="AD457">
        <v>79.498320000000007</v>
      </c>
      <c r="AE457">
        <v>100</v>
      </c>
      <c r="AF457">
        <v>100</v>
      </c>
      <c r="AG457">
        <v>64.663065000000003</v>
      </c>
      <c r="AH457">
        <v>75</v>
      </c>
      <c r="AI457">
        <v>86.217420000000004</v>
      </c>
      <c r="AJ457">
        <v>100</v>
      </c>
      <c r="AK457">
        <v>19.79</v>
      </c>
      <c r="AL457">
        <v>23.21</v>
      </c>
      <c r="AM457">
        <v>10.33</v>
      </c>
      <c r="AN457" t="s">
        <v>125</v>
      </c>
      <c r="AO457" t="s">
        <v>125</v>
      </c>
      <c r="AP457" t="s">
        <v>125</v>
      </c>
      <c r="AQ457" t="s">
        <v>125</v>
      </c>
      <c r="AR457" t="s">
        <v>125</v>
      </c>
      <c r="AS457" t="s">
        <v>125</v>
      </c>
      <c r="AT457" t="s">
        <v>125</v>
      </c>
      <c r="AU457" t="s">
        <v>125</v>
      </c>
      <c r="AV457" t="s">
        <v>125</v>
      </c>
      <c r="AW457" t="s">
        <v>125</v>
      </c>
      <c r="AX457" t="s">
        <v>125</v>
      </c>
      <c r="AY457" t="s">
        <v>125</v>
      </c>
      <c r="AZ457" t="s">
        <v>125</v>
      </c>
      <c r="BA457" t="s">
        <v>125</v>
      </c>
      <c r="BB457">
        <v>0.59233400000000003</v>
      </c>
      <c r="BC457">
        <v>29.616720000000001</v>
      </c>
      <c r="BD457">
        <v>50</v>
      </c>
      <c r="BE457">
        <v>0.94556899999999999</v>
      </c>
      <c r="BF457">
        <v>47.278452999999999</v>
      </c>
      <c r="BG457">
        <v>50</v>
      </c>
      <c r="BH457">
        <v>0</v>
      </c>
      <c r="BI457">
        <v>0.98678399999999999</v>
      </c>
      <c r="BJ457">
        <v>0.98611099999999996</v>
      </c>
      <c r="BK457">
        <v>0.987097</v>
      </c>
      <c r="BL457">
        <v>0.98678399999999999</v>
      </c>
      <c r="BM457">
        <v>0.98611099999999996</v>
      </c>
      <c r="BN457">
        <v>0.987097</v>
      </c>
      <c r="BO457">
        <v>0.99120200000000003</v>
      </c>
      <c r="BP457">
        <v>0.98156699999999997</v>
      </c>
      <c r="BQ457">
        <v>0.995699</v>
      </c>
      <c r="BR457">
        <v>3.8574999999999998E-2</v>
      </c>
      <c r="BS457">
        <v>50</v>
      </c>
      <c r="BT457">
        <v>50</v>
      </c>
      <c r="BU457">
        <v>6.7164000000000001E-2</v>
      </c>
      <c r="BV457">
        <v>46.567163999999998</v>
      </c>
      <c r="BW457">
        <v>50</v>
      </c>
      <c r="BX457">
        <v>0.98365499999999995</v>
      </c>
      <c r="BY457">
        <v>50</v>
      </c>
      <c r="BZ457">
        <v>50</v>
      </c>
      <c r="CA457">
        <v>0.75037100000000001</v>
      </c>
      <c r="CB457">
        <v>50</v>
      </c>
      <c r="CC457">
        <v>50</v>
      </c>
      <c r="CD457">
        <v>0.95833299999999999</v>
      </c>
      <c r="CE457">
        <v>50</v>
      </c>
      <c r="CF457">
        <v>50</v>
      </c>
      <c r="CG457">
        <v>0.96528899999999995</v>
      </c>
      <c r="CH457">
        <v>100</v>
      </c>
      <c r="CI457">
        <v>100</v>
      </c>
      <c r="CJ457">
        <v>0</v>
      </c>
      <c r="CK457">
        <v>0.98816599999999999</v>
      </c>
      <c r="CL457">
        <v>100</v>
      </c>
      <c r="CM457">
        <v>100</v>
      </c>
      <c r="CN457">
        <v>0.84757099999999996</v>
      </c>
      <c r="CO457">
        <v>100</v>
      </c>
      <c r="CP457">
        <v>100</v>
      </c>
      <c r="CQ457">
        <v>0.84630000000000005</v>
      </c>
      <c r="CR457">
        <v>0.77386200000000005</v>
      </c>
      <c r="CS457">
        <v>25</v>
      </c>
      <c r="CT457">
        <v>50</v>
      </c>
      <c r="CU457">
        <v>0.65393100000000004</v>
      </c>
      <c r="CV457">
        <v>50</v>
      </c>
      <c r="CW457">
        <v>50</v>
      </c>
      <c r="CX457">
        <v>0.98816599999999999</v>
      </c>
      <c r="CY457">
        <v>0.94</v>
      </c>
      <c r="CZ457">
        <v>-4.8166E-2</v>
      </c>
      <c r="DA457">
        <v>15.314097</v>
      </c>
      <c r="DB457">
        <v>17.400950000000002</v>
      </c>
      <c r="DC457">
        <v>16.332519999999999</v>
      </c>
      <c r="DD457">
        <v>7.9891730000000001</v>
      </c>
      <c r="DE457">
        <v>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Q457" t="s">
        <v>126</v>
      </c>
    </row>
    <row r="458" spans="1:121" x14ac:dyDescent="0.15">
      <c r="A458">
        <v>2018</v>
      </c>
      <c r="B458" t="s">
        <v>197</v>
      </c>
      <c r="C458" t="str">
        <f t="shared" si="13"/>
        <v>0570011</v>
      </c>
      <c r="D458" t="s">
        <v>610</v>
      </c>
      <c r="E458" t="str">
        <f>"0570511"</f>
        <v>0570511</v>
      </c>
      <c r="F458" t="s">
        <v>328</v>
      </c>
      <c r="G458" t="s">
        <v>329</v>
      </c>
      <c r="H458">
        <v>5</v>
      </c>
      <c r="I458" t="s">
        <v>336</v>
      </c>
      <c r="J458" t="s">
        <v>331</v>
      </c>
      <c r="K458">
        <v>621.33698800000002</v>
      </c>
      <c r="L458">
        <v>850</v>
      </c>
      <c r="M458">
        <v>73.098468999999994</v>
      </c>
      <c r="N458">
        <v>3</v>
      </c>
      <c r="O458">
        <v>1</v>
      </c>
      <c r="P458">
        <v>66.360722999999993</v>
      </c>
      <c r="Q458">
        <v>44.240482</v>
      </c>
      <c r="R458">
        <v>50</v>
      </c>
      <c r="S458">
        <v>61.495846999999998</v>
      </c>
      <c r="T458">
        <v>75</v>
      </c>
      <c r="U458">
        <v>40.997231999999997</v>
      </c>
      <c r="V458">
        <v>50</v>
      </c>
      <c r="W458">
        <v>62.187396999999997</v>
      </c>
      <c r="X458">
        <v>41.458264</v>
      </c>
      <c r="Y458">
        <v>50</v>
      </c>
      <c r="Z458">
        <v>75</v>
      </c>
      <c r="AA458">
        <v>56.691332000000003</v>
      </c>
      <c r="AB458">
        <v>37.794221999999998</v>
      </c>
      <c r="AC458">
        <v>50</v>
      </c>
      <c r="AD458">
        <v>69.995412000000002</v>
      </c>
      <c r="AE458">
        <v>46.663608000000004</v>
      </c>
      <c r="AF458">
        <v>50</v>
      </c>
      <c r="AG458">
        <v>64.448184999999995</v>
      </c>
      <c r="AH458" t="s">
        <v>125</v>
      </c>
      <c r="AI458">
        <v>42.965457000000001</v>
      </c>
      <c r="AJ458">
        <v>50</v>
      </c>
      <c r="AK458">
        <v>13.5</v>
      </c>
      <c r="AL458">
        <v>18.3</v>
      </c>
      <c r="AM458" t="s">
        <v>125</v>
      </c>
      <c r="AN458">
        <v>0.65069999999999995</v>
      </c>
      <c r="AO458">
        <v>65.069953999999996</v>
      </c>
      <c r="AP458">
        <v>100</v>
      </c>
      <c r="AQ458">
        <v>0.55756899999999998</v>
      </c>
      <c r="AR458">
        <v>55.756874000000003</v>
      </c>
      <c r="AS458">
        <v>100</v>
      </c>
      <c r="AT458">
        <v>0.62004800000000004</v>
      </c>
      <c r="AU458">
        <v>0.71940099999999996</v>
      </c>
      <c r="AV458">
        <v>62.004812999999999</v>
      </c>
      <c r="AW458">
        <v>100</v>
      </c>
      <c r="AX458">
        <v>0.47506700000000002</v>
      </c>
      <c r="AY458">
        <v>0.73964300000000005</v>
      </c>
      <c r="AZ458">
        <v>47.506650999999998</v>
      </c>
      <c r="BA458">
        <v>100</v>
      </c>
      <c r="BB458" t="s">
        <v>125</v>
      </c>
      <c r="BC458" t="s">
        <v>125</v>
      </c>
      <c r="BD458" t="s">
        <v>125</v>
      </c>
      <c r="BE458" t="s">
        <v>125</v>
      </c>
      <c r="BF458" t="s">
        <v>125</v>
      </c>
      <c r="BG458" t="s">
        <v>125</v>
      </c>
      <c r="BH458">
        <v>0</v>
      </c>
      <c r="BI458">
        <v>1</v>
      </c>
      <c r="BJ458">
        <v>1</v>
      </c>
      <c r="BK458">
        <v>1</v>
      </c>
      <c r="BL458">
        <v>0.99382700000000002</v>
      </c>
      <c r="BM458">
        <v>0.99152499999999999</v>
      </c>
      <c r="BN458">
        <v>1</v>
      </c>
      <c r="BO458">
        <v>1</v>
      </c>
      <c r="BP458">
        <v>1</v>
      </c>
      <c r="BQ458" t="s">
        <v>125</v>
      </c>
      <c r="BR458">
        <v>4.5593000000000002E-2</v>
      </c>
      <c r="BS458">
        <v>50</v>
      </c>
      <c r="BT458">
        <v>50</v>
      </c>
      <c r="BU458">
        <v>4.8673000000000001E-2</v>
      </c>
      <c r="BV458">
        <v>50</v>
      </c>
      <c r="BW458">
        <v>50</v>
      </c>
      <c r="BX458" t="s">
        <v>125</v>
      </c>
      <c r="BY458" t="s">
        <v>125</v>
      </c>
      <c r="BZ458" t="s">
        <v>125</v>
      </c>
      <c r="CA458" t="s">
        <v>125</v>
      </c>
      <c r="CB458" t="s">
        <v>125</v>
      </c>
      <c r="CC458" t="s">
        <v>125</v>
      </c>
      <c r="CD458" t="s">
        <v>125</v>
      </c>
      <c r="CE458" t="s">
        <v>125</v>
      </c>
      <c r="CF458" t="s">
        <v>125</v>
      </c>
      <c r="CG458" t="s">
        <v>125</v>
      </c>
      <c r="CH458" t="s">
        <v>125</v>
      </c>
      <c r="CI458" t="s">
        <v>125</v>
      </c>
      <c r="CJ458" t="s">
        <v>125</v>
      </c>
      <c r="CK458" t="s">
        <v>125</v>
      </c>
      <c r="CL458" t="s">
        <v>125</v>
      </c>
      <c r="CM458" t="s">
        <v>125</v>
      </c>
      <c r="CN458" t="s">
        <v>125</v>
      </c>
      <c r="CO458" t="s">
        <v>125</v>
      </c>
      <c r="CP458" t="s">
        <v>125</v>
      </c>
      <c r="CQ458">
        <v>0.55319099999999999</v>
      </c>
      <c r="CR458">
        <v>1</v>
      </c>
      <c r="CS458">
        <v>36.879432999999999</v>
      </c>
      <c r="CT458">
        <v>50</v>
      </c>
      <c r="CU458" t="s">
        <v>125</v>
      </c>
      <c r="CV458" t="s">
        <v>125</v>
      </c>
      <c r="CW458" t="s">
        <v>125</v>
      </c>
      <c r="CX458" t="s">
        <v>125</v>
      </c>
      <c r="CY458" t="s">
        <v>125</v>
      </c>
      <c r="CZ458" t="s">
        <v>125</v>
      </c>
      <c r="DA458">
        <v>15.314097</v>
      </c>
      <c r="DB458">
        <v>17.400950000000002</v>
      </c>
      <c r="DC458">
        <v>16.332519999999999</v>
      </c>
      <c r="DD458" t="s">
        <v>125</v>
      </c>
      <c r="DE458">
        <v>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Q458" t="s">
        <v>126</v>
      </c>
    </row>
    <row r="459" spans="1:121" x14ac:dyDescent="0.15">
      <c r="A459">
        <v>2018</v>
      </c>
      <c r="B459" t="s">
        <v>197</v>
      </c>
      <c r="C459" t="str">
        <f t="shared" si="13"/>
        <v>0570011</v>
      </c>
      <c r="D459" t="s">
        <v>611</v>
      </c>
      <c r="E459" t="str">
        <f>"0571311"</f>
        <v>0571311</v>
      </c>
      <c r="F459" t="s">
        <v>328</v>
      </c>
      <c r="G459" t="s">
        <v>339</v>
      </c>
      <c r="H459">
        <v>5</v>
      </c>
      <c r="J459" t="s">
        <v>331</v>
      </c>
      <c r="K459">
        <v>720.13649899999996</v>
      </c>
      <c r="L459">
        <v>850</v>
      </c>
      <c r="M459">
        <v>84.721941000000001</v>
      </c>
      <c r="N459">
        <v>2</v>
      </c>
      <c r="O459">
        <v>0</v>
      </c>
      <c r="P459">
        <v>83.728515000000002</v>
      </c>
      <c r="Q459">
        <v>50</v>
      </c>
      <c r="R459">
        <v>50</v>
      </c>
      <c r="S459">
        <v>73.502262999999999</v>
      </c>
      <c r="T459">
        <v>75</v>
      </c>
      <c r="U459">
        <v>49.001508000000001</v>
      </c>
      <c r="V459">
        <v>50</v>
      </c>
      <c r="W459">
        <v>82.630611000000002</v>
      </c>
      <c r="X459">
        <v>50</v>
      </c>
      <c r="Y459">
        <v>50</v>
      </c>
      <c r="Z459">
        <v>75</v>
      </c>
      <c r="AA459">
        <v>71.273505999999998</v>
      </c>
      <c r="AB459">
        <v>47.515670999999998</v>
      </c>
      <c r="AC459">
        <v>50</v>
      </c>
      <c r="AD459">
        <v>84.514230999999995</v>
      </c>
      <c r="AE459">
        <v>50</v>
      </c>
      <c r="AF459">
        <v>50</v>
      </c>
      <c r="AG459">
        <v>74.8</v>
      </c>
      <c r="AH459">
        <v>75</v>
      </c>
      <c r="AI459">
        <v>49.866667</v>
      </c>
      <c r="AJ459">
        <v>50</v>
      </c>
      <c r="AK459">
        <v>1.49</v>
      </c>
      <c r="AL459">
        <v>3.72</v>
      </c>
      <c r="AM459">
        <v>0.19</v>
      </c>
      <c r="AN459">
        <v>0.70491899999999996</v>
      </c>
      <c r="AO459">
        <v>70.491947999999994</v>
      </c>
      <c r="AP459">
        <v>100</v>
      </c>
      <c r="AQ459">
        <v>0.77133499999999999</v>
      </c>
      <c r="AR459">
        <v>77.133475000000004</v>
      </c>
      <c r="AS459">
        <v>100</v>
      </c>
      <c r="AT459">
        <v>0.64581</v>
      </c>
      <c r="AU459">
        <v>0.72355199999999997</v>
      </c>
      <c r="AV459">
        <v>64.581035999999997</v>
      </c>
      <c r="AW459">
        <v>100</v>
      </c>
      <c r="AX459">
        <v>0.61546199999999995</v>
      </c>
      <c r="AY459">
        <v>0.820469</v>
      </c>
      <c r="AZ459">
        <v>61.546194999999997</v>
      </c>
      <c r="BA459">
        <v>100</v>
      </c>
      <c r="BB459" t="s">
        <v>125</v>
      </c>
      <c r="BC459" t="s">
        <v>125</v>
      </c>
      <c r="BD459" t="s">
        <v>125</v>
      </c>
      <c r="BE459" t="s">
        <v>125</v>
      </c>
      <c r="BF459" t="s">
        <v>125</v>
      </c>
      <c r="BG459" t="s">
        <v>125</v>
      </c>
      <c r="BH459">
        <v>0</v>
      </c>
      <c r="BI459">
        <v>0.98958299999999999</v>
      </c>
      <c r="BJ459">
        <v>1</v>
      </c>
      <c r="BK459">
        <v>0.98601399999999995</v>
      </c>
      <c r="BL459">
        <v>0.98958299999999999</v>
      </c>
      <c r="BM459">
        <v>1</v>
      </c>
      <c r="BN459">
        <v>0.98601399999999995</v>
      </c>
      <c r="BO459">
        <v>1</v>
      </c>
      <c r="BP459">
        <v>1</v>
      </c>
      <c r="BQ459">
        <v>1</v>
      </c>
      <c r="BR459">
        <v>1.9126000000000001E-2</v>
      </c>
      <c r="BS459">
        <v>50</v>
      </c>
      <c r="BT459">
        <v>50</v>
      </c>
      <c r="BU459">
        <v>1.2500000000000001E-2</v>
      </c>
      <c r="BV459">
        <v>50</v>
      </c>
      <c r="BW459">
        <v>50</v>
      </c>
      <c r="BX459" t="s">
        <v>125</v>
      </c>
      <c r="BY459" t="s">
        <v>125</v>
      </c>
      <c r="BZ459" t="s">
        <v>125</v>
      </c>
      <c r="CA459" t="s">
        <v>125</v>
      </c>
      <c r="CB459" t="s">
        <v>125</v>
      </c>
      <c r="CC459" t="s">
        <v>125</v>
      </c>
      <c r="CD459" t="s">
        <v>125</v>
      </c>
      <c r="CE459" t="s">
        <v>125</v>
      </c>
      <c r="CF459" t="s">
        <v>125</v>
      </c>
      <c r="CG459" t="s">
        <v>125</v>
      </c>
      <c r="CH459" t="s">
        <v>125</v>
      </c>
      <c r="CI459" t="s">
        <v>125</v>
      </c>
      <c r="CJ459" t="s">
        <v>125</v>
      </c>
      <c r="CK459" t="s">
        <v>125</v>
      </c>
      <c r="CL459" t="s">
        <v>125</v>
      </c>
      <c r="CM459" t="s">
        <v>125</v>
      </c>
      <c r="CN459" t="s">
        <v>125</v>
      </c>
      <c r="CO459" t="s">
        <v>125</v>
      </c>
      <c r="CP459" t="s">
        <v>125</v>
      </c>
      <c r="CQ459">
        <v>0.87096799999999996</v>
      </c>
      <c r="CR459">
        <v>1</v>
      </c>
      <c r="CS459">
        <v>50</v>
      </c>
      <c r="CT459">
        <v>50</v>
      </c>
      <c r="CU459" t="s">
        <v>125</v>
      </c>
      <c r="CV459" t="s">
        <v>125</v>
      </c>
      <c r="CW459" t="s">
        <v>125</v>
      </c>
      <c r="CX459" t="s">
        <v>125</v>
      </c>
      <c r="CY459" t="s">
        <v>125</v>
      </c>
      <c r="CZ459" t="s">
        <v>125</v>
      </c>
      <c r="DA459">
        <v>15.314097</v>
      </c>
      <c r="DB459">
        <v>17.400950000000002</v>
      </c>
      <c r="DC459">
        <v>16.332519999999999</v>
      </c>
      <c r="DD459" t="s">
        <v>125</v>
      </c>
      <c r="DE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Q459" t="s">
        <v>126</v>
      </c>
    </row>
    <row r="460" spans="1:121" x14ac:dyDescent="0.15">
      <c r="A460">
        <v>2018</v>
      </c>
      <c r="B460" t="s">
        <v>197</v>
      </c>
      <c r="C460" t="str">
        <f t="shared" si="13"/>
        <v>0570011</v>
      </c>
      <c r="D460" t="s">
        <v>612</v>
      </c>
      <c r="E460" t="str">
        <f>"0570311"</f>
        <v>0570311</v>
      </c>
      <c r="F460" t="s">
        <v>328</v>
      </c>
      <c r="G460" t="s">
        <v>339</v>
      </c>
      <c r="H460">
        <v>5</v>
      </c>
      <c r="I460" t="s">
        <v>330</v>
      </c>
      <c r="J460" t="s">
        <v>331</v>
      </c>
      <c r="K460">
        <v>792.63204900000005</v>
      </c>
      <c r="L460">
        <v>950</v>
      </c>
      <c r="M460">
        <v>83.434952999999993</v>
      </c>
      <c r="N460">
        <v>2</v>
      </c>
      <c r="O460">
        <v>0</v>
      </c>
      <c r="P460">
        <v>75.937314999999998</v>
      </c>
      <c r="Q460">
        <v>50</v>
      </c>
      <c r="R460">
        <v>50</v>
      </c>
      <c r="S460">
        <v>67.324366999999995</v>
      </c>
      <c r="T460">
        <v>75</v>
      </c>
      <c r="U460">
        <v>44.882911</v>
      </c>
      <c r="V460">
        <v>50</v>
      </c>
      <c r="W460">
        <v>71.560653000000002</v>
      </c>
      <c r="X460">
        <v>47.707101999999999</v>
      </c>
      <c r="Y460">
        <v>50</v>
      </c>
      <c r="Z460">
        <v>75</v>
      </c>
      <c r="AA460">
        <v>62.600526000000002</v>
      </c>
      <c r="AB460">
        <v>41.733683999999997</v>
      </c>
      <c r="AC460">
        <v>50</v>
      </c>
      <c r="AD460">
        <v>74.797321999999994</v>
      </c>
      <c r="AE460">
        <v>49.864880999999997</v>
      </c>
      <c r="AF460">
        <v>50</v>
      </c>
      <c r="AG460">
        <v>66.841099</v>
      </c>
      <c r="AH460">
        <v>75</v>
      </c>
      <c r="AI460">
        <v>44.560732999999999</v>
      </c>
      <c r="AJ460">
        <v>50</v>
      </c>
      <c r="AK460">
        <v>7.67</v>
      </c>
      <c r="AL460">
        <v>12.39</v>
      </c>
      <c r="AM460">
        <v>8.15</v>
      </c>
      <c r="AN460">
        <v>0.79127400000000003</v>
      </c>
      <c r="AO460">
        <v>79.127369000000002</v>
      </c>
      <c r="AP460">
        <v>100</v>
      </c>
      <c r="AQ460">
        <v>0.74692000000000003</v>
      </c>
      <c r="AR460">
        <v>74.692018000000004</v>
      </c>
      <c r="AS460">
        <v>100</v>
      </c>
      <c r="AT460">
        <v>0.70981300000000003</v>
      </c>
      <c r="AU460">
        <v>0.89649299999999998</v>
      </c>
      <c r="AV460">
        <v>70.981334000000004</v>
      </c>
      <c r="AW460">
        <v>100</v>
      </c>
      <c r="AX460">
        <v>0.69456899999999999</v>
      </c>
      <c r="AY460">
        <v>0.81454099999999996</v>
      </c>
      <c r="AZ460">
        <v>69.456891999999996</v>
      </c>
      <c r="BA460">
        <v>100</v>
      </c>
      <c r="BB460">
        <v>0.90616300000000005</v>
      </c>
      <c r="BC460">
        <v>45.308132000000001</v>
      </c>
      <c r="BD460">
        <v>50</v>
      </c>
      <c r="BE460">
        <v>0.79192099999999999</v>
      </c>
      <c r="BF460">
        <v>39.596026999999999</v>
      </c>
      <c r="BG460">
        <v>50</v>
      </c>
      <c r="BH460">
        <v>0</v>
      </c>
      <c r="BI460">
        <v>1</v>
      </c>
      <c r="BJ460">
        <v>1</v>
      </c>
      <c r="BK460">
        <v>1</v>
      </c>
      <c r="BL460">
        <v>0.99415200000000004</v>
      </c>
      <c r="BM460">
        <v>0.99038499999999996</v>
      </c>
      <c r="BN460">
        <v>1</v>
      </c>
      <c r="BO460">
        <v>1</v>
      </c>
      <c r="BP460">
        <v>1</v>
      </c>
      <c r="BQ460">
        <v>1</v>
      </c>
      <c r="BR460">
        <v>7.0513000000000006E-2</v>
      </c>
      <c r="BS460">
        <v>45.897435999999999</v>
      </c>
      <c r="BT460">
        <v>50</v>
      </c>
      <c r="BU460">
        <v>0.105882</v>
      </c>
      <c r="BV460">
        <v>38.823529000000001</v>
      </c>
      <c r="BW460">
        <v>50</v>
      </c>
      <c r="BX460" t="s">
        <v>125</v>
      </c>
      <c r="BY460" t="s">
        <v>125</v>
      </c>
      <c r="BZ460" t="s">
        <v>125</v>
      </c>
      <c r="CA460" t="s">
        <v>125</v>
      </c>
      <c r="CB460" t="s">
        <v>125</v>
      </c>
      <c r="CC460" t="s">
        <v>125</v>
      </c>
      <c r="CD460" t="s">
        <v>125</v>
      </c>
      <c r="CE460" t="s">
        <v>125</v>
      </c>
      <c r="CF460" t="s">
        <v>125</v>
      </c>
      <c r="CG460" t="s">
        <v>125</v>
      </c>
      <c r="CH460" t="s">
        <v>125</v>
      </c>
      <c r="CI460" t="s">
        <v>125</v>
      </c>
      <c r="CJ460" t="s">
        <v>125</v>
      </c>
      <c r="CK460" t="s">
        <v>125</v>
      </c>
      <c r="CL460" t="s">
        <v>125</v>
      </c>
      <c r="CM460" t="s">
        <v>125</v>
      </c>
      <c r="CN460" t="s">
        <v>125</v>
      </c>
      <c r="CO460" t="s">
        <v>125</v>
      </c>
      <c r="CP460" t="s">
        <v>125</v>
      </c>
      <c r="CQ460">
        <v>0.75409800000000005</v>
      </c>
      <c r="CR460">
        <v>1.016667</v>
      </c>
      <c r="CS460">
        <v>50</v>
      </c>
      <c r="CT460">
        <v>50</v>
      </c>
      <c r="CU460" t="s">
        <v>125</v>
      </c>
      <c r="CV460" t="s">
        <v>125</v>
      </c>
      <c r="CW460" t="s">
        <v>125</v>
      </c>
      <c r="CX460" t="s">
        <v>125</v>
      </c>
      <c r="CY460" t="s">
        <v>125</v>
      </c>
      <c r="CZ460" t="s">
        <v>125</v>
      </c>
      <c r="DA460">
        <v>15.314097</v>
      </c>
      <c r="DB460">
        <v>17.400950000000002</v>
      </c>
      <c r="DC460">
        <v>16.332519999999999</v>
      </c>
      <c r="DD460" t="s">
        <v>125</v>
      </c>
      <c r="DE460">
        <v>0</v>
      </c>
      <c r="DH460" t="s">
        <v>332</v>
      </c>
      <c r="DI460" t="s">
        <v>501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Q460" t="s">
        <v>126</v>
      </c>
    </row>
    <row r="461" spans="1:121" x14ac:dyDescent="0.15">
      <c r="A461">
        <v>2018</v>
      </c>
      <c r="B461" t="s">
        <v>197</v>
      </c>
      <c r="C461" t="str">
        <f t="shared" si="13"/>
        <v>0570011</v>
      </c>
      <c r="D461" t="s">
        <v>613</v>
      </c>
      <c r="E461" t="str">
        <f>"0570611"</f>
        <v>0570611</v>
      </c>
      <c r="F461" t="s">
        <v>328</v>
      </c>
      <c r="G461" t="s">
        <v>329</v>
      </c>
      <c r="H461">
        <v>5</v>
      </c>
      <c r="I461" t="s">
        <v>336</v>
      </c>
      <c r="J461" t="s">
        <v>331</v>
      </c>
      <c r="K461">
        <v>744.09360000000004</v>
      </c>
      <c r="L461">
        <v>950</v>
      </c>
      <c r="M461">
        <v>78.325642000000002</v>
      </c>
      <c r="N461">
        <v>2</v>
      </c>
      <c r="O461">
        <v>0</v>
      </c>
      <c r="P461">
        <v>70.725333000000006</v>
      </c>
      <c r="Q461">
        <v>47.150221999999999</v>
      </c>
      <c r="R461">
        <v>50</v>
      </c>
      <c r="S461">
        <v>69.064265000000006</v>
      </c>
      <c r="T461" t="s">
        <v>125</v>
      </c>
      <c r="U461">
        <v>46.042842999999998</v>
      </c>
      <c r="V461">
        <v>50</v>
      </c>
      <c r="W461">
        <v>64.680875</v>
      </c>
      <c r="X461">
        <v>43.120583000000003</v>
      </c>
      <c r="Y461">
        <v>50</v>
      </c>
      <c r="Z461" t="s">
        <v>125</v>
      </c>
      <c r="AA461">
        <v>63.259988999999997</v>
      </c>
      <c r="AB461">
        <v>42.173326000000003</v>
      </c>
      <c r="AC461">
        <v>50</v>
      </c>
      <c r="AD461">
        <v>69.807692000000003</v>
      </c>
      <c r="AE461">
        <v>46.538462000000003</v>
      </c>
      <c r="AF461">
        <v>50</v>
      </c>
      <c r="AG461">
        <v>68.523296999999999</v>
      </c>
      <c r="AH461" t="s">
        <v>125</v>
      </c>
      <c r="AI461">
        <v>45.682198</v>
      </c>
      <c r="AJ461">
        <v>50</v>
      </c>
      <c r="AK461" t="s">
        <v>125</v>
      </c>
      <c r="AL461" t="s">
        <v>125</v>
      </c>
      <c r="AM461" t="s">
        <v>125</v>
      </c>
      <c r="AN461">
        <v>0.62271399999999999</v>
      </c>
      <c r="AO461">
        <v>62.271438000000003</v>
      </c>
      <c r="AP461">
        <v>100</v>
      </c>
      <c r="AQ461">
        <v>0.65529400000000004</v>
      </c>
      <c r="AR461">
        <v>65.529427999999996</v>
      </c>
      <c r="AS461">
        <v>100</v>
      </c>
      <c r="AT461">
        <v>0.60410399999999997</v>
      </c>
      <c r="AU461" t="s">
        <v>125</v>
      </c>
      <c r="AV461">
        <v>60.410362999999997</v>
      </c>
      <c r="AW461">
        <v>100</v>
      </c>
      <c r="AX461">
        <v>0.62226800000000004</v>
      </c>
      <c r="AY461" t="s">
        <v>125</v>
      </c>
      <c r="AZ461">
        <v>62.226804999999999</v>
      </c>
      <c r="BA461">
        <v>100</v>
      </c>
      <c r="BB461">
        <v>0.82981899999999997</v>
      </c>
      <c r="BC461">
        <v>41.490958999999997</v>
      </c>
      <c r="BD461">
        <v>50</v>
      </c>
      <c r="BE461">
        <v>0.67675799999999997</v>
      </c>
      <c r="BF461">
        <v>33.837924000000001</v>
      </c>
      <c r="BG461">
        <v>50</v>
      </c>
      <c r="BH461">
        <v>0</v>
      </c>
      <c r="BI461">
        <v>0.98581600000000003</v>
      </c>
      <c r="BJ461">
        <v>0.98360700000000001</v>
      </c>
      <c r="BK461" t="s">
        <v>125</v>
      </c>
      <c r="BL461">
        <v>0.98581600000000003</v>
      </c>
      <c r="BM461">
        <v>0.98360700000000001</v>
      </c>
      <c r="BN461" t="s">
        <v>125</v>
      </c>
      <c r="BO461">
        <v>1</v>
      </c>
      <c r="BP461">
        <v>1</v>
      </c>
      <c r="BQ461" t="s">
        <v>125</v>
      </c>
      <c r="BR461">
        <v>1.6598000000000002E-2</v>
      </c>
      <c r="BS461">
        <v>50</v>
      </c>
      <c r="BT461">
        <v>50</v>
      </c>
      <c r="BU461">
        <v>0.02</v>
      </c>
      <c r="BV461">
        <v>50</v>
      </c>
      <c r="BW461">
        <v>50</v>
      </c>
      <c r="BX461" t="s">
        <v>125</v>
      </c>
      <c r="BY461" t="s">
        <v>125</v>
      </c>
      <c r="BZ461" t="s">
        <v>125</v>
      </c>
      <c r="CA461" t="s">
        <v>125</v>
      </c>
      <c r="CB461" t="s">
        <v>125</v>
      </c>
      <c r="CC461" t="s">
        <v>125</v>
      </c>
      <c r="CD461" t="s">
        <v>125</v>
      </c>
      <c r="CE461" t="s">
        <v>125</v>
      </c>
      <c r="CF461" t="s">
        <v>125</v>
      </c>
      <c r="CG461" t="s">
        <v>125</v>
      </c>
      <c r="CH461" t="s">
        <v>125</v>
      </c>
      <c r="CI461" t="s">
        <v>125</v>
      </c>
      <c r="CJ461" t="s">
        <v>125</v>
      </c>
      <c r="CK461" t="s">
        <v>125</v>
      </c>
      <c r="CL461" t="s">
        <v>125</v>
      </c>
      <c r="CM461" t="s">
        <v>125</v>
      </c>
      <c r="CN461" t="s">
        <v>125</v>
      </c>
      <c r="CO461" t="s">
        <v>125</v>
      </c>
      <c r="CP461" t="s">
        <v>125</v>
      </c>
      <c r="CQ461">
        <v>0.71428599999999998</v>
      </c>
      <c r="CR461">
        <v>0.95454499999999998</v>
      </c>
      <c r="CS461">
        <v>47.619047999999999</v>
      </c>
      <c r="CT461">
        <v>50</v>
      </c>
      <c r="CU461" t="s">
        <v>125</v>
      </c>
      <c r="CV461" t="s">
        <v>125</v>
      </c>
      <c r="CW461" t="s">
        <v>125</v>
      </c>
      <c r="CX461" t="s">
        <v>125</v>
      </c>
      <c r="CY461" t="s">
        <v>125</v>
      </c>
      <c r="CZ461" t="s">
        <v>125</v>
      </c>
      <c r="DA461">
        <v>15.314097</v>
      </c>
      <c r="DB461">
        <v>17.400950000000002</v>
      </c>
      <c r="DC461">
        <v>16.332519999999999</v>
      </c>
      <c r="DD461" t="s">
        <v>125</v>
      </c>
      <c r="DE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Q461" t="s">
        <v>126</v>
      </c>
    </row>
    <row r="462" spans="1:121" x14ac:dyDescent="0.15">
      <c r="A462">
        <v>2018</v>
      </c>
      <c r="B462" t="s">
        <v>197</v>
      </c>
      <c r="C462" t="str">
        <f t="shared" si="13"/>
        <v>0570011</v>
      </c>
      <c r="D462" t="s">
        <v>614</v>
      </c>
      <c r="E462" t="str">
        <f>"0570711"</f>
        <v>0570711</v>
      </c>
      <c r="F462" t="s">
        <v>328</v>
      </c>
      <c r="G462" t="s">
        <v>339</v>
      </c>
      <c r="H462">
        <v>5</v>
      </c>
      <c r="J462" t="s">
        <v>331</v>
      </c>
      <c r="K462">
        <v>746.39474099999995</v>
      </c>
      <c r="L462">
        <v>800</v>
      </c>
      <c r="M462">
        <v>93.299342999999993</v>
      </c>
      <c r="N462">
        <v>1</v>
      </c>
      <c r="O462">
        <v>0</v>
      </c>
      <c r="P462">
        <v>87.479138000000006</v>
      </c>
      <c r="Q462">
        <v>50</v>
      </c>
      <c r="R462">
        <v>50</v>
      </c>
      <c r="S462">
        <v>76.484886000000003</v>
      </c>
      <c r="T462">
        <v>75</v>
      </c>
      <c r="U462">
        <v>50</v>
      </c>
      <c r="V462">
        <v>50</v>
      </c>
      <c r="W462">
        <v>86.480177999999995</v>
      </c>
      <c r="X462">
        <v>50</v>
      </c>
      <c r="Y462">
        <v>50</v>
      </c>
      <c r="Z462">
        <v>75</v>
      </c>
      <c r="AA462">
        <v>76.514021</v>
      </c>
      <c r="AB462">
        <v>50</v>
      </c>
      <c r="AC462">
        <v>50</v>
      </c>
      <c r="AD462">
        <v>86.225806000000006</v>
      </c>
      <c r="AE462">
        <v>50</v>
      </c>
      <c r="AF462">
        <v>50</v>
      </c>
      <c r="AG462" t="s">
        <v>125</v>
      </c>
      <c r="AH462">
        <v>75</v>
      </c>
      <c r="AI462" t="s">
        <v>125</v>
      </c>
      <c r="AJ462" t="s">
        <v>125</v>
      </c>
      <c r="AK462">
        <v>-1.48</v>
      </c>
      <c r="AL462">
        <v>-1.51</v>
      </c>
      <c r="AM462" t="s">
        <v>125</v>
      </c>
      <c r="AN462">
        <v>0.83658299999999997</v>
      </c>
      <c r="AO462">
        <v>83.658277999999996</v>
      </c>
      <c r="AP462">
        <v>100</v>
      </c>
      <c r="AQ462">
        <v>0.918929</v>
      </c>
      <c r="AR462">
        <v>91.892865</v>
      </c>
      <c r="AS462">
        <v>100</v>
      </c>
      <c r="AT462">
        <v>0.78712800000000005</v>
      </c>
      <c r="AU462">
        <v>0.84624200000000005</v>
      </c>
      <c r="AV462">
        <v>78.712828999999999</v>
      </c>
      <c r="AW462">
        <v>100</v>
      </c>
      <c r="AX462">
        <v>0.92888300000000001</v>
      </c>
      <c r="AY462">
        <v>0.91695300000000002</v>
      </c>
      <c r="AZ462">
        <v>92.888344000000004</v>
      </c>
      <c r="BA462">
        <v>100</v>
      </c>
      <c r="BB462" t="s">
        <v>125</v>
      </c>
      <c r="BC462" t="s">
        <v>125</v>
      </c>
      <c r="BD462" t="s">
        <v>125</v>
      </c>
      <c r="BE462" t="s">
        <v>125</v>
      </c>
      <c r="BF462" t="s">
        <v>125</v>
      </c>
      <c r="BG462" t="s">
        <v>125</v>
      </c>
      <c r="BH462">
        <v>0</v>
      </c>
      <c r="BI462">
        <v>1</v>
      </c>
      <c r="BJ462">
        <v>1</v>
      </c>
      <c r="BK462">
        <v>1</v>
      </c>
      <c r="BL462">
        <v>0.99601600000000001</v>
      </c>
      <c r="BM462">
        <v>1</v>
      </c>
      <c r="BN462">
        <v>0.994475</v>
      </c>
      <c r="BO462">
        <v>0.98666699999999996</v>
      </c>
      <c r="BP462">
        <v>1</v>
      </c>
      <c r="BQ462">
        <v>0.98181799999999997</v>
      </c>
      <c r="BR462">
        <v>1.2024E-2</v>
      </c>
      <c r="BS462">
        <v>50</v>
      </c>
      <c r="BT462">
        <v>50</v>
      </c>
      <c r="BU462">
        <v>3.0303E-2</v>
      </c>
      <c r="BV462">
        <v>50</v>
      </c>
      <c r="BW462">
        <v>50</v>
      </c>
      <c r="BX462" t="s">
        <v>125</v>
      </c>
      <c r="BY462" t="s">
        <v>125</v>
      </c>
      <c r="BZ462" t="s">
        <v>125</v>
      </c>
      <c r="CA462" t="s">
        <v>125</v>
      </c>
      <c r="CB462" t="s">
        <v>125</v>
      </c>
      <c r="CC462" t="s">
        <v>125</v>
      </c>
      <c r="CD462" t="s">
        <v>125</v>
      </c>
      <c r="CE462" t="s">
        <v>125</v>
      </c>
      <c r="CF462" t="s">
        <v>125</v>
      </c>
      <c r="CG462" t="s">
        <v>125</v>
      </c>
      <c r="CH462" t="s">
        <v>125</v>
      </c>
      <c r="CI462" t="s">
        <v>125</v>
      </c>
      <c r="CJ462" t="s">
        <v>125</v>
      </c>
      <c r="CK462" t="s">
        <v>125</v>
      </c>
      <c r="CL462" t="s">
        <v>125</v>
      </c>
      <c r="CM462" t="s">
        <v>125</v>
      </c>
      <c r="CN462" t="s">
        <v>125</v>
      </c>
      <c r="CO462" t="s">
        <v>125</v>
      </c>
      <c r="CP462" t="s">
        <v>125</v>
      </c>
      <c r="CQ462">
        <v>0.73863599999999996</v>
      </c>
      <c r="CR462">
        <v>1</v>
      </c>
      <c r="CS462">
        <v>49.242424</v>
      </c>
      <c r="CT462">
        <v>50</v>
      </c>
      <c r="CU462" t="s">
        <v>125</v>
      </c>
      <c r="CV462" t="s">
        <v>125</v>
      </c>
      <c r="CW462" t="s">
        <v>125</v>
      </c>
      <c r="CX462" t="s">
        <v>125</v>
      </c>
      <c r="CY462" t="s">
        <v>125</v>
      </c>
      <c r="CZ462" t="s">
        <v>125</v>
      </c>
      <c r="DA462">
        <v>15.314097</v>
      </c>
      <c r="DB462">
        <v>17.400950000000002</v>
      </c>
      <c r="DC462">
        <v>16.332519999999999</v>
      </c>
      <c r="DD462" t="s">
        <v>125</v>
      </c>
      <c r="DE462">
        <v>0</v>
      </c>
      <c r="DH462" t="s">
        <v>332</v>
      </c>
      <c r="DI462" t="s">
        <v>615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0</v>
      </c>
      <c r="DQ462" t="s">
        <v>126</v>
      </c>
    </row>
    <row r="463" spans="1:121" x14ac:dyDescent="0.15">
      <c r="A463">
        <v>2018</v>
      </c>
      <c r="B463" t="s">
        <v>197</v>
      </c>
      <c r="C463" t="str">
        <f t="shared" si="13"/>
        <v>0570011</v>
      </c>
      <c r="D463" t="s">
        <v>616</v>
      </c>
      <c r="E463" t="str">
        <f>"0570811"</f>
        <v>0570811</v>
      </c>
      <c r="F463" t="s">
        <v>328</v>
      </c>
      <c r="G463" t="s">
        <v>329</v>
      </c>
      <c r="H463">
        <v>5</v>
      </c>
      <c r="J463" t="s">
        <v>331</v>
      </c>
      <c r="K463">
        <v>536.62338099999999</v>
      </c>
      <c r="L463">
        <v>600</v>
      </c>
      <c r="M463">
        <v>89.43723</v>
      </c>
      <c r="N463">
        <v>1</v>
      </c>
      <c r="O463">
        <v>0</v>
      </c>
      <c r="P463">
        <v>85.482037000000005</v>
      </c>
      <c r="Q463">
        <v>50</v>
      </c>
      <c r="R463">
        <v>50</v>
      </c>
      <c r="S463">
        <v>66.859938999999997</v>
      </c>
      <c r="T463">
        <v>75</v>
      </c>
      <c r="U463">
        <v>44.573293</v>
      </c>
      <c r="V463">
        <v>50</v>
      </c>
      <c r="W463">
        <v>83.303683000000007</v>
      </c>
      <c r="X463">
        <v>50</v>
      </c>
      <c r="Y463">
        <v>50</v>
      </c>
      <c r="Z463">
        <v>75</v>
      </c>
      <c r="AA463">
        <v>65.575781000000006</v>
      </c>
      <c r="AB463">
        <v>43.717187000000003</v>
      </c>
      <c r="AC463">
        <v>50</v>
      </c>
      <c r="AD463">
        <v>81.553763000000004</v>
      </c>
      <c r="AE463">
        <v>50</v>
      </c>
      <c r="AF463">
        <v>50</v>
      </c>
      <c r="AG463" t="s">
        <v>125</v>
      </c>
      <c r="AH463">
        <v>75</v>
      </c>
      <c r="AI463" t="s">
        <v>125</v>
      </c>
      <c r="AJ463" t="s">
        <v>125</v>
      </c>
      <c r="AK463">
        <v>8.14</v>
      </c>
      <c r="AL463">
        <v>9.42</v>
      </c>
      <c r="AM463" t="s">
        <v>125</v>
      </c>
      <c r="AN463">
        <v>0.73233000000000004</v>
      </c>
      <c r="AO463">
        <v>73.232979</v>
      </c>
      <c r="AP463">
        <v>100</v>
      </c>
      <c r="AQ463">
        <v>0.78151599999999999</v>
      </c>
      <c r="AR463">
        <v>78.151565000000005</v>
      </c>
      <c r="AS463">
        <v>100</v>
      </c>
      <c r="AT463" t="s">
        <v>125</v>
      </c>
      <c r="AU463">
        <v>0.74791399999999997</v>
      </c>
      <c r="AV463" t="s">
        <v>125</v>
      </c>
      <c r="AW463" t="s">
        <v>125</v>
      </c>
      <c r="AX463" t="s">
        <v>125</v>
      </c>
      <c r="AY463">
        <v>0.77467200000000003</v>
      </c>
      <c r="AZ463" t="s">
        <v>125</v>
      </c>
      <c r="BA463" t="s">
        <v>125</v>
      </c>
      <c r="BB463" t="s">
        <v>125</v>
      </c>
      <c r="BC463" t="s">
        <v>125</v>
      </c>
      <c r="BD463" t="s">
        <v>125</v>
      </c>
      <c r="BE463" t="s">
        <v>125</v>
      </c>
      <c r="BF463" t="s">
        <v>125</v>
      </c>
      <c r="BG463" t="s">
        <v>125</v>
      </c>
      <c r="BH463">
        <v>0</v>
      </c>
      <c r="BI463">
        <v>0.99470899999999995</v>
      </c>
      <c r="BJ463">
        <v>1</v>
      </c>
      <c r="BK463">
        <v>0.993865</v>
      </c>
      <c r="BL463">
        <v>0.99470899999999995</v>
      </c>
      <c r="BM463">
        <v>1</v>
      </c>
      <c r="BN463">
        <v>0.993865</v>
      </c>
      <c r="BO463">
        <v>0.98412699999999997</v>
      </c>
      <c r="BP463" t="s">
        <v>125</v>
      </c>
      <c r="BQ463">
        <v>1</v>
      </c>
      <c r="BR463">
        <v>2.1277000000000001E-2</v>
      </c>
      <c r="BS463">
        <v>50</v>
      </c>
      <c r="BT463">
        <v>50</v>
      </c>
      <c r="BU463">
        <v>3.6364E-2</v>
      </c>
      <c r="BV463">
        <v>50</v>
      </c>
      <c r="BW463">
        <v>50</v>
      </c>
      <c r="BX463" t="s">
        <v>125</v>
      </c>
      <c r="BY463" t="s">
        <v>125</v>
      </c>
      <c r="BZ463" t="s">
        <v>125</v>
      </c>
      <c r="CA463" t="s">
        <v>125</v>
      </c>
      <c r="CB463" t="s">
        <v>125</v>
      </c>
      <c r="CC463" t="s">
        <v>125</v>
      </c>
      <c r="CD463" t="s">
        <v>125</v>
      </c>
      <c r="CE463" t="s">
        <v>125</v>
      </c>
      <c r="CF463" t="s">
        <v>125</v>
      </c>
      <c r="CG463" t="s">
        <v>125</v>
      </c>
      <c r="CH463" t="s">
        <v>125</v>
      </c>
      <c r="CI463" t="s">
        <v>125</v>
      </c>
      <c r="CJ463" t="s">
        <v>125</v>
      </c>
      <c r="CK463" t="s">
        <v>125</v>
      </c>
      <c r="CL463" t="s">
        <v>125</v>
      </c>
      <c r="CM463" t="s">
        <v>125</v>
      </c>
      <c r="CN463" t="s">
        <v>125</v>
      </c>
      <c r="CO463" t="s">
        <v>125</v>
      </c>
      <c r="CP463" t="s">
        <v>125</v>
      </c>
      <c r="CQ463">
        <v>0.70422499999999999</v>
      </c>
      <c r="CR463">
        <v>1</v>
      </c>
      <c r="CS463">
        <v>46.948357000000001</v>
      </c>
      <c r="CT463">
        <v>50</v>
      </c>
      <c r="CU463" t="s">
        <v>125</v>
      </c>
      <c r="CV463" t="s">
        <v>125</v>
      </c>
      <c r="CW463" t="s">
        <v>125</v>
      </c>
      <c r="CX463" t="s">
        <v>125</v>
      </c>
      <c r="CY463" t="s">
        <v>125</v>
      </c>
      <c r="CZ463" t="s">
        <v>125</v>
      </c>
      <c r="DA463">
        <v>15.314097</v>
      </c>
      <c r="DB463">
        <v>17.400950000000002</v>
      </c>
      <c r="DC463">
        <v>16.332519999999999</v>
      </c>
      <c r="DD463" t="s">
        <v>125</v>
      </c>
      <c r="DE463">
        <v>0</v>
      </c>
      <c r="DH463" t="s">
        <v>332</v>
      </c>
      <c r="DI463" t="s">
        <v>333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Q463" t="s">
        <v>126</v>
      </c>
    </row>
    <row r="464" spans="1:121" x14ac:dyDescent="0.15">
      <c r="A464">
        <v>2018</v>
      </c>
      <c r="B464" t="s">
        <v>197</v>
      </c>
      <c r="C464" t="str">
        <f t="shared" si="13"/>
        <v>0570011</v>
      </c>
      <c r="D464" t="s">
        <v>617</v>
      </c>
      <c r="E464" t="str">
        <f>"0570911"</f>
        <v>0570911</v>
      </c>
      <c r="F464" t="s">
        <v>328</v>
      </c>
      <c r="G464" t="s">
        <v>329</v>
      </c>
      <c r="H464">
        <v>5</v>
      </c>
      <c r="J464" t="s">
        <v>331</v>
      </c>
      <c r="K464">
        <v>650.19730600000003</v>
      </c>
      <c r="L464">
        <v>800</v>
      </c>
      <c r="M464">
        <v>81.274663000000004</v>
      </c>
      <c r="N464">
        <v>2</v>
      </c>
      <c r="O464">
        <v>0</v>
      </c>
      <c r="P464">
        <v>84.693717000000007</v>
      </c>
      <c r="Q464">
        <v>50</v>
      </c>
      <c r="R464">
        <v>50</v>
      </c>
      <c r="S464">
        <v>68.245705999999998</v>
      </c>
      <c r="T464">
        <v>75</v>
      </c>
      <c r="U464">
        <v>45.497138</v>
      </c>
      <c r="V464">
        <v>50</v>
      </c>
      <c r="W464">
        <v>82.608885999999998</v>
      </c>
      <c r="X464">
        <v>50</v>
      </c>
      <c r="Y464">
        <v>50</v>
      </c>
      <c r="Z464">
        <v>75</v>
      </c>
      <c r="AA464">
        <v>68.834525999999997</v>
      </c>
      <c r="AB464">
        <v>45.889684000000003</v>
      </c>
      <c r="AC464">
        <v>50</v>
      </c>
      <c r="AD464">
        <v>83.024866000000003</v>
      </c>
      <c r="AE464">
        <v>50</v>
      </c>
      <c r="AF464">
        <v>50</v>
      </c>
      <c r="AG464" t="s">
        <v>125</v>
      </c>
      <c r="AH464">
        <v>75</v>
      </c>
      <c r="AI464" t="s">
        <v>125</v>
      </c>
      <c r="AJ464" t="s">
        <v>125</v>
      </c>
      <c r="AK464">
        <v>6.75</v>
      </c>
      <c r="AL464">
        <v>6.16</v>
      </c>
      <c r="AM464" t="s">
        <v>125</v>
      </c>
      <c r="AN464">
        <v>0.66908999999999996</v>
      </c>
      <c r="AO464">
        <v>66.90898</v>
      </c>
      <c r="AP464">
        <v>100</v>
      </c>
      <c r="AQ464">
        <v>0.74981799999999998</v>
      </c>
      <c r="AR464">
        <v>74.981806000000006</v>
      </c>
      <c r="AS464">
        <v>100</v>
      </c>
      <c r="AT464">
        <v>0.53</v>
      </c>
      <c r="AU464">
        <v>0.69227099999999997</v>
      </c>
      <c r="AV464">
        <v>53.000041000000003</v>
      </c>
      <c r="AW464">
        <v>100</v>
      </c>
      <c r="AX464">
        <v>0.63919700000000002</v>
      </c>
      <c r="AY464">
        <v>0.76825500000000002</v>
      </c>
      <c r="AZ464">
        <v>63.919657000000001</v>
      </c>
      <c r="BA464">
        <v>100</v>
      </c>
      <c r="BB464" t="s">
        <v>125</v>
      </c>
      <c r="BC464" t="s">
        <v>125</v>
      </c>
      <c r="BD464" t="s">
        <v>125</v>
      </c>
      <c r="BE464" t="s">
        <v>125</v>
      </c>
      <c r="BF464" t="s">
        <v>125</v>
      </c>
      <c r="BG464" t="s">
        <v>125</v>
      </c>
      <c r="BH464">
        <v>0</v>
      </c>
      <c r="BI464">
        <v>0.99539200000000005</v>
      </c>
      <c r="BJ464">
        <v>0.97297299999999998</v>
      </c>
      <c r="BK464">
        <v>1</v>
      </c>
      <c r="BL464">
        <v>0.99539200000000005</v>
      </c>
      <c r="BM464">
        <v>0.97297299999999998</v>
      </c>
      <c r="BN464">
        <v>1</v>
      </c>
      <c r="BO464">
        <v>1</v>
      </c>
      <c r="BP464" t="s">
        <v>125</v>
      </c>
      <c r="BQ464">
        <v>1</v>
      </c>
      <c r="BR464">
        <v>3.4653000000000003E-2</v>
      </c>
      <c r="BS464">
        <v>50</v>
      </c>
      <c r="BT464">
        <v>50</v>
      </c>
      <c r="BU464">
        <v>3.3333000000000002E-2</v>
      </c>
      <c r="BV464">
        <v>50</v>
      </c>
      <c r="BW464">
        <v>50</v>
      </c>
      <c r="BX464" t="s">
        <v>125</v>
      </c>
      <c r="BY464" t="s">
        <v>125</v>
      </c>
      <c r="BZ464" t="s">
        <v>125</v>
      </c>
      <c r="CA464" t="s">
        <v>125</v>
      </c>
      <c r="CB464" t="s">
        <v>125</v>
      </c>
      <c r="CC464" t="s">
        <v>125</v>
      </c>
      <c r="CD464" t="s">
        <v>125</v>
      </c>
      <c r="CE464" t="s">
        <v>125</v>
      </c>
      <c r="CF464" t="s">
        <v>125</v>
      </c>
      <c r="CG464" t="s">
        <v>125</v>
      </c>
      <c r="CH464" t="s">
        <v>125</v>
      </c>
      <c r="CI464" t="s">
        <v>125</v>
      </c>
      <c r="CJ464" t="s">
        <v>125</v>
      </c>
      <c r="CK464" t="s">
        <v>125</v>
      </c>
      <c r="CL464" t="s">
        <v>125</v>
      </c>
      <c r="CM464" t="s">
        <v>125</v>
      </c>
      <c r="CN464" t="s">
        <v>125</v>
      </c>
      <c r="CO464" t="s">
        <v>125</v>
      </c>
      <c r="CP464" t="s">
        <v>125</v>
      </c>
      <c r="CQ464">
        <v>0.791045</v>
      </c>
      <c r="CR464">
        <v>1</v>
      </c>
      <c r="CS464">
        <v>50</v>
      </c>
      <c r="CT464">
        <v>50</v>
      </c>
      <c r="CU464" t="s">
        <v>125</v>
      </c>
      <c r="CV464" t="s">
        <v>125</v>
      </c>
      <c r="CW464" t="s">
        <v>125</v>
      </c>
      <c r="CX464" t="s">
        <v>125</v>
      </c>
      <c r="CY464" t="s">
        <v>125</v>
      </c>
      <c r="CZ464" t="s">
        <v>125</v>
      </c>
      <c r="DA464">
        <v>15.314097</v>
      </c>
      <c r="DB464">
        <v>17.400950000000002</v>
      </c>
      <c r="DC464">
        <v>16.332519999999999</v>
      </c>
      <c r="DD464" t="s">
        <v>125</v>
      </c>
      <c r="DE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Q464" t="s">
        <v>126</v>
      </c>
    </row>
    <row r="465" spans="1:121" x14ac:dyDescent="0.15">
      <c r="A465">
        <v>2018</v>
      </c>
      <c r="B465" t="s">
        <v>197</v>
      </c>
      <c r="C465" t="str">
        <f t="shared" si="13"/>
        <v>0570011</v>
      </c>
      <c r="D465" t="s">
        <v>618</v>
      </c>
      <c r="E465" t="str">
        <f>"0571111"</f>
        <v>0571111</v>
      </c>
      <c r="F465" t="s">
        <v>328</v>
      </c>
      <c r="G465" t="s">
        <v>329</v>
      </c>
      <c r="H465">
        <v>5</v>
      </c>
      <c r="J465" t="s">
        <v>331</v>
      </c>
      <c r="K465">
        <v>538.08287800000005</v>
      </c>
      <c r="L465">
        <v>600</v>
      </c>
      <c r="M465">
        <v>89.680480000000003</v>
      </c>
      <c r="N465">
        <v>1</v>
      </c>
      <c r="O465">
        <v>0</v>
      </c>
      <c r="P465">
        <v>82.705073999999996</v>
      </c>
      <c r="Q465">
        <v>50</v>
      </c>
      <c r="R465">
        <v>50</v>
      </c>
      <c r="S465">
        <v>69.153054999999995</v>
      </c>
      <c r="T465">
        <v>75</v>
      </c>
      <c r="U465">
        <v>46.102035999999998</v>
      </c>
      <c r="V465">
        <v>50</v>
      </c>
      <c r="W465">
        <v>85.045725000000004</v>
      </c>
      <c r="X465">
        <v>50</v>
      </c>
      <c r="Y465">
        <v>50</v>
      </c>
      <c r="Z465">
        <v>75</v>
      </c>
      <c r="AA465">
        <v>74.673581999999996</v>
      </c>
      <c r="AB465">
        <v>49.782387999999997</v>
      </c>
      <c r="AC465">
        <v>50</v>
      </c>
      <c r="AD465">
        <v>78.130291999999997</v>
      </c>
      <c r="AE465">
        <v>50</v>
      </c>
      <c r="AF465">
        <v>50</v>
      </c>
      <c r="AG465" t="s">
        <v>125</v>
      </c>
      <c r="AH465">
        <v>75</v>
      </c>
      <c r="AI465" t="s">
        <v>125</v>
      </c>
      <c r="AJ465" t="s">
        <v>125</v>
      </c>
      <c r="AK465">
        <v>5.84</v>
      </c>
      <c r="AL465">
        <v>0.32</v>
      </c>
      <c r="AM465" t="s">
        <v>125</v>
      </c>
      <c r="AN465">
        <v>0.65097400000000005</v>
      </c>
      <c r="AO465">
        <v>65.097367000000006</v>
      </c>
      <c r="AP465">
        <v>100</v>
      </c>
      <c r="AQ465">
        <v>0.92632999999999999</v>
      </c>
      <c r="AR465">
        <v>92.633000999999993</v>
      </c>
      <c r="AS465">
        <v>100</v>
      </c>
      <c r="AT465" t="s">
        <v>125</v>
      </c>
      <c r="AU465">
        <v>0.66543399999999997</v>
      </c>
      <c r="AV465" t="s">
        <v>125</v>
      </c>
      <c r="AW465" t="s">
        <v>125</v>
      </c>
      <c r="AX465" t="s">
        <v>125</v>
      </c>
      <c r="AY465">
        <v>0.92064999999999997</v>
      </c>
      <c r="AZ465" t="s">
        <v>125</v>
      </c>
      <c r="BA465" t="s">
        <v>125</v>
      </c>
      <c r="BB465" t="s">
        <v>125</v>
      </c>
      <c r="BC465" t="s">
        <v>125</v>
      </c>
      <c r="BD465" t="s">
        <v>125</v>
      </c>
      <c r="BE465" t="s">
        <v>125</v>
      </c>
      <c r="BF465" t="s">
        <v>125</v>
      </c>
      <c r="BG465" t="s">
        <v>125</v>
      </c>
      <c r="BH465">
        <v>0</v>
      </c>
      <c r="BI465">
        <v>0.99137900000000001</v>
      </c>
      <c r="BJ465">
        <v>1</v>
      </c>
      <c r="BK465">
        <v>0.98901099999999997</v>
      </c>
      <c r="BL465">
        <v>0.98275900000000005</v>
      </c>
      <c r="BM465">
        <v>1</v>
      </c>
      <c r="BN465">
        <v>0.97802199999999995</v>
      </c>
      <c r="BO465">
        <v>1</v>
      </c>
      <c r="BP465" t="s">
        <v>125</v>
      </c>
      <c r="BQ465">
        <v>1</v>
      </c>
      <c r="BR465">
        <v>4.9549999999999997E-2</v>
      </c>
      <c r="BS465">
        <v>50</v>
      </c>
      <c r="BT465">
        <v>50</v>
      </c>
      <c r="BU465">
        <v>0.12766</v>
      </c>
      <c r="BV465">
        <v>34.468085000000002</v>
      </c>
      <c r="BW465">
        <v>50</v>
      </c>
      <c r="BX465" t="s">
        <v>125</v>
      </c>
      <c r="BY465" t="s">
        <v>125</v>
      </c>
      <c r="BZ465" t="s">
        <v>125</v>
      </c>
      <c r="CA465" t="s">
        <v>125</v>
      </c>
      <c r="CB465" t="s">
        <v>125</v>
      </c>
      <c r="CC465" t="s">
        <v>125</v>
      </c>
      <c r="CD465" t="s">
        <v>125</v>
      </c>
      <c r="CE465" t="s">
        <v>125</v>
      </c>
      <c r="CF465" t="s">
        <v>125</v>
      </c>
      <c r="CG465" t="s">
        <v>125</v>
      </c>
      <c r="CH465" t="s">
        <v>125</v>
      </c>
      <c r="CI465" t="s">
        <v>125</v>
      </c>
      <c r="CJ465" t="s">
        <v>125</v>
      </c>
      <c r="CK465" t="s">
        <v>125</v>
      </c>
      <c r="CL465" t="s">
        <v>125</v>
      </c>
      <c r="CM465" t="s">
        <v>125</v>
      </c>
      <c r="CN465" t="s">
        <v>125</v>
      </c>
      <c r="CO465" t="s">
        <v>125</v>
      </c>
      <c r="CP465" t="s">
        <v>125</v>
      </c>
      <c r="CQ465">
        <v>0.8</v>
      </c>
      <c r="CR465">
        <v>1</v>
      </c>
      <c r="CS465">
        <v>50</v>
      </c>
      <c r="CT465">
        <v>50</v>
      </c>
      <c r="CU465" t="s">
        <v>125</v>
      </c>
      <c r="CV465" t="s">
        <v>125</v>
      </c>
      <c r="CW465" t="s">
        <v>125</v>
      </c>
      <c r="CX465" t="s">
        <v>125</v>
      </c>
      <c r="CY465" t="s">
        <v>125</v>
      </c>
      <c r="CZ465" t="s">
        <v>125</v>
      </c>
      <c r="DA465">
        <v>15.314097</v>
      </c>
      <c r="DB465">
        <v>17.400950000000002</v>
      </c>
      <c r="DC465">
        <v>16.332519999999999</v>
      </c>
      <c r="DD465" t="s">
        <v>125</v>
      </c>
      <c r="DE465">
        <v>0</v>
      </c>
      <c r="DH465" t="s">
        <v>332</v>
      </c>
      <c r="DI465" t="s">
        <v>546</v>
      </c>
      <c r="DJ465">
        <v>1</v>
      </c>
      <c r="DK465">
        <v>0</v>
      </c>
      <c r="DL465">
        <v>1</v>
      </c>
      <c r="DM465">
        <v>0</v>
      </c>
      <c r="DN465">
        <v>0</v>
      </c>
      <c r="DO465">
        <v>0</v>
      </c>
      <c r="DQ465" t="s">
        <v>126</v>
      </c>
    </row>
    <row r="466" spans="1:121" x14ac:dyDescent="0.15">
      <c r="A466">
        <v>2018</v>
      </c>
      <c r="B466" t="s">
        <v>197</v>
      </c>
      <c r="C466" t="str">
        <f t="shared" si="13"/>
        <v>0570011</v>
      </c>
      <c r="D466" t="s">
        <v>619</v>
      </c>
      <c r="E466" t="str">
        <f>"0571011"</f>
        <v>0571011</v>
      </c>
      <c r="F466" t="s">
        <v>328</v>
      </c>
      <c r="G466" t="s">
        <v>339</v>
      </c>
      <c r="H466">
        <v>5</v>
      </c>
      <c r="J466" t="s">
        <v>331</v>
      </c>
      <c r="K466">
        <v>736.52008999999998</v>
      </c>
      <c r="L466">
        <v>800</v>
      </c>
      <c r="M466">
        <v>92.065010999999998</v>
      </c>
      <c r="N466">
        <v>1</v>
      </c>
      <c r="O466">
        <v>0</v>
      </c>
      <c r="P466">
        <v>90.334360000000004</v>
      </c>
      <c r="Q466">
        <v>50</v>
      </c>
      <c r="R466">
        <v>50</v>
      </c>
      <c r="S466">
        <v>80.881190000000004</v>
      </c>
      <c r="T466">
        <v>75</v>
      </c>
      <c r="U466">
        <v>50</v>
      </c>
      <c r="V466">
        <v>50</v>
      </c>
      <c r="W466">
        <v>87.849582999999996</v>
      </c>
      <c r="X466">
        <v>50</v>
      </c>
      <c r="Y466">
        <v>50</v>
      </c>
      <c r="Z466">
        <v>75</v>
      </c>
      <c r="AA466">
        <v>77.916331</v>
      </c>
      <c r="AB466">
        <v>50</v>
      </c>
      <c r="AC466">
        <v>50</v>
      </c>
      <c r="AD466">
        <v>87.883111999999997</v>
      </c>
      <c r="AE466">
        <v>50</v>
      </c>
      <c r="AF466">
        <v>50</v>
      </c>
      <c r="AG466" t="s">
        <v>125</v>
      </c>
      <c r="AH466">
        <v>75</v>
      </c>
      <c r="AI466" t="s">
        <v>125</v>
      </c>
      <c r="AJ466" t="s">
        <v>125</v>
      </c>
      <c r="AK466">
        <v>-5.88</v>
      </c>
      <c r="AL466">
        <v>-2.91</v>
      </c>
      <c r="AM466" t="s">
        <v>125</v>
      </c>
      <c r="AN466">
        <v>0.876776</v>
      </c>
      <c r="AO466">
        <v>87.677555999999996</v>
      </c>
      <c r="AP466">
        <v>100</v>
      </c>
      <c r="AQ466">
        <v>0.89231700000000003</v>
      </c>
      <c r="AR466">
        <v>89.231655000000003</v>
      </c>
      <c r="AS466">
        <v>100</v>
      </c>
      <c r="AT466">
        <v>0.77877099999999999</v>
      </c>
      <c r="AU466">
        <v>0.89185300000000001</v>
      </c>
      <c r="AV466">
        <v>77.877129999999994</v>
      </c>
      <c r="AW466">
        <v>100</v>
      </c>
      <c r="AX466">
        <v>0.86439600000000005</v>
      </c>
      <c r="AY466">
        <v>0.89661199999999996</v>
      </c>
      <c r="AZ466">
        <v>86.439629999999994</v>
      </c>
      <c r="BA466">
        <v>100</v>
      </c>
      <c r="BB466" t="s">
        <v>125</v>
      </c>
      <c r="BC466" t="s">
        <v>125</v>
      </c>
      <c r="BD466" t="s">
        <v>125</v>
      </c>
      <c r="BE466" t="s">
        <v>125</v>
      </c>
      <c r="BF466" t="s">
        <v>125</v>
      </c>
      <c r="BG466" t="s">
        <v>125</v>
      </c>
      <c r="BH466">
        <v>0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 t="s">
        <v>125</v>
      </c>
      <c r="BQ466">
        <v>1</v>
      </c>
      <c r="BR466">
        <v>3.2854000000000001E-2</v>
      </c>
      <c r="BS466">
        <v>50</v>
      </c>
      <c r="BT466">
        <v>50</v>
      </c>
      <c r="BU466">
        <v>7.3528999999999997E-2</v>
      </c>
      <c r="BV466">
        <v>45.294117999999997</v>
      </c>
      <c r="BW466">
        <v>50</v>
      </c>
      <c r="BX466" t="s">
        <v>125</v>
      </c>
      <c r="BY466" t="s">
        <v>125</v>
      </c>
      <c r="BZ466" t="s">
        <v>125</v>
      </c>
      <c r="CA466" t="s">
        <v>125</v>
      </c>
      <c r="CB466" t="s">
        <v>125</v>
      </c>
      <c r="CC466" t="s">
        <v>125</v>
      </c>
      <c r="CD466" t="s">
        <v>125</v>
      </c>
      <c r="CE466" t="s">
        <v>125</v>
      </c>
      <c r="CF466" t="s">
        <v>125</v>
      </c>
      <c r="CG466" t="s">
        <v>125</v>
      </c>
      <c r="CH466" t="s">
        <v>125</v>
      </c>
      <c r="CI466" t="s">
        <v>125</v>
      </c>
      <c r="CJ466" t="s">
        <v>125</v>
      </c>
      <c r="CK466" t="s">
        <v>125</v>
      </c>
      <c r="CL466" t="s">
        <v>125</v>
      </c>
      <c r="CM466" t="s">
        <v>125</v>
      </c>
      <c r="CN466" t="s">
        <v>125</v>
      </c>
      <c r="CO466" t="s">
        <v>125</v>
      </c>
      <c r="CP466" t="s">
        <v>125</v>
      </c>
      <c r="CQ466">
        <v>0.89189200000000002</v>
      </c>
      <c r="CR466">
        <v>1</v>
      </c>
      <c r="CS466">
        <v>50</v>
      </c>
      <c r="CT466">
        <v>50</v>
      </c>
      <c r="CU466" t="s">
        <v>125</v>
      </c>
      <c r="CV466" t="s">
        <v>125</v>
      </c>
      <c r="CW466" t="s">
        <v>125</v>
      </c>
      <c r="CX466" t="s">
        <v>125</v>
      </c>
      <c r="CY466" t="s">
        <v>125</v>
      </c>
      <c r="CZ466" t="s">
        <v>125</v>
      </c>
      <c r="DA466">
        <v>15.314097</v>
      </c>
      <c r="DB466">
        <v>17.400950000000002</v>
      </c>
      <c r="DC466">
        <v>16.332519999999999</v>
      </c>
      <c r="DD466" t="s">
        <v>125</v>
      </c>
      <c r="DE466">
        <v>0</v>
      </c>
      <c r="DH466" t="s">
        <v>332</v>
      </c>
      <c r="DI466" t="s">
        <v>615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0</v>
      </c>
      <c r="DQ466" t="s">
        <v>126</v>
      </c>
    </row>
    <row r="467" spans="1:121" x14ac:dyDescent="0.15">
      <c r="A467">
        <v>2018</v>
      </c>
      <c r="B467" t="s">
        <v>197</v>
      </c>
      <c r="C467" t="str">
        <f t="shared" si="13"/>
        <v>0570011</v>
      </c>
      <c r="D467" t="s">
        <v>620</v>
      </c>
      <c r="E467" t="str">
        <f>"0575311"</f>
        <v>0575311</v>
      </c>
      <c r="F467" t="s">
        <v>328</v>
      </c>
      <c r="G467">
        <v>6</v>
      </c>
      <c r="H467">
        <v>8</v>
      </c>
      <c r="I467" t="s">
        <v>330</v>
      </c>
      <c r="J467" t="s">
        <v>331</v>
      </c>
      <c r="K467">
        <v>789.15130699999997</v>
      </c>
      <c r="L467">
        <v>1000</v>
      </c>
      <c r="M467">
        <v>78.915131000000002</v>
      </c>
      <c r="N467">
        <v>2</v>
      </c>
      <c r="O467">
        <v>0</v>
      </c>
      <c r="P467">
        <v>77.492504999999994</v>
      </c>
      <c r="Q467">
        <v>50</v>
      </c>
      <c r="R467">
        <v>50</v>
      </c>
      <c r="S467">
        <v>68.383695000000003</v>
      </c>
      <c r="T467">
        <v>75</v>
      </c>
      <c r="U467">
        <v>45.589129999999997</v>
      </c>
      <c r="V467">
        <v>50</v>
      </c>
      <c r="W467">
        <v>71.387056000000001</v>
      </c>
      <c r="X467">
        <v>47.591371000000002</v>
      </c>
      <c r="Y467">
        <v>50</v>
      </c>
      <c r="Z467">
        <v>75</v>
      </c>
      <c r="AA467">
        <v>61.117561000000002</v>
      </c>
      <c r="AB467">
        <v>40.745041000000001</v>
      </c>
      <c r="AC467">
        <v>50</v>
      </c>
      <c r="AD467">
        <v>71.197390999999996</v>
      </c>
      <c r="AE467">
        <v>47.464927000000003</v>
      </c>
      <c r="AF467">
        <v>50</v>
      </c>
      <c r="AG467">
        <v>63.486378000000002</v>
      </c>
      <c r="AH467">
        <v>75</v>
      </c>
      <c r="AI467">
        <v>42.324252000000001</v>
      </c>
      <c r="AJ467">
        <v>50</v>
      </c>
      <c r="AK467">
        <v>6.61</v>
      </c>
      <c r="AL467">
        <v>13.88</v>
      </c>
      <c r="AM467">
        <v>11.51</v>
      </c>
      <c r="AN467">
        <v>0.66183000000000003</v>
      </c>
      <c r="AO467">
        <v>66.183002999999999</v>
      </c>
      <c r="AP467">
        <v>100</v>
      </c>
      <c r="AQ467">
        <v>0.72099899999999995</v>
      </c>
      <c r="AR467">
        <v>72.099911000000006</v>
      </c>
      <c r="AS467">
        <v>100</v>
      </c>
      <c r="AT467">
        <v>0.62051900000000004</v>
      </c>
      <c r="AU467">
        <v>0.70214399999999999</v>
      </c>
      <c r="AV467">
        <v>62.051867999999999</v>
      </c>
      <c r="AW467">
        <v>100</v>
      </c>
      <c r="AX467">
        <v>0.64334199999999997</v>
      </c>
      <c r="AY467">
        <v>0.79678199999999999</v>
      </c>
      <c r="AZ467">
        <v>64.334168000000005</v>
      </c>
      <c r="BA467">
        <v>100</v>
      </c>
      <c r="BB467">
        <v>0.706426</v>
      </c>
      <c r="BC467">
        <v>35.321275</v>
      </c>
      <c r="BD467">
        <v>50</v>
      </c>
      <c r="BE467">
        <v>0.67687399999999998</v>
      </c>
      <c r="BF467">
        <v>33.843685000000001</v>
      </c>
      <c r="BG467">
        <v>50</v>
      </c>
      <c r="BH467">
        <v>0</v>
      </c>
      <c r="BI467">
        <v>0.99372099999999997</v>
      </c>
      <c r="BJ467">
        <v>0.99382700000000002</v>
      </c>
      <c r="BK467">
        <v>0.99360999999999999</v>
      </c>
      <c r="BL467">
        <v>0.99058100000000004</v>
      </c>
      <c r="BM467">
        <v>0.98765400000000003</v>
      </c>
      <c r="BN467">
        <v>0.99360999999999999</v>
      </c>
      <c r="BO467">
        <v>1</v>
      </c>
      <c r="BP467">
        <v>1</v>
      </c>
      <c r="BQ467">
        <v>1</v>
      </c>
      <c r="BR467">
        <v>5.9748000000000002E-2</v>
      </c>
      <c r="BS467">
        <v>48.050314</v>
      </c>
      <c r="BT467">
        <v>50</v>
      </c>
      <c r="BU467">
        <v>7.3482000000000006E-2</v>
      </c>
      <c r="BV467">
        <v>45.303514</v>
      </c>
      <c r="BW467">
        <v>50</v>
      </c>
      <c r="BX467" t="s">
        <v>125</v>
      </c>
      <c r="BY467" t="s">
        <v>125</v>
      </c>
      <c r="BZ467" t="s">
        <v>125</v>
      </c>
      <c r="CA467" t="s">
        <v>125</v>
      </c>
      <c r="CB467" t="s">
        <v>125</v>
      </c>
      <c r="CC467" t="s">
        <v>125</v>
      </c>
      <c r="CD467">
        <v>0.96045199999999997</v>
      </c>
      <c r="CE467">
        <v>50</v>
      </c>
      <c r="CF467">
        <v>50</v>
      </c>
      <c r="CG467" t="s">
        <v>125</v>
      </c>
      <c r="CH467" t="s">
        <v>125</v>
      </c>
      <c r="CI467" t="s">
        <v>125</v>
      </c>
      <c r="CJ467" t="s">
        <v>125</v>
      </c>
      <c r="CK467" t="s">
        <v>125</v>
      </c>
      <c r="CL467" t="s">
        <v>125</v>
      </c>
      <c r="CM467" t="s">
        <v>125</v>
      </c>
      <c r="CN467" t="s">
        <v>125</v>
      </c>
      <c r="CO467" t="s">
        <v>125</v>
      </c>
      <c r="CP467" t="s">
        <v>125</v>
      </c>
      <c r="CQ467">
        <v>0.57373300000000005</v>
      </c>
      <c r="CR467">
        <v>0.99770099999999995</v>
      </c>
      <c r="CS467">
        <v>38.248848000000002</v>
      </c>
      <c r="CT467">
        <v>50</v>
      </c>
      <c r="CU467" t="s">
        <v>125</v>
      </c>
      <c r="CV467" t="s">
        <v>125</v>
      </c>
      <c r="CW467" t="s">
        <v>125</v>
      </c>
      <c r="CX467" t="s">
        <v>125</v>
      </c>
      <c r="CY467" t="s">
        <v>125</v>
      </c>
      <c r="CZ467" t="s">
        <v>125</v>
      </c>
      <c r="DA467">
        <v>15.314097</v>
      </c>
      <c r="DB467">
        <v>17.400950000000002</v>
      </c>
      <c r="DC467">
        <v>16.332519999999999</v>
      </c>
      <c r="DD467" t="s">
        <v>125</v>
      </c>
      <c r="DE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Q467" t="s">
        <v>126</v>
      </c>
    </row>
    <row r="468" spans="1:121" x14ac:dyDescent="0.15">
      <c r="A468">
        <v>2018</v>
      </c>
      <c r="B468" t="s">
        <v>199</v>
      </c>
      <c r="C468" t="str">
        <f>"0580011"</f>
        <v>0580011</v>
      </c>
      <c r="D468" t="s">
        <v>621</v>
      </c>
      <c r="E468" t="str">
        <f>"0580111"</f>
        <v>0580111</v>
      </c>
      <c r="F468" t="s">
        <v>328</v>
      </c>
      <c r="G468">
        <v>7</v>
      </c>
      <c r="H468">
        <v>12</v>
      </c>
      <c r="J468" t="s">
        <v>331</v>
      </c>
      <c r="K468">
        <v>0</v>
      </c>
      <c r="L468">
        <v>0</v>
      </c>
      <c r="M468">
        <v>0</v>
      </c>
      <c r="N468" t="s">
        <v>125</v>
      </c>
      <c r="O468" t="s">
        <v>125</v>
      </c>
      <c r="P468" t="s">
        <v>125</v>
      </c>
      <c r="Q468" t="s">
        <v>125</v>
      </c>
      <c r="R468" t="s">
        <v>125</v>
      </c>
      <c r="S468" t="s">
        <v>125</v>
      </c>
      <c r="T468" t="s">
        <v>125</v>
      </c>
      <c r="U468" t="s">
        <v>125</v>
      </c>
      <c r="V468" t="s">
        <v>125</v>
      </c>
      <c r="W468" t="s">
        <v>125</v>
      </c>
      <c r="X468" t="s">
        <v>125</v>
      </c>
      <c r="Y468" t="s">
        <v>125</v>
      </c>
      <c r="Z468" t="s">
        <v>125</v>
      </c>
      <c r="AA468" t="s">
        <v>125</v>
      </c>
      <c r="AB468" t="s">
        <v>125</v>
      </c>
      <c r="AC468" t="s">
        <v>125</v>
      </c>
      <c r="AD468" t="s">
        <v>125</v>
      </c>
      <c r="AE468" t="s">
        <v>125</v>
      </c>
      <c r="AF468" t="s">
        <v>125</v>
      </c>
      <c r="AG468" t="s">
        <v>125</v>
      </c>
      <c r="AH468" t="s">
        <v>125</v>
      </c>
      <c r="AI468" t="s">
        <v>125</v>
      </c>
      <c r="AJ468" t="s">
        <v>125</v>
      </c>
      <c r="AK468" t="s">
        <v>125</v>
      </c>
      <c r="AL468" t="s">
        <v>125</v>
      </c>
      <c r="AM468" t="s">
        <v>125</v>
      </c>
      <c r="AN468" t="s">
        <v>125</v>
      </c>
      <c r="AO468" t="s">
        <v>125</v>
      </c>
      <c r="AP468" t="s">
        <v>125</v>
      </c>
      <c r="AQ468" t="s">
        <v>125</v>
      </c>
      <c r="AR468" t="s">
        <v>125</v>
      </c>
      <c r="AS468" t="s">
        <v>125</v>
      </c>
      <c r="AT468" t="s">
        <v>125</v>
      </c>
      <c r="AU468" t="s">
        <v>125</v>
      </c>
      <c r="AV468" t="s">
        <v>125</v>
      </c>
      <c r="AW468" t="s">
        <v>125</v>
      </c>
      <c r="AX468" t="s">
        <v>125</v>
      </c>
      <c r="AY468" t="s">
        <v>125</v>
      </c>
      <c r="AZ468" t="s">
        <v>125</v>
      </c>
      <c r="BA468" t="s">
        <v>125</v>
      </c>
      <c r="BB468" t="s">
        <v>125</v>
      </c>
      <c r="BC468" t="s">
        <v>125</v>
      </c>
      <c r="BD468" t="s">
        <v>125</v>
      </c>
      <c r="BE468" t="s">
        <v>125</v>
      </c>
      <c r="BF468" t="s">
        <v>125</v>
      </c>
      <c r="BG468" t="s">
        <v>125</v>
      </c>
      <c r="BH468">
        <v>0</v>
      </c>
      <c r="BI468" t="s">
        <v>125</v>
      </c>
      <c r="BJ468" t="s">
        <v>125</v>
      </c>
      <c r="BK468" t="s">
        <v>125</v>
      </c>
      <c r="BL468" t="s">
        <v>125</v>
      </c>
      <c r="BM468" t="s">
        <v>125</v>
      </c>
      <c r="BN468" t="s">
        <v>125</v>
      </c>
      <c r="BO468" t="s">
        <v>125</v>
      </c>
      <c r="BP468" t="s">
        <v>125</v>
      </c>
      <c r="BQ468" t="s">
        <v>125</v>
      </c>
      <c r="BR468" t="s">
        <v>125</v>
      </c>
      <c r="BS468" t="s">
        <v>125</v>
      </c>
      <c r="BT468" t="s">
        <v>125</v>
      </c>
      <c r="BU468" t="s">
        <v>125</v>
      </c>
      <c r="BV468" t="s">
        <v>125</v>
      </c>
      <c r="BW468" t="s">
        <v>125</v>
      </c>
      <c r="BX468" t="s">
        <v>125</v>
      </c>
      <c r="BY468" t="s">
        <v>125</v>
      </c>
      <c r="BZ468" t="s">
        <v>125</v>
      </c>
      <c r="CA468" t="s">
        <v>125</v>
      </c>
      <c r="CB468" t="s">
        <v>125</v>
      </c>
      <c r="CC468" t="s">
        <v>125</v>
      </c>
      <c r="CD468" t="s">
        <v>125</v>
      </c>
      <c r="CE468" t="s">
        <v>125</v>
      </c>
      <c r="CF468" t="s">
        <v>125</v>
      </c>
      <c r="CG468" t="s">
        <v>125</v>
      </c>
      <c r="CH468" t="s">
        <v>125</v>
      </c>
      <c r="CI468" t="s">
        <v>125</v>
      </c>
      <c r="CJ468" t="s">
        <v>125</v>
      </c>
      <c r="CK468" t="s">
        <v>125</v>
      </c>
      <c r="CL468" t="s">
        <v>125</v>
      </c>
      <c r="CM468" t="s">
        <v>125</v>
      </c>
      <c r="CN468" t="s">
        <v>125</v>
      </c>
      <c r="CO468" t="s">
        <v>125</v>
      </c>
      <c r="CP468" t="s">
        <v>125</v>
      </c>
      <c r="CQ468" t="s">
        <v>125</v>
      </c>
      <c r="CR468" t="s">
        <v>125</v>
      </c>
      <c r="CS468" t="s">
        <v>125</v>
      </c>
      <c r="CT468" t="s">
        <v>125</v>
      </c>
      <c r="CU468" t="s">
        <v>125</v>
      </c>
      <c r="CV468" t="s">
        <v>125</v>
      </c>
      <c r="CW468" t="s">
        <v>125</v>
      </c>
      <c r="CX468" t="s">
        <v>125</v>
      </c>
      <c r="CY468" t="s">
        <v>125</v>
      </c>
      <c r="CZ468" t="s">
        <v>125</v>
      </c>
      <c r="DA468" t="s">
        <v>125</v>
      </c>
      <c r="DB468" t="s">
        <v>125</v>
      </c>
      <c r="DC468" t="s">
        <v>125</v>
      </c>
      <c r="DD468" t="s">
        <v>125</v>
      </c>
      <c r="DE468" t="s">
        <v>125</v>
      </c>
      <c r="DJ468" t="s">
        <v>125</v>
      </c>
      <c r="DK468" t="s">
        <v>125</v>
      </c>
      <c r="DL468" t="s">
        <v>125</v>
      </c>
      <c r="DM468" t="s">
        <v>125</v>
      </c>
      <c r="DN468" t="s">
        <v>125</v>
      </c>
      <c r="DO468" t="s">
        <v>125</v>
      </c>
      <c r="DQ468" t="s">
        <v>126</v>
      </c>
    </row>
    <row r="469" spans="1:121" x14ac:dyDescent="0.15">
      <c r="A469">
        <v>2018</v>
      </c>
      <c r="B469" t="s">
        <v>199</v>
      </c>
      <c r="C469" t="str">
        <f>"0580011"</f>
        <v>0580011</v>
      </c>
      <c r="D469" t="s">
        <v>622</v>
      </c>
      <c r="E469" t="str">
        <f>"0580311"</f>
        <v>0580311</v>
      </c>
      <c r="F469" t="s">
        <v>328</v>
      </c>
      <c r="G469" t="s">
        <v>329</v>
      </c>
      <c r="H469">
        <v>4</v>
      </c>
      <c r="I469" t="s">
        <v>330</v>
      </c>
      <c r="J469" t="s">
        <v>331</v>
      </c>
      <c r="K469">
        <v>496.60823399999998</v>
      </c>
      <c r="L469">
        <v>750</v>
      </c>
      <c r="M469">
        <v>66.214431000000005</v>
      </c>
      <c r="N469">
        <v>3</v>
      </c>
      <c r="O469">
        <v>0</v>
      </c>
      <c r="P469">
        <v>67.993913000000006</v>
      </c>
      <c r="Q469">
        <v>45.329275000000003</v>
      </c>
      <c r="R469">
        <v>50</v>
      </c>
      <c r="S469">
        <v>62.143689999999999</v>
      </c>
      <c r="T469">
        <v>75</v>
      </c>
      <c r="U469">
        <v>41.429127000000001</v>
      </c>
      <c r="V469">
        <v>50</v>
      </c>
      <c r="W469">
        <v>66.017950999999996</v>
      </c>
      <c r="X469">
        <v>44.011966999999999</v>
      </c>
      <c r="Y469">
        <v>50</v>
      </c>
      <c r="Z469">
        <v>74.200372999999999</v>
      </c>
      <c r="AA469">
        <v>59.681187999999999</v>
      </c>
      <c r="AB469">
        <v>39.787458999999998</v>
      </c>
      <c r="AC469">
        <v>50</v>
      </c>
      <c r="AD469" t="s">
        <v>125</v>
      </c>
      <c r="AE469" t="s">
        <v>125</v>
      </c>
      <c r="AF469" t="s">
        <v>125</v>
      </c>
      <c r="AG469" t="s">
        <v>125</v>
      </c>
      <c r="AH469" t="s">
        <v>125</v>
      </c>
      <c r="AI469" t="s">
        <v>125</v>
      </c>
      <c r="AJ469" t="s">
        <v>125</v>
      </c>
      <c r="AK469">
        <v>12.85</v>
      </c>
      <c r="AL469">
        <v>14.51</v>
      </c>
      <c r="AM469" t="s">
        <v>125</v>
      </c>
      <c r="AN469">
        <v>0.46919100000000002</v>
      </c>
      <c r="AO469">
        <v>46.919057000000002</v>
      </c>
      <c r="AP469">
        <v>100</v>
      </c>
      <c r="AQ469">
        <v>0.57116599999999995</v>
      </c>
      <c r="AR469">
        <v>57.116639999999997</v>
      </c>
      <c r="AS469">
        <v>100</v>
      </c>
      <c r="AT469">
        <v>0.39901599999999998</v>
      </c>
      <c r="AU469">
        <v>0.542933</v>
      </c>
      <c r="AV469">
        <v>39.901598999999997</v>
      </c>
      <c r="AW469">
        <v>100</v>
      </c>
      <c r="AX469">
        <v>0.53137000000000001</v>
      </c>
      <c r="AY469">
        <v>0.61298600000000003</v>
      </c>
      <c r="AZ469">
        <v>53.137039000000001</v>
      </c>
      <c r="BA469">
        <v>100</v>
      </c>
      <c r="BB469" t="s">
        <v>125</v>
      </c>
      <c r="BC469" t="s">
        <v>125</v>
      </c>
      <c r="BD469" t="s">
        <v>125</v>
      </c>
      <c r="BE469" t="s">
        <v>125</v>
      </c>
      <c r="BF469" t="s">
        <v>125</v>
      </c>
      <c r="BG469" t="s">
        <v>125</v>
      </c>
      <c r="BH469">
        <v>0</v>
      </c>
      <c r="BI469">
        <v>0.99591799999999997</v>
      </c>
      <c r="BJ469">
        <v>0.99280599999999997</v>
      </c>
      <c r="BK469">
        <v>1</v>
      </c>
      <c r="BL469">
        <v>0.99591799999999997</v>
      </c>
      <c r="BM469">
        <v>0.99280599999999997</v>
      </c>
      <c r="BN469">
        <v>1</v>
      </c>
      <c r="BO469" t="s">
        <v>125</v>
      </c>
      <c r="BP469" t="s">
        <v>125</v>
      </c>
      <c r="BQ469" t="s">
        <v>125</v>
      </c>
      <c r="BR469">
        <v>7.1786000000000003E-2</v>
      </c>
      <c r="BS469">
        <v>45.642738000000001</v>
      </c>
      <c r="BT469">
        <v>50</v>
      </c>
      <c r="BU469">
        <v>8.3333000000000004E-2</v>
      </c>
      <c r="BV469">
        <v>43.333333000000003</v>
      </c>
      <c r="BW469">
        <v>50</v>
      </c>
      <c r="BX469" t="s">
        <v>125</v>
      </c>
      <c r="BY469" t="s">
        <v>125</v>
      </c>
      <c r="BZ469" t="s">
        <v>125</v>
      </c>
      <c r="CA469" t="s">
        <v>125</v>
      </c>
      <c r="CB469" t="s">
        <v>125</v>
      </c>
      <c r="CC469" t="s">
        <v>125</v>
      </c>
      <c r="CD469" t="s">
        <v>125</v>
      </c>
      <c r="CE469" t="s">
        <v>125</v>
      </c>
      <c r="CF469" t="s">
        <v>125</v>
      </c>
      <c r="CG469" t="s">
        <v>125</v>
      </c>
      <c r="CH469" t="s">
        <v>125</v>
      </c>
      <c r="CI469" t="s">
        <v>125</v>
      </c>
      <c r="CJ469" t="s">
        <v>125</v>
      </c>
      <c r="CK469" t="s">
        <v>125</v>
      </c>
      <c r="CL469" t="s">
        <v>125</v>
      </c>
      <c r="CM469" t="s">
        <v>125</v>
      </c>
      <c r="CN469" t="s">
        <v>125</v>
      </c>
      <c r="CO469" t="s">
        <v>125</v>
      </c>
      <c r="CP469" t="s">
        <v>125</v>
      </c>
      <c r="CQ469">
        <v>0.6</v>
      </c>
      <c r="CR469">
        <v>0.961538</v>
      </c>
      <c r="CS469">
        <v>40</v>
      </c>
      <c r="CT469">
        <v>50</v>
      </c>
      <c r="CU469" t="s">
        <v>125</v>
      </c>
      <c r="CV469" t="s">
        <v>125</v>
      </c>
      <c r="CW469" t="s">
        <v>125</v>
      </c>
      <c r="CX469" t="s">
        <v>125</v>
      </c>
      <c r="CY469" t="s">
        <v>125</v>
      </c>
      <c r="CZ469" t="s">
        <v>125</v>
      </c>
      <c r="DA469">
        <v>15.314097</v>
      </c>
      <c r="DB469">
        <v>17.400950000000002</v>
      </c>
      <c r="DC469">
        <v>16.332519999999999</v>
      </c>
      <c r="DD469" t="s">
        <v>125</v>
      </c>
      <c r="DE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Q469" t="s">
        <v>126</v>
      </c>
    </row>
    <row r="470" spans="1:121" x14ac:dyDescent="0.15">
      <c r="A470">
        <v>2018</v>
      </c>
      <c r="B470" t="s">
        <v>199</v>
      </c>
      <c r="C470" t="str">
        <f>"0580011"</f>
        <v>0580011</v>
      </c>
      <c r="D470" t="s">
        <v>623</v>
      </c>
      <c r="E470" t="str">
        <f>"0586211"</f>
        <v>0586211</v>
      </c>
      <c r="F470" t="s">
        <v>328</v>
      </c>
      <c r="G470">
        <v>9</v>
      </c>
      <c r="H470">
        <v>12</v>
      </c>
      <c r="I470" t="s">
        <v>330</v>
      </c>
      <c r="J470" t="s">
        <v>331</v>
      </c>
      <c r="K470">
        <v>1072.006545</v>
      </c>
      <c r="L470">
        <v>1450</v>
      </c>
      <c r="M470">
        <v>73.931486000000007</v>
      </c>
      <c r="N470">
        <v>3</v>
      </c>
      <c r="O470">
        <v>0</v>
      </c>
      <c r="P470">
        <v>54.193333000000003</v>
      </c>
      <c r="Q470">
        <v>108.386667</v>
      </c>
      <c r="R470">
        <v>150</v>
      </c>
      <c r="S470">
        <v>47.014124000000002</v>
      </c>
      <c r="T470">
        <v>60.611111000000001</v>
      </c>
      <c r="U470">
        <v>94.028249000000002</v>
      </c>
      <c r="V470">
        <v>150</v>
      </c>
      <c r="W470">
        <v>48.981777999999998</v>
      </c>
      <c r="X470">
        <v>97.963555999999997</v>
      </c>
      <c r="Y470">
        <v>150</v>
      </c>
      <c r="Z470">
        <v>54.666666999999997</v>
      </c>
      <c r="AA470">
        <v>42.622411</v>
      </c>
      <c r="AB470">
        <v>85.244821000000002</v>
      </c>
      <c r="AC470">
        <v>150</v>
      </c>
      <c r="AD470">
        <v>57.467047999999998</v>
      </c>
      <c r="AE470">
        <v>76.622730000000004</v>
      </c>
      <c r="AF470">
        <v>100</v>
      </c>
      <c r="AG470">
        <v>50.333075999999998</v>
      </c>
      <c r="AH470">
        <v>63.628205000000001</v>
      </c>
      <c r="AI470">
        <v>67.110767999999993</v>
      </c>
      <c r="AJ470">
        <v>100</v>
      </c>
      <c r="AK470">
        <v>13.59</v>
      </c>
      <c r="AL470">
        <v>12.04</v>
      </c>
      <c r="AM470">
        <v>13.29</v>
      </c>
      <c r="AN470" t="s">
        <v>125</v>
      </c>
      <c r="AO470" t="s">
        <v>125</v>
      </c>
      <c r="AP470" t="s">
        <v>125</v>
      </c>
      <c r="AQ470" t="s">
        <v>125</v>
      </c>
      <c r="AR470" t="s">
        <v>125</v>
      </c>
      <c r="AS470" t="s">
        <v>125</v>
      </c>
      <c r="AT470" t="s">
        <v>125</v>
      </c>
      <c r="AU470" t="s">
        <v>125</v>
      </c>
      <c r="AV470" t="s">
        <v>125</v>
      </c>
      <c r="AW470" t="s">
        <v>125</v>
      </c>
      <c r="AX470" t="s">
        <v>125</v>
      </c>
      <c r="AY470" t="s">
        <v>125</v>
      </c>
      <c r="AZ470" t="s">
        <v>125</v>
      </c>
      <c r="BA470" t="s">
        <v>125</v>
      </c>
      <c r="BB470" t="s">
        <v>125</v>
      </c>
      <c r="BC470" t="s">
        <v>125</v>
      </c>
      <c r="BD470" t="s">
        <v>125</v>
      </c>
      <c r="BE470" t="s">
        <v>125</v>
      </c>
      <c r="BF470" t="s">
        <v>125</v>
      </c>
      <c r="BG470" t="s">
        <v>125</v>
      </c>
      <c r="BH470">
        <v>0</v>
      </c>
      <c r="BI470">
        <v>0.99218799999999996</v>
      </c>
      <c r="BJ470">
        <v>0.98387100000000005</v>
      </c>
      <c r="BK470">
        <v>1</v>
      </c>
      <c r="BL470">
        <v>0.99218799999999996</v>
      </c>
      <c r="BM470">
        <v>0.98387100000000005</v>
      </c>
      <c r="BN470">
        <v>1</v>
      </c>
      <c r="BO470">
        <v>0.98425200000000002</v>
      </c>
      <c r="BP470">
        <v>0.96721299999999999</v>
      </c>
      <c r="BQ470">
        <v>1</v>
      </c>
      <c r="BR470">
        <v>0.12670600000000001</v>
      </c>
      <c r="BS470">
        <v>34.658869000000003</v>
      </c>
      <c r="BT470">
        <v>50</v>
      </c>
      <c r="BU470">
        <v>0.18326700000000001</v>
      </c>
      <c r="BV470">
        <v>23.346613999999999</v>
      </c>
      <c r="BW470">
        <v>50</v>
      </c>
      <c r="BX470">
        <v>0.94736799999999999</v>
      </c>
      <c r="BY470">
        <v>50</v>
      </c>
      <c r="BZ470">
        <v>50</v>
      </c>
      <c r="CA470">
        <v>0.30364400000000002</v>
      </c>
      <c r="CB470">
        <v>20.242915</v>
      </c>
      <c r="CC470">
        <v>50</v>
      </c>
      <c r="CD470">
        <v>0.89583299999999999</v>
      </c>
      <c r="CE470">
        <v>47.650708999999999</v>
      </c>
      <c r="CF470">
        <v>50</v>
      </c>
      <c r="CG470">
        <v>0.90845100000000001</v>
      </c>
      <c r="CH470">
        <v>96.643692000000001</v>
      </c>
      <c r="CI470">
        <v>100</v>
      </c>
      <c r="CJ470">
        <v>1</v>
      </c>
      <c r="CK470">
        <v>0.85483900000000002</v>
      </c>
      <c r="CL470">
        <v>90.940287999999995</v>
      </c>
      <c r="CM470">
        <v>100</v>
      </c>
      <c r="CN470">
        <v>0.671875</v>
      </c>
      <c r="CO470">
        <v>89.583332999999996</v>
      </c>
      <c r="CP470">
        <v>100</v>
      </c>
      <c r="CQ470">
        <v>0.59375</v>
      </c>
      <c r="CR470">
        <v>0.97709900000000005</v>
      </c>
      <c r="CS470">
        <v>39.583333000000003</v>
      </c>
      <c r="CT470">
        <v>50</v>
      </c>
      <c r="CU470">
        <v>0.60623800000000005</v>
      </c>
      <c r="CV470">
        <v>50</v>
      </c>
      <c r="CW470">
        <v>50</v>
      </c>
      <c r="CX470">
        <v>0.85483900000000002</v>
      </c>
      <c r="CY470">
        <v>0.94</v>
      </c>
      <c r="CZ470">
        <v>8.5161000000000001E-2</v>
      </c>
      <c r="DA470">
        <v>15.314097</v>
      </c>
      <c r="DB470">
        <v>17.400950000000002</v>
      </c>
      <c r="DC470">
        <v>16.332519999999999</v>
      </c>
      <c r="DD470">
        <v>7.9891730000000001</v>
      </c>
      <c r="DE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Q470" t="s">
        <v>126</v>
      </c>
    </row>
    <row r="471" spans="1:121" x14ac:dyDescent="0.15">
      <c r="A471">
        <v>2018</v>
      </c>
      <c r="B471" t="s">
        <v>199</v>
      </c>
      <c r="C471" t="str">
        <f>"0580011"</f>
        <v>0580011</v>
      </c>
      <c r="D471" t="s">
        <v>624</v>
      </c>
      <c r="E471" t="str">
        <f>"0585111"</f>
        <v>0585111</v>
      </c>
      <c r="F471" t="s">
        <v>328</v>
      </c>
      <c r="G471">
        <v>5</v>
      </c>
      <c r="H471">
        <v>8</v>
      </c>
      <c r="I471" t="s">
        <v>330</v>
      </c>
      <c r="J471" t="s">
        <v>331</v>
      </c>
      <c r="K471">
        <v>669.691688</v>
      </c>
      <c r="L471">
        <v>900</v>
      </c>
      <c r="M471">
        <v>74.410188000000005</v>
      </c>
      <c r="N471">
        <v>2</v>
      </c>
      <c r="O471">
        <v>0</v>
      </c>
      <c r="P471">
        <v>69.559555000000003</v>
      </c>
      <c r="Q471">
        <v>46.373036999999997</v>
      </c>
      <c r="R471">
        <v>50</v>
      </c>
      <c r="S471">
        <v>62.58343</v>
      </c>
      <c r="T471">
        <v>75</v>
      </c>
      <c r="U471">
        <v>41.722285999999997</v>
      </c>
      <c r="V471">
        <v>50</v>
      </c>
      <c r="W471">
        <v>68.433374000000001</v>
      </c>
      <c r="X471">
        <v>45.622250000000001</v>
      </c>
      <c r="Y471">
        <v>50</v>
      </c>
      <c r="Z471">
        <v>75</v>
      </c>
      <c r="AA471">
        <v>60.817926</v>
      </c>
      <c r="AB471">
        <v>40.545284000000002</v>
      </c>
      <c r="AC471">
        <v>50</v>
      </c>
      <c r="AD471">
        <v>69.548687000000001</v>
      </c>
      <c r="AE471">
        <v>46.365791999999999</v>
      </c>
      <c r="AF471">
        <v>50</v>
      </c>
      <c r="AG471">
        <v>60.864682000000002</v>
      </c>
      <c r="AH471">
        <v>75</v>
      </c>
      <c r="AI471">
        <v>40.576455000000003</v>
      </c>
      <c r="AJ471">
        <v>50</v>
      </c>
      <c r="AK471">
        <v>12.41</v>
      </c>
      <c r="AL471">
        <v>14.18</v>
      </c>
      <c r="AM471">
        <v>14.13</v>
      </c>
      <c r="AN471">
        <v>0.59665999999999997</v>
      </c>
      <c r="AO471">
        <v>59.666038999999998</v>
      </c>
      <c r="AP471">
        <v>100</v>
      </c>
      <c r="AQ471">
        <v>0.63847900000000002</v>
      </c>
      <c r="AR471">
        <v>63.847907999999997</v>
      </c>
      <c r="AS471">
        <v>100</v>
      </c>
      <c r="AT471">
        <v>0.59668699999999997</v>
      </c>
      <c r="AU471">
        <v>0.59663600000000006</v>
      </c>
      <c r="AV471">
        <v>59.668678999999997</v>
      </c>
      <c r="AW471">
        <v>100</v>
      </c>
      <c r="AX471">
        <v>0.64504499999999998</v>
      </c>
      <c r="AY471">
        <v>0.63231700000000002</v>
      </c>
      <c r="AZ471">
        <v>64.504507000000004</v>
      </c>
      <c r="BA471">
        <v>100</v>
      </c>
      <c r="BB471" t="s">
        <v>125</v>
      </c>
      <c r="BC471" t="s">
        <v>125</v>
      </c>
      <c r="BD471" t="s">
        <v>125</v>
      </c>
      <c r="BE471" t="s">
        <v>125</v>
      </c>
      <c r="BF471" t="s">
        <v>125</v>
      </c>
      <c r="BG471" t="s">
        <v>125</v>
      </c>
      <c r="BH471">
        <v>0</v>
      </c>
      <c r="BI471">
        <v>0.99256500000000003</v>
      </c>
      <c r="BJ471">
        <v>0.98884799999999995</v>
      </c>
      <c r="BK471">
        <v>0.99628300000000003</v>
      </c>
      <c r="BL471">
        <v>0.99256500000000003</v>
      </c>
      <c r="BM471">
        <v>0.98884799999999995</v>
      </c>
      <c r="BN471">
        <v>0.99628300000000003</v>
      </c>
      <c r="BO471">
        <v>0.992537</v>
      </c>
      <c r="BP471">
        <v>0.98657700000000004</v>
      </c>
      <c r="BQ471">
        <v>1</v>
      </c>
      <c r="BR471">
        <v>9.6834000000000003E-2</v>
      </c>
      <c r="BS471">
        <v>40.633147000000001</v>
      </c>
      <c r="BT471">
        <v>50</v>
      </c>
      <c r="BU471">
        <v>0.153558</v>
      </c>
      <c r="BV471">
        <v>29.28839</v>
      </c>
      <c r="BW471">
        <v>50</v>
      </c>
      <c r="BX471" t="s">
        <v>125</v>
      </c>
      <c r="BY471" t="s">
        <v>125</v>
      </c>
      <c r="BZ471" t="s">
        <v>125</v>
      </c>
      <c r="CA471" t="s">
        <v>125</v>
      </c>
      <c r="CB471" t="s">
        <v>125</v>
      </c>
      <c r="CC471" t="s">
        <v>125</v>
      </c>
      <c r="CD471">
        <v>0.94354800000000005</v>
      </c>
      <c r="CE471">
        <v>50</v>
      </c>
      <c r="CF471">
        <v>50</v>
      </c>
      <c r="CG471" t="s">
        <v>125</v>
      </c>
      <c r="CH471" t="s">
        <v>125</v>
      </c>
      <c r="CI471" t="s">
        <v>125</v>
      </c>
      <c r="CJ471" t="s">
        <v>125</v>
      </c>
      <c r="CK471" t="s">
        <v>125</v>
      </c>
      <c r="CL471" t="s">
        <v>125</v>
      </c>
      <c r="CM471" t="s">
        <v>125</v>
      </c>
      <c r="CN471" t="s">
        <v>125</v>
      </c>
      <c r="CO471" t="s">
        <v>125</v>
      </c>
      <c r="CP471" t="s">
        <v>125</v>
      </c>
      <c r="CQ471">
        <v>0.61316899999999996</v>
      </c>
      <c r="CR471">
        <v>0.97590399999999999</v>
      </c>
      <c r="CS471">
        <v>40.877915000000002</v>
      </c>
      <c r="CT471">
        <v>50</v>
      </c>
      <c r="CU471" t="s">
        <v>125</v>
      </c>
      <c r="CV471" t="s">
        <v>125</v>
      </c>
      <c r="CW471" t="s">
        <v>125</v>
      </c>
      <c r="CX471" t="s">
        <v>125</v>
      </c>
      <c r="CY471" t="s">
        <v>125</v>
      </c>
      <c r="CZ471" t="s">
        <v>125</v>
      </c>
      <c r="DA471">
        <v>15.314097</v>
      </c>
      <c r="DB471">
        <v>17.400950000000002</v>
      </c>
      <c r="DC471">
        <v>16.332519999999999</v>
      </c>
      <c r="DD471" t="s">
        <v>125</v>
      </c>
      <c r="DE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Q471" t="s">
        <v>126</v>
      </c>
    </row>
    <row r="472" spans="1:121" x14ac:dyDescent="0.15">
      <c r="A472">
        <v>2018</v>
      </c>
      <c r="B472" t="s">
        <v>182</v>
      </c>
      <c r="C472" t="str">
        <f t="shared" ref="C472:C480" si="14">"0590011"</f>
        <v>0590011</v>
      </c>
      <c r="D472" t="s">
        <v>625</v>
      </c>
      <c r="E472" t="str">
        <f>"0595311"</f>
        <v>0595311</v>
      </c>
      <c r="F472" t="s">
        <v>328</v>
      </c>
      <c r="G472">
        <v>6</v>
      </c>
      <c r="H472">
        <v>8</v>
      </c>
      <c r="J472" t="s">
        <v>331</v>
      </c>
      <c r="K472">
        <v>609.44465300000002</v>
      </c>
      <c r="L472">
        <v>900</v>
      </c>
      <c r="M472">
        <v>67.716072999999994</v>
      </c>
      <c r="N472">
        <v>3</v>
      </c>
      <c r="O472">
        <v>1</v>
      </c>
      <c r="P472">
        <v>70.343879999999999</v>
      </c>
      <c r="Q472">
        <v>46.895919999999997</v>
      </c>
      <c r="R472">
        <v>50</v>
      </c>
      <c r="S472">
        <v>59.079979000000002</v>
      </c>
      <c r="T472">
        <v>75</v>
      </c>
      <c r="U472">
        <v>39.386653000000003</v>
      </c>
      <c r="V472">
        <v>50</v>
      </c>
      <c r="W472">
        <v>63.319206000000001</v>
      </c>
      <c r="X472">
        <v>42.212803999999998</v>
      </c>
      <c r="Y472">
        <v>50</v>
      </c>
      <c r="Z472">
        <v>73.592185999999998</v>
      </c>
      <c r="AA472">
        <v>52.201262999999997</v>
      </c>
      <c r="AB472">
        <v>34.800842000000003</v>
      </c>
      <c r="AC472">
        <v>50</v>
      </c>
      <c r="AD472">
        <v>62.746558</v>
      </c>
      <c r="AE472">
        <v>41.831038999999997</v>
      </c>
      <c r="AF472">
        <v>50</v>
      </c>
      <c r="AG472">
        <v>53.924126000000001</v>
      </c>
      <c r="AH472">
        <v>71.206423999999998</v>
      </c>
      <c r="AI472">
        <v>35.949416999999997</v>
      </c>
      <c r="AJ472">
        <v>50</v>
      </c>
      <c r="AK472">
        <v>15.92</v>
      </c>
      <c r="AL472">
        <v>21.39</v>
      </c>
      <c r="AM472">
        <v>17.28</v>
      </c>
      <c r="AN472">
        <v>0.49902099999999999</v>
      </c>
      <c r="AO472">
        <v>49.902107999999998</v>
      </c>
      <c r="AP472">
        <v>100</v>
      </c>
      <c r="AQ472">
        <v>0.55530000000000002</v>
      </c>
      <c r="AR472">
        <v>55.529972999999998</v>
      </c>
      <c r="AS472">
        <v>100</v>
      </c>
      <c r="AT472">
        <v>0.45436500000000002</v>
      </c>
      <c r="AU472">
        <v>0.53696100000000002</v>
      </c>
      <c r="AV472">
        <v>45.436506999999999</v>
      </c>
      <c r="AW472">
        <v>100</v>
      </c>
      <c r="AX472">
        <v>0.50410100000000002</v>
      </c>
      <c r="AY472">
        <v>0.59879800000000005</v>
      </c>
      <c r="AZ472">
        <v>50.410055</v>
      </c>
      <c r="BA472">
        <v>100</v>
      </c>
      <c r="BB472" t="s">
        <v>125</v>
      </c>
      <c r="BC472" t="s">
        <v>125</v>
      </c>
      <c r="BD472" t="s">
        <v>125</v>
      </c>
      <c r="BE472" t="s">
        <v>125</v>
      </c>
      <c r="BF472" t="s">
        <v>125</v>
      </c>
      <c r="BG472" t="s">
        <v>125</v>
      </c>
      <c r="BH472">
        <v>0</v>
      </c>
      <c r="BI472">
        <v>0.99796700000000005</v>
      </c>
      <c r="BJ472">
        <v>1</v>
      </c>
      <c r="BK472">
        <v>0.99603200000000003</v>
      </c>
      <c r="BL472">
        <v>0.99796700000000005</v>
      </c>
      <c r="BM472">
        <v>1</v>
      </c>
      <c r="BN472">
        <v>0.99603200000000003</v>
      </c>
      <c r="BO472">
        <v>0.99315100000000001</v>
      </c>
      <c r="BP472">
        <v>1</v>
      </c>
      <c r="BQ472">
        <v>0.98648599999999997</v>
      </c>
      <c r="BR472">
        <v>7.9268000000000005E-2</v>
      </c>
      <c r="BS472">
        <v>44.146341</v>
      </c>
      <c r="BT472">
        <v>50</v>
      </c>
      <c r="BU472">
        <v>0.10878699999999999</v>
      </c>
      <c r="BV472">
        <v>38.242677999999998</v>
      </c>
      <c r="BW472">
        <v>50</v>
      </c>
      <c r="BX472" t="s">
        <v>125</v>
      </c>
      <c r="BY472" t="s">
        <v>125</v>
      </c>
      <c r="BZ472" t="s">
        <v>125</v>
      </c>
      <c r="CA472" t="s">
        <v>125</v>
      </c>
      <c r="CB472" t="s">
        <v>125</v>
      </c>
      <c r="CC472" t="s">
        <v>125</v>
      </c>
      <c r="CD472">
        <v>0.97560999999999998</v>
      </c>
      <c r="CE472">
        <v>50</v>
      </c>
      <c r="CF472">
        <v>50</v>
      </c>
      <c r="CG472" t="s">
        <v>125</v>
      </c>
      <c r="CH472" t="s">
        <v>125</v>
      </c>
      <c r="CI472" t="s">
        <v>125</v>
      </c>
      <c r="CJ472" t="s">
        <v>125</v>
      </c>
      <c r="CK472" t="s">
        <v>125</v>
      </c>
      <c r="CL472" t="s">
        <v>125</v>
      </c>
      <c r="CM472" t="s">
        <v>125</v>
      </c>
      <c r="CN472" t="s">
        <v>125</v>
      </c>
      <c r="CO472" t="s">
        <v>125</v>
      </c>
      <c r="CP472" t="s">
        <v>125</v>
      </c>
      <c r="CQ472">
        <v>0.520505</v>
      </c>
      <c r="CR472">
        <v>0.95481899999999997</v>
      </c>
      <c r="CS472">
        <v>34.700315000000003</v>
      </c>
      <c r="CT472">
        <v>50</v>
      </c>
      <c r="CU472" t="s">
        <v>125</v>
      </c>
      <c r="CV472" t="s">
        <v>125</v>
      </c>
      <c r="CW472" t="s">
        <v>125</v>
      </c>
      <c r="CX472" t="s">
        <v>125</v>
      </c>
      <c r="CY472" t="s">
        <v>125</v>
      </c>
      <c r="CZ472" t="s">
        <v>125</v>
      </c>
      <c r="DA472">
        <v>15.314097</v>
      </c>
      <c r="DB472">
        <v>17.400950000000002</v>
      </c>
      <c r="DC472">
        <v>16.332519999999999</v>
      </c>
      <c r="DD472" t="s">
        <v>125</v>
      </c>
      <c r="DE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Q472" t="s">
        <v>126</v>
      </c>
    </row>
    <row r="473" spans="1:121" x14ac:dyDescent="0.15">
      <c r="A473">
        <v>2018</v>
      </c>
      <c r="B473" t="s">
        <v>182</v>
      </c>
      <c r="C473" t="str">
        <f t="shared" si="14"/>
        <v>0590011</v>
      </c>
      <c r="D473" t="s">
        <v>626</v>
      </c>
      <c r="E473" t="str">
        <f>"0592011"</f>
        <v>0592011</v>
      </c>
      <c r="F473" t="s">
        <v>328</v>
      </c>
      <c r="G473" t="s">
        <v>329</v>
      </c>
      <c r="H473">
        <v>5</v>
      </c>
      <c r="I473" t="s">
        <v>336</v>
      </c>
      <c r="J473" t="s">
        <v>331</v>
      </c>
      <c r="K473">
        <v>668.44656399999997</v>
      </c>
      <c r="L473">
        <v>950</v>
      </c>
      <c r="M473">
        <v>70.362796000000003</v>
      </c>
      <c r="N473">
        <v>2</v>
      </c>
      <c r="O473">
        <v>0</v>
      </c>
      <c r="P473">
        <v>71.510559999999998</v>
      </c>
      <c r="Q473">
        <v>47.673706000000003</v>
      </c>
      <c r="R473">
        <v>50</v>
      </c>
      <c r="S473">
        <v>66.403498999999996</v>
      </c>
      <c r="T473">
        <v>75</v>
      </c>
      <c r="U473">
        <v>44.268999000000001</v>
      </c>
      <c r="V473">
        <v>50</v>
      </c>
      <c r="W473">
        <v>62.928938000000002</v>
      </c>
      <c r="X473">
        <v>41.952624999999998</v>
      </c>
      <c r="Y473">
        <v>50</v>
      </c>
      <c r="Z473">
        <v>74.471943999999993</v>
      </c>
      <c r="AA473">
        <v>57.698512999999998</v>
      </c>
      <c r="AB473">
        <v>38.465674999999997</v>
      </c>
      <c r="AC473">
        <v>50</v>
      </c>
      <c r="AD473">
        <v>68.886823000000007</v>
      </c>
      <c r="AE473">
        <v>45.924548999999999</v>
      </c>
      <c r="AF473">
        <v>50</v>
      </c>
      <c r="AG473">
        <v>67.122281000000001</v>
      </c>
      <c r="AH473" t="s">
        <v>125</v>
      </c>
      <c r="AI473">
        <v>44.748187000000001</v>
      </c>
      <c r="AJ473">
        <v>50</v>
      </c>
      <c r="AK473">
        <v>8.59</v>
      </c>
      <c r="AL473">
        <v>16.77</v>
      </c>
      <c r="AM473" t="s">
        <v>125</v>
      </c>
      <c r="AN473">
        <v>0.67378700000000002</v>
      </c>
      <c r="AO473">
        <v>67.378742000000003</v>
      </c>
      <c r="AP473">
        <v>100</v>
      </c>
      <c r="AQ473">
        <v>0.61034200000000005</v>
      </c>
      <c r="AR473">
        <v>61.034165999999999</v>
      </c>
      <c r="AS473">
        <v>100</v>
      </c>
      <c r="AT473">
        <v>0.660327</v>
      </c>
      <c r="AU473">
        <v>0.70609200000000005</v>
      </c>
      <c r="AV473">
        <v>66.032713999999999</v>
      </c>
      <c r="AW473">
        <v>100</v>
      </c>
      <c r="AX473">
        <v>0.61353800000000003</v>
      </c>
      <c r="AY473">
        <v>0.60267000000000004</v>
      </c>
      <c r="AZ473">
        <v>61.353814</v>
      </c>
      <c r="BA473">
        <v>100</v>
      </c>
      <c r="BB473">
        <v>0.73030600000000001</v>
      </c>
      <c r="BC473">
        <v>36.515282999999997</v>
      </c>
      <c r="BD473">
        <v>50</v>
      </c>
      <c r="BE473">
        <v>0.57190399999999997</v>
      </c>
      <c r="BF473">
        <v>28.595175999999999</v>
      </c>
      <c r="BG473">
        <v>50</v>
      </c>
      <c r="BH473">
        <v>0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 t="s">
        <v>125</v>
      </c>
      <c r="BR473">
        <v>8.1840999999999997E-2</v>
      </c>
      <c r="BS473">
        <v>43.631714000000002</v>
      </c>
      <c r="BT473">
        <v>50</v>
      </c>
      <c r="BU473">
        <v>0.106061</v>
      </c>
      <c r="BV473">
        <v>38.787878999999997</v>
      </c>
      <c r="BW473">
        <v>50</v>
      </c>
      <c r="BX473" t="s">
        <v>125</v>
      </c>
      <c r="BY473" t="s">
        <v>125</v>
      </c>
      <c r="BZ473" t="s">
        <v>125</v>
      </c>
      <c r="CA473" t="s">
        <v>125</v>
      </c>
      <c r="CB473" t="s">
        <v>125</v>
      </c>
      <c r="CC473" t="s">
        <v>125</v>
      </c>
      <c r="CD473" t="s">
        <v>125</v>
      </c>
      <c r="CE473" t="s">
        <v>125</v>
      </c>
      <c r="CF473" t="s">
        <v>125</v>
      </c>
      <c r="CG473" t="s">
        <v>125</v>
      </c>
      <c r="CH473" t="s">
        <v>125</v>
      </c>
      <c r="CI473" t="s">
        <v>125</v>
      </c>
      <c r="CJ473" t="s">
        <v>125</v>
      </c>
      <c r="CK473" t="s">
        <v>125</v>
      </c>
      <c r="CL473" t="s">
        <v>125</v>
      </c>
      <c r="CM473" t="s">
        <v>125</v>
      </c>
      <c r="CN473" t="s">
        <v>125</v>
      </c>
      <c r="CO473" t="s">
        <v>125</v>
      </c>
      <c r="CP473" t="s">
        <v>125</v>
      </c>
      <c r="CQ473">
        <v>3.125E-2</v>
      </c>
      <c r="CR473">
        <v>0.98461500000000002</v>
      </c>
      <c r="CS473">
        <v>2.0833330000000001</v>
      </c>
      <c r="CT473">
        <v>50</v>
      </c>
      <c r="CU473" t="s">
        <v>125</v>
      </c>
      <c r="CV473" t="s">
        <v>125</v>
      </c>
      <c r="CW473" t="s">
        <v>125</v>
      </c>
      <c r="CX473" t="s">
        <v>125</v>
      </c>
      <c r="CY473" t="s">
        <v>125</v>
      </c>
      <c r="CZ473" t="s">
        <v>125</v>
      </c>
      <c r="DA473">
        <v>15.314097</v>
      </c>
      <c r="DB473">
        <v>17.400950000000002</v>
      </c>
      <c r="DC473">
        <v>16.332519999999999</v>
      </c>
      <c r="DD473" t="s">
        <v>125</v>
      </c>
      <c r="DE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Q473" t="s">
        <v>126</v>
      </c>
    </row>
    <row r="474" spans="1:121" x14ac:dyDescent="0.15">
      <c r="A474">
        <v>2018</v>
      </c>
      <c r="B474" t="s">
        <v>182</v>
      </c>
      <c r="C474" t="str">
        <f t="shared" si="14"/>
        <v>0590011</v>
      </c>
      <c r="D474" t="s">
        <v>627</v>
      </c>
      <c r="E474" t="str">
        <f>"0591811"</f>
        <v>0591811</v>
      </c>
      <c r="F474" t="s">
        <v>328</v>
      </c>
      <c r="G474" t="s">
        <v>339</v>
      </c>
      <c r="H474">
        <v>5</v>
      </c>
      <c r="J474" t="s">
        <v>331</v>
      </c>
      <c r="K474">
        <v>667.29891399999997</v>
      </c>
      <c r="L474">
        <v>850</v>
      </c>
      <c r="M474">
        <v>78.505754999999994</v>
      </c>
      <c r="N474">
        <v>2</v>
      </c>
      <c r="O474">
        <v>0</v>
      </c>
      <c r="P474">
        <v>71.091894999999994</v>
      </c>
      <c r="Q474">
        <v>47.394596999999997</v>
      </c>
      <c r="R474">
        <v>50</v>
      </c>
      <c r="S474">
        <v>65.007284999999996</v>
      </c>
      <c r="T474">
        <v>75</v>
      </c>
      <c r="U474">
        <v>43.338189999999997</v>
      </c>
      <c r="V474">
        <v>50</v>
      </c>
      <c r="W474">
        <v>67.224168000000006</v>
      </c>
      <c r="X474">
        <v>44.816111999999997</v>
      </c>
      <c r="Y474">
        <v>50</v>
      </c>
      <c r="Z474">
        <v>72.785038</v>
      </c>
      <c r="AA474">
        <v>61.994303000000002</v>
      </c>
      <c r="AB474">
        <v>41.329535</v>
      </c>
      <c r="AC474">
        <v>50</v>
      </c>
      <c r="AD474">
        <v>69.264516</v>
      </c>
      <c r="AE474">
        <v>46.176344</v>
      </c>
      <c r="AF474">
        <v>50</v>
      </c>
      <c r="AG474">
        <v>61.847073000000002</v>
      </c>
      <c r="AH474">
        <v>75</v>
      </c>
      <c r="AI474">
        <v>41.231382000000004</v>
      </c>
      <c r="AJ474">
        <v>50</v>
      </c>
      <c r="AK474">
        <v>9.99</v>
      </c>
      <c r="AL474">
        <v>10.79</v>
      </c>
      <c r="AM474">
        <v>13.15</v>
      </c>
      <c r="AN474">
        <v>0.61901700000000004</v>
      </c>
      <c r="AO474">
        <v>61.901704000000002</v>
      </c>
      <c r="AP474">
        <v>100</v>
      </c>
      <c r="AQ474">
        <v>0.79480099999999998</v>
      </c>
      <c r="AR474">
        <v>79.480115999999995</v>
      </c>
      <c r="AS474">
        <v>100</v>
      </c>
      <c r="AT474">
        <v>0.57312700000000005</v>
      </c>
      <c r="AU474">
        <v>0.67225000000000001</v>
      </c>
      <c r="AV474">
        <v>57.312658999999996</v>
      </c>
      <c r="AW474">
        <v>100</v>
      </c>
      <c r="AX474">
        <v>0.75657700000000006</v>
      </c>
      <c r="AY474">
        <v>0.83914100000000003</v>
      </c>
      <c r="AZ474">
        <v>75.657714999999996</v>
      </c>
      <c r="BA474">
        <v>100</v>
      </c>
      <c r="BB474" t="s">
        <v>125</v>
      </c>
      <c r="BC474" t="s">
        <v>125</v>
      </c>
      <c r="BD474" t="s">
        <v>125</v>
      </c>
      <c r="BE474" t="s">
        <v>125</v>
      </c>
      <c r="BF474" t="s">
        <v>125</v>
      </c>
      <c r="BG474" t="s">
        <v>125</v>
      </c>
      <c r="BH474">
        <v>0</v>
      </c>
      <c r="BI474">
        <v>0.99434999999999996</v>
      </c>
      <c r="BJ474">
        <v>1</v>
      </c>
      <c r="BK474">
        <v>0.98795200000000005</v>
      </c>
      <c r="BL474">
        <v>0.99434999999999996</v>
      </c>
      <c r="BM474">
        <v>1</v>
      </c>
      <c r="BN474">
        <v>0.98795200000000005</v>
      </c>
      <c r="BO474">
        <v>0.98305100000000001</v>
      </c>
      <c r="BP474">
        <v>1</v>
      </c>
      <c r="BQ474">
        <v>0.96774199999999999</v>
      </c>
      <c r="BR474">
        <v>8.3095000000000002E-2</v>
      </c>
      <c r="BS474">
        <v>43.381089000000003</v>
      </c>
      <c r="BT474">
        <v>50</v>
      </c>
      <c r="BU474">
        <v>9.7560999999999995E-2</v>
      </c>
      <c r="BV474">
        <v>40.487805000000002</v>
      </c>
      <c r="BW474">
        <v>50</v>
      </c>
      <c r="BX474" t="s">
        <v>125</v>
      </c>
      <c r="BY474" t="s">
        <v>125</v>
      </c>
      <c r="BZ474" t="s">
        <v>125</v>
      </c>
      <c r="CA474" t="s">
        <v>125</v>
      </c>
      <c r="CB474" t="s">
        <v>125</v>
      </c>
      <c r="CC474" t="s">
        <v>125</v>
      </c>
      <c r="CD474" t="s">
        <v>125</v>
      </c>
      <c r="CE474" t="s">
        <v>125</v>
      </c>
      <c r="CF474" t="s">
        <v>125</v>
      </c>
      <c r="CG474" t="s">
        <v>125</v>
      </c>
      <c r="CH474" t="s">
        <v>125</v>
      </c>
      <c r="CI474" t="s">
        <v>125</v>
      </c>
      <c r="CJ474" t="s">
        <v>125</v>
      </c>
      <c r="CK474" t="s">
        <v>125</v>
      </c>
      <c r="CL474" t="s">
        <v>125</v>
      </c>
      <c r="CM474" t="s">
        <v>125</v>
      </c>
      <c r="CN474" t="s">
        <v>125</v>
      </c>
      <c r="CO474" t="s">
        <v>125</v>
      </c>
      <c r="CP474" t="s">
        <v>125</v>
      </c>
      <c r="CQ474">
        <v>0.671875</v>
      </c>
      <c r="CR474">
        <v>1</v>
      </c>
      <c r="CS474">
        <v>44.791666999999997</v>
      </c>
      <c r="CT474">
        <v>50</v>
      </c>
      <c r="CU474" t="s">
        <v>125</v>
      </c>
      <c r="CV474" t="s">
        <v>125</v>
      </c>
      <c r="CW474" t="s">
        <v>125</v>
      </c>
      <c r="CX474" t="s">
        <v>125</v>
      </c>
      <c r="CY474" t="s">
        <v>125</v>
      </c>
      <c r="CZ474" t="s">
        <v>125</v>
      </c>
      <c r="DA474">
        <v>15.314097</v>
      </c>
      <c r="DB474">
        <v>17.400950000000002</v>
      </c>
      <c r="DC474">
        <v>16.332519999999999</v>
      </c>
      <c r="DD474" t="s">
        <v>125</v>
      </c>
      <c r="DE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Q474" t="s">
        <v>126</v>
      </c>
    </row>
    <row r="475" spans="1:121" x14ac:dyDescent="0.15">
      <c r="A475">
        <v>2018</v>
      </c>
      <c r="B475" t="s">
        <v>182</v>
      </c>
      <c r="C475" t="str">
        <f t="shared" si="14"/>
        <v>0590011</v>
      </c>
      <c r="D475" t="s">
        <v>628</v>
      </c>
      <c r="E475" t="str">
        <f>"0590311"</f>
        <v>0590311</v>
      </c>
      <c r="F475" t="s">
        <v>328</v>
      </c>
      <c r="G475" t="s">
        <v>329</v>
      </c>
      <c r="H475">
        <v>5</v>
      </c>
      <c r="I475" t="s">
        <v>336</v>
      </c>
      <c r="J475" t="s">
        <v>331</v>
      </c>
      <c r="K475">
        <v>689.78230299999996</v>
      </c>
      <c r="L475">
        <v>850</v>
      </c>
      <c r="M475">
        <v>81.150858999999997</v>
      </c>
      <c r="N475">
        <v>2</v>
      </c>
      <c r="O475">
        <v>0</v>
      </c>
      <c r="P475">
        <v>66.227692000000005</v>
      </c>
      <c r="Q475">
        <v>44.151795</v>
      </c>
      <c r="R475">
        <v>50</v>
      </c>
      <c r="S475">
        <v>64.026425000000003</v>
      </c>
      <c r="T475" t="s">
        <v>125</v>
      </c>
      <c r="U475">
        <v>42.684283000000001</v>
      </c>
      <c r="V475">
        <v>50</v>
      </c>
      <c r="W475">
        <v>64.696727999999993</v>
      </c>
      <c r="X475">
        <v>43.131152</v>
      </c>
      <c r="Y475">
        <v>50</v>
      </c>
      <c r="Z475" t="s">
        <v>125</v>
      </c>
      <c r="AA475">
        <v>63.316361999999998</v>
      </c>
      <c r="AB475">
        <v>42.210908000000003</v>
      </c>
      <c r="AC475">
        <v>50</v>
      </c>
      <c r="AD475">
        <v>67.119713000000004</v>
      </c>
      <c r="AE475">
        <v>44.746476000000001</v>
      </c>
      <c r="AF475">
        <v>50</v>
      </c>
      <c r="AG475">
        <v>65.495756</v>
      </c>
      <c r="AH475" t="s">
        <v>125</v>
      </c>
      <c r="AI475">
        <v>43.663837000000001</v>
      </c>
      <c r="AJ475">
        <v>50</v>
      </c>
      <c r="AK475" t="s">
        <v>125</v>
      </c>
      <c r="AL475" t="s">
        <v>125</v>
      </c>
      <c r="AM475" t="s">
        <v>125</v>
      </c>
      <c r="AN475">
        <v>0.80194500000000002</v>
      </c>
      <c r="AO475">
        <v>80.194535999999999</v>
      </c>
      <c r="AP475">
        <v>100</v>
      </c>
      <c r="AQ475">
        <v>0.83054499999999998</v>
      </c>
      <c r="AR475">
        <v>83.054531999999995</v>
      </c>
      <c r="AS475">
        <v>100</v>
      </c>
      <c r="AT475">
        <v>0.77656000000000003</v>
      </c>
      <c r="AU475" t="s">
        <v>125</v>
      </c>
      <c r="AV475">
        <v>77.656031999999996</v>
      </c>
      <c r="AW475">
        <v>100</v>
      </c>
      <c r="AX475">
        <v>0.81775600000000004</v>
      </c>
      <c r="AY475" t="s">
        <v>125</v>
      </c>
      <c r="AZ475">
        <v>81.775569000000004</v>
      </c>
      <c r="BA475">
        <v>100</v>
      </c>
      <c r="BB475" t="s">
        <v>125</v>
      </c>
      <c r="BC475" t="s">
        <v>125</v>
      </c>
      <c r="BD475" t="s">
        <v>125</v>
      </c>
      <c r="BE475" t="s">
        <v>125</v>
      </c>
      <c r="BF475" t="s">
        <v>125</v>
      </c>
      <c r="BG475" t="s">
        <v>125</v>
      </c>
      <c r="BH475">
        <v>0</v>
      </c>
      <c r="BI475">
        <v>1</v>
      </c>
      <c r="BJ475">
        <v>1</v>
      </c>
      <c r="BK475" t="s">
        <v>125</v>
      </c>
      <c r="BL475">
        <v>1</v>
      </c>
      <c r="BM475">
        <v>1</v>
      </c>
      <c r="BN475" t="s">
        <v>125</v>
      </c>
      <c r="BO475">
        <v>1</v>
      </c>
      <c r="BP475">
        <v>1</v>
      </c>
      <c r="BQ475" t="s">
        <v>125</v>
      </c>
      <c r="BR475">
        <v>0.14433000000000001</v>
      </c>
      <c r="BS475">
        <v>31.134021000000001</v>
      </c>
      <c r="BT475">
        <v>50</v>
      </c>
      <c r="BU475">
        <v>0.148594</v>
      </c>
      <c r="BV475">
        <v>30.281123999999998</v>
      </c>
      <c r="BW475">
        <v>50</v>
      </c>
      <c r="BX475" t="s">
        <v>125</v>
      </c>
      <c r="BY475" t="s">
        <v>125</v>
      </c>
      <c r="BZ475" t="s">
        <v>125</v>
      </c>
      <c r="CA475" t="s">
        <v>125</v>
      </c>
      <c r="CB475" t="s">
        <v>125</v>
      </c>
      <c r="CC475" t="s">
        <v>125</v>
      </c>
      <c r="CD475" t="s">
        <v>125</v>
      </c>
      <c r="CE475" t="s">
        <v>125</v>
      </c>
      <c r="CF475" t="s">
        <v>125</v>
      </c>
      <c r="CG475" t="s">
        <v>125</v>
      </c>
      <c r="CH475" t="s">
        <v>125</v>
      </c>
      <c r="CI475" t="s">
        <v>125</v>
      </c>
      <c r="CJ475" t="s">
        <v>125</v>
      </c>
      <c r="CK475" t="s">
        <v>125</v>
      </c>
      <c r="CL475" t="s">
        <v>125</v>
      </c>
      <c r="CM475" t="s">
        <v>125</v>
      </c>
      <c r="CN475" t="s">
        <v>125</v>
      </c>
      <c r="CO475" t="s">
        <v>125</v>
      </c>
      <c r="CP475" t="s">
        <v>125</v>
      </c>
      <c r="CQ475">
        <v>0.67647100000000004</v>
      </c>
      <c r="CR475">
        <v>0.91891900000000004</v>
      </c>
      <c r="CS475">
        <v>45.098039</v>
      </c>
      <c r="CT475">
        <v>50</v>
      </c>
      <c r="CU475" t="s">
        <v>125</v>
      </c>
      <c r="CV475" t="s">
        <v>125</v>
      </c>
      <c r="CW475" t="s">
        <v>125</v>
      </c>
      <c r="CX475" t="s">
        <v>125</v>
      </c>
      <c r="CY475" t="s">
        <v>125</v>
      </c>
      <c r="CZ475" t="s">
        <v>125</v>
      </c>
      <c r="DA475">
        <v>15.314097</v>
      </c>
      <c r="DB475">
        <v>17.400950000000002</v>
      </c>
      <c r="DC475">
        <v>16.332519999999999</v>
      </c>
      <c r="DD475" t="s">
        <v>125</v>
      </c>
      <c r="DE475">
        <v>0</v>
      </c>
      <c r="DH475" t="s">
        <v>332</v>
      </c>
      <c r="DI475" t="s">
        <v>629</v>
      </c>
      <c r="DJ475">
        <v>0</v>
      </c>
      <c r="DK475">
        <v>1</v>
      </c>
      <c r="DL475">
        <v>0</v>
      </c>
      <c r="DM475">
        <v>1</v>
      </c>
      <c r="DN475">
        <v>1</v>
      </c>
      <c r="DO475">
        <v>0</v>
      </c>
      <c r="DQ475" t="s">
        <v>126</v>
      </c>
    </row>
    <row r="476" spans="1:121" x14ac:dyDescent="0.15">
      <c r="A476">
        <v>2018</v>
      </c>
      <c r="B476" t="s">
        <v>182</v>
      </c>
      <c r="C476" t="str">
        <f t="shared" si="14"/>
        <v>0590011</v>
      </c>
      <c r="D476" t="s">
        <v>630</v>
      </c>
      <c r="E476" t="str">
        <f>"0591711"</f>
        <v>0591711</v>
      </c>
      <c r="F476" t="s">
        <v>328</v>
      </c>
      <c r="G476" t="s">
        <v>329</v>
      </c>
      <c r="H476">
        <v>5</v>
      </c>
      <c r="J476" t="s">
        <v>331</v>
      </c>
      <c r="K476">
        <v>635.07901500000003</v>
      </c>
      <c r="L476">
        <v>800</v>
      </c>
      <c r="M476">
        <v>79.384877000000003</v>
      </c>
      <c r="N476">
        <v>2</v>
      </c>
      <c r="O476">
        <v>0</v>
      </c>
      <c r="P476">
        <v>68.201554000000002</v>
      </c>
      <c r="Q476">
        <v>45.467703</v>
      </c>
      <c r="R476">
        <v>50</v>
      </c>
      <c r="S476">
        <v>64.066320000000005</v>
      </c>
      <c r="T476">
        <v>75</v>
      </c>
      <c r="U476">
        <v>42.710880000000003</v>
      </c>
      <c r="V476">
        <v>50</v>
      </c>
      <c r="W476">
        <v>68.541217000000003</v>
      </c>
      <c r="X476">
        <v>45.694144999999999</v>
      </c>
      <c r="Y476">
        <v>50</v>
      </c>
      <c r="Z476">
        <v>75</v>
      </c>
      <c r="AA476">
        <v>65.169010999999998</v>
      </c>
      <c r="AB476">
        <v>43.446007000000002</v>
      </c>
      <c r="AC476">
        <v>50</v>
      </c>
      <c r="AD476">
        <v>68.180199999999999</v>
      </c>
      <c r="AE476">
        <v>45.453467000000003</v>
      </c>
      <c r="AF476">
        <v>50</v>
      </c>
      <c r="AG476" t="s">
        <v>125</v>
      </c>
      <c r="AH476" t="s">
        <v>125</v>
      </c>
      <c r="AI476" t="s">
        <v>125</v>
      </c>
      <c r="AJ476" t="s">
        <v>125</v>
      </c>
      <c r="AK476">
        <v>10.93</v>
      </c>
      <c r="AL476">
        <v>9.83</v>
      </c>
      <c r="AM476" t="s">
        <v>125</v>
      </c>
      <c r="AN476">
        <v>0.73292599999999997</v>
      </c>
      <c r="AO476">
        <v>73.292584000000005</v>
      </c>
      <c r="AP476">
        <v>100</v>
      </c>
      <c r="AQ476">
        <v>0.92249400000000004</v>
      </c>
      <c r="AR476">
        <v>92.249352999999999</v>
      </c>
      <c r="AS476">
        <v>100</v>
      </c>
      <c r="AT476">
        <v>0.71076799999999996</v>
      </c>
      <c r="AU476">
        <v>0.77925599999999995</v>
      </c>
      <c r="AV476">
        <v>71.076774</v>
      </c>
      <c r="AW476">
        <v>100</v>
      </c>
      <c r="AX476">
        <v>0.905663</v>
      </c>
      <c r="AY476">
        <v>0.95768500000000001</v>
      </c>
      <c r="AZ476">
        <v>90.566297000000006</v>
      </c>
      <c r="BA476">
        <v>100</v>
      </c>
      <c r="BB476" t="s">
        <v>125</v>
      </c>
      <c r="BC476" t="s">
        <v>125</v>
      </c>
      <c r="BD476" t="s">
        <v>125</v>
      </c>
      <c r="BE476" t="s">
        <v>125</v>
      </c>
      <c r="BF476" t="s">
        <v>125</v>
      </c>
      <c r="BG476" t="s">
        <v>125</v>
      </c>
      <c r="BH476">
        <v>0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 t="s">
        <v>125</v>
      </c>
      <c r="BR476">
        <v>0.13398699999999999</v>
      </c>
      <c r="BS476">
        <v>33.202613999999997</v>
      </c>
      <c r="BT476">
        <v>50</v>
      </c>
      <c r="BU476">
        <v>0.15151500000000001</v>
      </c>
      <c r="BV476">
        <v>29.69697</v>
      </c>
      <c r="BW476">
        <v>50</v>
      </c>
      <c r="BX476" t="s">
        <v>125</v>
      </c>
      <c r="BY476" t="s">
        <v>125</v>
      </c>
      <c r="BZ476" t="s">
        <v>125</v>
      </c>
      <c r="CA476" t="s">
        <v>125</v>
      </c>
      <c r="CB476" t="s">
        <v>125</v>
      </c>
      <c r="CC476" t="s">
        <v>125</v>
      </c>
      <c r="CD476" t="s">
        <v>125</v>
      </c>
      <c r="CE476" t="s">
        <v>125</v>
      </c>
      <c r="CF476" t="s">
        <v>125</v>
      </c>
      <c r="CG476" t="s">
        <v>125</v>
      </c>
      <c r="CH476" t="s">
        <v>125</v>
      </c>
      <c r="CI476" t="s">
        <v>125</v>
      </c>
      <c r="CJ476" t="s">
        <v>125</v>
      </c>
      <c r="CK476" t="s">
        <v>125</v>
      </c>
      <c r="CL476" t="s">
        <v>125</v>
      </c>
      <c r="CM476" t="s">
        <v>125</v>
      </c>
      <c r="CN476" t="s">
        <v>125</v>
      </c>
      <c r="CO476" t="s">
        <v>125</v>
      </c>
      <c r="CP476" t="s">
        <v>125</v>
      </c>
      <c r="CQ476">
        <v>0.33333299999999999</v>
      </c>
      <c r="CR476">
        <v>0.96</v>
      </c>
      <c r="CS476">
        <v>22.222221999999999</v>
      </c>
      <c r="CT476">
        <v>50</v>
      </c>
      <c r="CU476" t="s">
        <v>125</v>
      </c>
      <c r="CV476" t="s">
        <v>125</v>
      </c>
      <c r="CW476" t="s">
        <v>125</v>
      </c>
      <c r="CX476" t="s">
        <v>125</v>
      </c>
      <c r="CY476" t="s">
        <v>125</v>
      </c>
      <c r="CZ476" t="s">
        <v>125</v>
      </c>
      <c r="DA476">
        <v>15.314097</v>
      </c>
      <c r="DB476">
        <v>17.400950000000002</v>
      </c>
      <c r="DC476">
        <v>16.332519999999999</v>
      </c>
      <c r="DD476" t="s">
        <v>125</v>
      </c>
      <c r="DE476">
        <v>0</v>
      </c>
      <c r="DH476" t="s">
        <v>332</v>
      </c>
      <c r="DI476" t="s">
        <v>453</v>
      </c>
      <c r="DJ476">
        <v>0</v>
      </c>
      <c r="DK476">
        <v>0</v>
      </c>
      <c r="DL476">
        <v>1</v>
      </c>
      <c r="DM476">
        <v>0</v>
      </c>
      <c r="DN476">
        <v>1</v>
      </c>
      <c r="DO476">
        <v>0</v>
      </c>
      <c r="DQ476" t="s">
        <v>126</v>
      </c>
    </row>
    <row r="477" spans="1:121" x14ac:dyDescent="0.15">
      <c r="A477">
        <v>2018</v>
      </c>
      <c r="B477" t="s">
        <v>182</v>
      </c>
      <c r="C477" t="str">
        <f t="shared" si="14"/>
        <v>0590011</v>
      </c>
      <c r="D477" t="s">
        <v>631</v>
      </c>
      <c r="E477" t="str">
        <f>"0591911"</f>
        <v>0591911</v>
      </c>
      <c r="F477" t="s">
        <v>328</v>
      </c>
      <c r="G477" t="s">
        <v>339</v>
      </c>
      <c r="H477">
        <v>5</v>
      </c>
      <c r="J477" t="s">
        <v>331</v>
      </c>
      <c r="K477">
        <v>714.91930600000001</v>
      </c>
      <c r="L477">
        <v>850</v>
      </c>
      <c r="M477">
        <v>84.108153999999999</v>
      </c>
      <c r="N477">
        <v>2</v>
      </c>
      <c r="O477">
        <v>0</v>
      </c>
      <c r="P477">
        <v>80.499139</v>
      </c>
      <c r="Q477">
        <v>50</v>
      </c>
      <c r="R477">
        <v>50</v>
      </c>
      <c r="S477">
        <v>74.991759000000002</v>
      </c>
      <c r="T477">
        <v>75</v>
      </c>
      <c r="U477">
        <v>49.994506000000001</v>
      </c>
      <c r="V477">
        <v>50</v>
      </c>
      <c r="W477">
        <v>71.274739999999994</v>
      </c>
      <c r="X477">
        <v>47.516492999999997</v>
      </c>
      <c r="Y477">
        <v>50</v>
      </c>
      <c r="Z477">
        <v>73.754131000000001</v>
      </c>
      <c r="AA477">
        <v>66.705575999999994</v>
      </c>
      <c r="AB477">
        <v>44.470384000000003</v>
      </c>
      <c r="AC477">
        <v>50</v>
      </c>
      <c r="AD477">
        <v>81.096773999999996</v>
      </c>
      <c r="AE477">
        <v>50</v>
      </c>
      <c r="AF477">
        <v>50</v>
      </c>
      <c r="AG477">
        <v>73.451612999999995</v>
      </c>
      <c r="AH477">
        <v>75</v>
      </c>
      <c r="AI477">
        <v>48.967742000000001</v>
      </c>
      <c r="AJ477">
        <v>50</v>
      </c>
      <c r="AK477">
        <v>0</v>
      </c>
      <c r="AL477">
        <v>7.04</v>
      </c>
      <c r="AM477">
        <v>1.54</v>
      </c>
      <c r="AN477">
        <v>0.72473699999999996</v>
      </c>
      <c r="AO477">
        <v>72.473714000000001</v>
      </c>
      <c r="AP477">
        <v>100</v>
      </c>
      <c r="AQ477">
        <v>0.67599699999999996</v>
      </c>
      <c r="AR477">
        <v>67.599699999999999</v>
      </c>
      <c r="AS477">
        <v>100</v>
      </c>
      <c r="AT477">
        <v>0.655976</v>
      </c>
      <c r="AU477">
        <v>0.75793200000000005</v>
      </c>
      <c r="AV477">
        <v>65.597566</v>
      </c>
      <c r="AW477">
        <v>100</v>
      </c>
      <c r="AX477">
        <v>0.73778100000000002</v>
      </c>
      <c r="AY477">
        <v>0.64617000000000002</v>
      </c>
      <c r="AZ477">
        <v>73.778056000000007</v>
      </c>
      <c r="BA477">
        <v>100</v>
      </c>
      <c r="BB477" t="s">
        <v>125</v>
      </c>
      <c r="BC477" t="s">
        <v>125</v>
      </c>
      <c r="BD477" t="s">
        <v>125</v>
      </c>
      <c r="BE477" t="s">
        <v>125</v>
      </c>
      <c r="BF477" t="s">
        <v>125</v>
      </c>
      <c r="BG477" t="s">
        <v>125</v>
      </c>
      <c r="BH477">
        <v>0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2.9484E-2</v>
      </c>
      <c r="BS477">
        <v>50</v>
      </c>
      <c r="BT477">
        <v>50</v>
      </c>
      <c r="BU477">
        <v>5.6250000000000001E-2</v>
      </c>
      <c r="BV477">
        <v>48.75</v>
      </c>
      <c r="BW477">
        <v>50</v>
      </c>
      <c r="BX477" t="s">
        <v>125</v>
      </c>
      <c r="BY477" t="s">
        <v>125</v>
      </c>
      <c r="BZ477" t="s">
        <v>125</v>
      </c>
      <c r="CA477" t="s">
        <v>125</v>
      </c>
      <c r="CB477" t="s">
        <v>125</v>
      </c>
      <c r="CC477" t="s">
        <v>125</v>
      </c>
      <c r="CD477" t="s">
        <v>125</v>
      </c>
      <c r="CE477" t="s">
        <v>125</v>
      </c>
      <c r="CF477" t="s">
        <v>125</v>
      </c>
      <c r="CG477" t="s">
        <v>125</v>
      </c>
      <c r="CH477" t="s">
        <v>125</v>
      </c>
      <c r="CI477" t="s">
        <v>125</v>
      </c>
      <c r="CJ477" t="s">
        <v>125</v>
      </c>
      <c r="CK477" t="s">
        <v>125</v>
      </c>
      <c r="CL477" t="s">
        <v>125</v>
      </c>
      <c r="CM477" t="s">
        <v>125</v>
      </c>
      <c r="CN477" t="s">
        <v>125</v>
      </c>
      <c r="CO477" t="s">
        <v>125</v>
      </c>
      <c r="CP477" t="s">
        <v>125</v>
      </c>
      <c r="CQ477">
        <v>0.68656700000000004</v>
      </c>
      <c r="CR477">
        <v>1.0151520000000001</v>
      </c>
      <c r="CS477">
        <v>45.771144</v>
      </c>
      <c r="CT477">
        <v>50</v>
      </c>
      <c r="CU477" t="s">
        <v>125</v>
      </c>
      <c r="CV477" t="s">
        <v>125</v>
      </c>
      <c r="CW477" t="s">
        <v>125</v>
      </c>
      <c r="CX477" t="s">
        <v>125</v>
      </c>
      <c r="CY477" t="s">
        <v>125</v>
      </c>
      <c r="CZ477" t="s">
        <v>125</v>
      </c>
      <c r="DA477">
        <v>15.314097</v>
      </c>
      <c r="DB477">
        <v>17.400950000000002</v>
      </c>
      <c r="DC477">
        <v>16.332519999999999</v>
      </c>
      <c r="DD477" t="s">
        <v>125</v>
      </c>
      <c r="DE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Q477" t="s">
        <v>126</v>
      </c>
    </row>
    <row r="478" spans="1:121" x14ac:dyDescent="0.15">
      <c r="A478">
        <v>2018</v>
      </c>
      <c r="B478" t="s">
        <v>182</v>
      </c>
      <c r="C478" t="str">
        <f t="shared" si="14"/>
        <v>0590011</v>
      </c>
      <c r="D478" t="s">
        <v>632</v>
      </c>
      <c r="E478" t="str">
        <f>"0596111"</f>
        <v>0596111</v>
      </c>
      <c r="F478" t="s">
        <v>328</v>
      </c>
      <c r="G478">
        <v>9</v>
      </c>
      <c r="H478">
        <v>12</v>
      </c>
      <c r="J478" t="s">
        <v>331</v>
      </c>
      <c r="K478">
        <v>1081.8678930000001</v>
      </c>
      <c r="L478">
        <v>1450</v>
      </c>
      <c r="M478">
        <v>74.611579000000006</v>
      </c>
      <c r="N478">
        <v>3</v>
      </c>
      <c r="O478">
        <v>1</v>
      </c>
      <c r="P478">
        <v>58.385497999999998</v>
      </c>
      <c r="Q478">
        <v>116.770996</v>
      </c>
      <c r="R478">
        <v>150</v>
      </c>
      <c r="S478">
        <v>49.448537999999999</v>
      </c>
      <c r="T478">
        <v>65.580507999999995</v>
      </c>
      <c r="U478">
        <v>98.897075999999998</v>
      </c>
      <c r="V478">
        <v>150</v>
      </c>
      <c r="W478">
        <v>55.553730000000002</v>
      </c>
      <c r="X478">
        <v>111.10746</v>
      </c>
      <c r="Y478">
        <v>150</v>
      </c>
      <c r="Z478">
        <v>62.131355999999997</v>
      </c>
      <c r="AA478">
        <v>47.383626</v>
      </c>
      <c r="AB478">
        <v>94.767251000000002</v>
      </c>
      <c r="AC478">
        <v>150</v>
      </c>
      <c r="AD478">
        <v>60.702401999999999</v>
      </c>
      <c r="AE478">
        <v>80.936536000000004</v>
      </c>
      <c r="AF478">
        <v>100</v>
      </c>
      <c r="AG478">
        <v>51.262191000000001</v>
      </c>
      <c r="AH478">
        <v>68.318034999999995</v>
      </c>
      <c r="AI478">
        <v>68.349587999999997</v>
      </c>
      <c r="AJ478">
        <v>100</v>
      </c>
      <c r="AK478">
        <v>16.13</v>
      </c>
      <c r="AL478">
        <v>14.74</v>
      </c>
      <c r="AM478">
        <v>17.05</v>
      </c>
      <c r="AN478" t="s">
        <v>125</v>
      </c>
      <c r="AO478" t="s">
        <v>125</v>
      </c>
      <c r="AP478" t="s">
        <v>125</v>
      </c>
      <c r="AQ478" t="s">
        <v>125</v>
      </c>
      <c r="AR478" t="s">
        <v>125</v>
      </c>
      <c r="AS478" t="s">
        <v>125</v>
      </c>
      <c r="AT478" t="s">
        <v>125</v>
      </c>
      <c r="AU478" t="s">
        <v>125</v>
      </c>
      <c r="AV478" t="s">
        <v>125</v>
      </c>
      <c r="AW478" t="s">
        <v>125</v>
      </c>
      <c r="AX478" t="s">
        <v>125</v>
      </c>
      <c r="AY478" t="s">
        <v>125</v>
      </c>
      <c r="AZ478" t="s">
        <v>125</v>
      </c>
      <c r="BA478" t="s">
        <v>125</v>
      </c>
      <c r="BB478" t="s">
        <v>125</v>
      </c>
      <c r="BC478" t="s">
        <v>125</v>
      </c>
      <c r="BD478" t="s">
        <v>125</v>
      </c>
      <c r="BE478" t="s">
        <v>125</v>
      </c>
      <c r="BF478" t="s">
        <v>125</v>
      </c>
      <c r="BG478" t="s">
        <v>125</v>
      </c>
      <c r="BH478">
        <v>1</v>
      </c>
      <c r="BI478">
        <v>0.95670999999999995</v>
      </c>
      <c r="BJ478">
        <v>0.93577999999999995</v>
      </c>
      <c r="BK478">
        <v>0.97541</v>
      </c>
      <c r="BL478">
        <v>0.95670999999999995</v>
      </c>
      <c r="BM478">
        <v>0.93577999999999995</v>
      </c>
      <c r="BN478">
        <v>0.97541</v>
      </c>
      <c r="BO478">
        <v>0.95299100000000003</v>
      </c>
      <c r="BP478">
        <v>0.92792799999999998</v>
      </c>
      <c r="BQ478">
        <v>0.97560999999999998</v>
      </c>
      <c r="BR478">
        <v>0.20561699999999999</v>
      </c>
      <c r="BS478">
        <v>18.876629999999999</v>
      </c>
      <c r="BT478">
        <v>50</v>
      </c>
      <c r="BU478">
        <v>0.303093</v>
      </c>
      <c r="BV478">
        <v>0</v>
      </c>
      <c r="BW478">
        <v>50</v>
      </c>
      <c r="BX478">
        <v>0.77777799999999997</v>
      </c>
      <c r="BY478">
        <v>50</v>
      </c>
      <c r="BZ478">
        <v>50</v>
      </c>
      <c r="CA478">
        <v>0.43415599999999999</v>
      </c>
      <c r="CB478">
        <v>28.943759</v>
      </c>
      <c r="CC478">
        <v>50</v>
      </c>
      <c r="CD478">
        <v>0.940299</v>
      </c>
      <c r="CE478">
        <v>50</v>
      </c>
      <c r="CF478">
        <v>50</v>
      </c>
      <c r="CG478">
        <v>0.88844599999999996</v>
      </c>
      <c r="CH478">
        <v>94.515555000000006</v>
      </c>
      <c r="CI478">
        <v>100</v>
      </c>
      <c r="CJ478">
        <v>0</v>
      </c>
      <c r="CK478">
        <v>0.87313399999999997</v>
      </c>
      <c r="CL478">
        <v>92.886630999999994</v>
      </c>
      <c r="CM478">
        <v>100</v>
      </c>
      <c r="CN478">
        <v>0.68161400000000005</v>
      </c>
      <c r="CO478">
        <v>90.881912999999997</v>
      </c>
      <c r="CP478">
        <v>100</v>
      </c>
      <c r="CQ478">
        <v>0.52401699999999996</v>
      </c>
      <c r="CR478">
        <v>0.94238699999999997</v>
      </c>
      <c r="CS478">
        <v>34.934497999999998</v>
      </c>
      <c r="CT478">
        <v>50</v>
      </c>
      <c r="CU478">
        <v>0.613842</v>
      </c>
      <c r="CV478">
        <v>50</v>
      </c>
      <c r="CW478">
        <v>50</v>
      </c>
      <c r="CX478">
        <v>0.87313399999999997</v>
      </c>
      <c r="CY478">
        <v>0.94</v>
      </c>
      <c r="CZ478">
        <v>6.6865999999999995E-2</v>
      </c>
      <c r="DA478">
        <v>15.314097</v>
      </c>
      <c r="DB478">
        <v>17.400950000000002</v>
      </c>
      <c r="DC478">
        <v>16.332519999999999</v>
      </c>
      <c r="DD478">
        <v>7.9891730000000001</v>
      </c>
      <c r="DE478">
        <v>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Q478" t="s">
        <v>126</v>
      </c>
    </row>
    <row r="479" spans="1:121" x14ac:dyDescent="0.15">
      <c r="A479">
        <v>2018</v>
      </c>
      <c r="B479" t="s">
        <v>182</v>
      </c>
      <c r="C479" t="str">
        <f t="shared" si="14"/>
        <v>0590011</v>
      </c>
      <c r="D479" t="s">
        <v>633</v>
      </c>
      <c r="E479" t="str">
        <f>"0590111"</f>
        <v>0590111</v>
      </c>
      <c r="F479" t="s">
        <v>328</v>
      </c>
      <c r="G479" t="s">
        <v>329</v>
      </c>
      <c r="H479">
        <v>5</v>
      </c>
      <c r="J479" t="s">
        <v>331</v>
      </c>
      <c r="K479">
        <v>671.42194199999994</v>
      </c>
      <c r="L479">
        <v>850</v>
      </c>
      <c r="M479">
        <v>78.990817000000007</v>
      </c>
      <c r="N479">
        <v>3</v>
      </c>
      <c r="O479">
        <v>1</v>
      </c>
      <c r="P479">
        <v>73.615014000000002</v>
      </c>
      <c r="Q479">
        <v>49.076675999999999</v>
      </c>
      <c r="R479">
        <v>50</v>
      </c>
      <c r="S479">
        <v>64.233050000000006</v>
      </c>
      <c r="T479">
        <v>75</v>
      </c>
      <c r="U479">
        <v>42.822032999999998</v>
      </c>
      <c r="V479">
        <v>50</v>
      </c>
      <c r="W479">
        <v>70.617422000000005</v>
      </c>
      <c r="X479">
        <v>47.078280999999997</v>
      </c>
      <c r="Y479">
        <v>50</v>
      </c>
      <c r="Z479">
        <v>75</v>
      </c>
      <c r="AA479">
        <v>63.674035000000003</v>
      </c>
      <c r="AB479">
        <v>42.449356000000002</v>
      </c>
      <c r="AC479">
        <v>50</v>
      </c>
      <c r="AD479">
        <v>70.166953000000007</v>
      </c>
      <c r="AE479">
        <v>46.777968000000001</v>
      </c>
      <c r="AF479">
        <v>50</v>
      </c>
      <c r="AG479">
        <v>56.843952000000002</v>
      </c>
      <c r="AH479">
        <v>75</v>
      </c>
      <c r="AI479">
        <v>37.895968000000003</v>
      </c>
      <c r="AJ479">
        <v>50</v>
      </c>
      <c r="AK479">
        <v>10.76</v>
      </c>
      <c r="AL479">
        <v>11.32</v>
      </c>
      <c r="AM479">
        <v>18.149999999999999</v>
      </c>
      <c r="AN479">
        <v>0.64307300000000001</v>
      </c>
      <c r="AO479">
        <v>64.307337000000004</v>
      </c>
      <c r="AP479">
        <v>100</v>
      </c>
      <c r="AQ479">
        <v>0.72634200000000004</v>
      </c>
      <c r="AR479">
        <v>72.634231999999997</v>
      </c>
      <c r="AS479">
        <v>100</v>
      </c>
      <c r="AT479">
        <v>0.61904099999999995</v>
      </c>
      <c r="AU479">
        <v>0.65943600000000002</v>
      </c>
      <c r="AV479">
        <v>61.904125999999998</v>
      </c>
      <c r="AW479">
        <v>100</v>
      </c>
      <c r="AX479">
        <v>0.70783799999999997</v>
      </c>
      <c r="AY479">
        <v>0.73894099999999996</v>
      </c>
      <c r="AZ479">
        <v>70.783827000000002</v>
      </c>
      <c r="BA479">
        <v>100</v>
      </c>
      <c r="BB479" t="s">
        <v>125</v>
      </c>
      <c r="BC479" t="s">
        <v>125</v>
      </c>
      <c r="BD479" t="s">
        <v>125</v>
      </c>
      <c r="BE479" t="s">
        <v>125</v>
      </c>
      <c r="BF479" t="s">
        <v>125</v>
      </c>
      <c r="BG479" t="s">
        <v>125</v>
      </c>
      <c r="BH479">
        <v>0</v>
      </c>
      <c r="BI479">
        <v>0.99259299999999995</v>
      </c>
      <c r="BJ479">
        <v>0.98461500000000002</v>
      </c>
      <c r="BK479">
        <v>1</v>
      </c>
      <c r="BL479">
        <v>0.99259299999999995</v>
      </c>
      <c r="BM479">
        <v>0.98461500000000002</v>
      </c>
      <c r="BN479">
        <v>1</v>
      </c>
      <c r="BO479">
        <v>0.98</v>
      </c>
      <c r="BP479">
        <v>0.95652199999999998</v>
      </c>
      <c r="BQ479">
        <v>1</v>
      </c>
      <c r="BR479">
        <v>3.252E-2</v>
      </c>
      <c r="BS479">
        <v>50</v>
      </c>
      <c r="BT479">
        <v>50</v>
      </c>
      <c r="BU479">
        <v>6.2016000000000002E-2</v>
      </c>
      <c r="BV479">
        <v>47.596899000000001</v>
      </c>
      <c r="BW479">
        <v>50</v>
      </c>
      <c r="BX479" t="s">
        <v>125</v>
      </c>
      <c r="BY479" t="s">
        <v>125</v>
      </c>
      <c r="BZ479" t="s">
        <v>125</v>
      </c>
      <c r="CA479" t="s">
        <v>125</v>
      </c>
      <c r="CB479" t="s">
        <v>125</v>
      </c>
      <c r="CC479" t="s">
        <v>125</v>
      </c>
      <c r="CD479" t="s">
        <v>125</v>
      </c>
      <c r="CE479" t="s">
        <v>125</v>
      </c>
      <c r="CF479" t="s">
        <v>125</v>
      </c>
      <c r="CG479" t="s">
        <v>125</v>
      </c>
      <c r="CH479" t="s">
        <v>125</v>
      </c>
      <c r="CI479" t="s">
        <v>125</v>
      </c>
      <c r="CJ479" t="s">
        <v>125</v>
      </c>
      <c r="CK479" t="s">
        <v>125</v>
      </c>
      <c r="CL479" t="s">
        <v>125</v>
      </c>
      <c r="CM479" t="s">
        <v>125</v>
      </c>
      <c r="CN479" t="s">
        <v>125</v>
      </c>
      <c r="CO479" t="s">
        <v>125</v>
      </c>
      <c r="CP479" t="s">
        <v>125</v>
      </c>
      <c r="CQ479">
        <v>0.57142899999999996</v>
      </c>
      <c r="CR479">
        <v>0.95454499999999998</v>
      </c>
      <c r="CS479">
        <v>38.095238000000002</v>
      </c>
      <c r="CT479">
        <v>50</v>
      </c>
      <c r="CU479" t="s">
        <v>125</v>
      </c>
      <c r="CV479" t="s">
        <v>125</v>
      </c>
      <c r="CW479" t="s">
        <v>125</v>
      </c>
      <c r="CX479" t="s">
        <v>125</v>
      </c>
      <c r="CY479" t="s">
        <v>125</v>
      </c>
      <c r="CZ479" t="s">
        <v>125</v>
      </c>
      <c r="DA479">
        <v>15.314097</v>
      </c>
      <c r="DB479">
        <v>17.400950000000002</v>
      </c>
      <c r="DC479">
        <v>16.332519999999999</v>
      </c>
      <c r="DD479" t="s">
        <v>125</v>
      </c>
      <c r="DE479">
        <v>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Q479" t="s">
        <v>126</v>
      </c>
    </row>
    <row r="480" spans="1:121" x14ac:dyDescent="0.15">
      <c r="A480">
        <v>2018</v>
      </c>
      <c r="B480" t="s">
        <v>182</v>
      </c>
      <c r="C480" t="str">
        <f t="shared" si="14"/>
        <v>0590011</v>
      </c>
      <c r="D480" t="s">
        <v>634</v>
      </c>
      <c r="E480" t="str">
        <f>"0595211"</f>
        <v>0595211</v>
      </c>
      <c r="F480" t="s">
        <v>328</v>
      </c>
      <c r="G480">
        <v>6</v>
      </c>
      <c r="H480">
        <v>8</v>
      </c>
      <c r="I480" t="s">
        <v>336</v>
      </c>
      <c r="J480" t="s">
        <v>331</v>
      </c>
      <c r="K480">
        <v>677.31947100000002</v>
      </c>
      <c r="L480">
        <v>900</v>
      </c>
      <c r="M480">
        <v>75.257718999999994</v>
      </c>
      <c r="N480">
        <v>2</v>
      </c>
      <c r="O480">
        <v>0</v>
      </c>
      <c r="P480">
        <v>65.829835000000003</v>
      </c>
      <c r="Q480">
        <v>43.886557000000003</v>
      </c>
      <c r="R480">
        <v>50</v>
      </c>
      <c r="S480">
        <v>60.972306000000003</v>
      </c>
      <c r="T480">
        <v>74.561089999999993</v>
      </c>
      <c r="U480">
        <v>40.648204</v>
      </c>
      <c r="V480">
        <v>50</v>
      </c>
      <c r="W480">
        <v>61.933326000000001</v>
      </c>
      <c r="X480">
        <v>41.288884000000003</v>
      </c>
      <c r="Y480">
        <v>50</v>
      </c>
      <c r="Z480">
        <v>72.391329999999996</v>
      </c>
      <c r="AA480">
        <v>56.110962000000001</v>
      </c>
      <c r="AB480">
        <v>37.407308</v>
      </c>
      <c r="AC480">
        <v>50</v>
      </c>
      <c r="AD480">
        <v>65.123063999999999</v>
      </c>
      <c r="AE480">
        <v>43.415376000000002</v>
      </c>
      <c r="AF480">
        <v>50</v>
      </c>
      <c r="AG480">
        <v>62.016215000000003</v>
      </c>
      <c r="AH480">
        <v>71.791421</v>
      </c>
      <c r="AI480">
        <v>41.344143000000003</v>
      </c>
      <c r="AJ480">
        <v>50</v>
      </c>
      <c r="AK480">
        <v>13.58</v>
      </c>
      <c r="AL480">
        <v>16.28</v>
      </c>
      <c r="AM480">
        <v>9.77</v>
      </c>
      <c r="AN480">
        <v>0.63252799999999998</v>
      </c>
      <c r="AO480">
        <v>63.252842999999999</v>
      </c>
      <c r="AP480">
        <v>100</v>
      </c>
      <c r="AQ480">
        <v>0.79500899999999997</v>
      </c>
      <c r="AR480">
        <v>79.500924999999995</v>
      </c>
      <c r="AS480">
        <v>100</v>
      </c>
      <c r="AT480">
        <v>0.61487000000000003</v>
      </c>
      <c r="AU480">
        <v>0.66334400000000004</v>
      </c>
      <c r="AV480">
        <v>61.487017000000002</v>
      </c>
      <c r="AW480">
        <v>100</v>
      </c>
      <c r="AX480">
        <v>0.76859900000000003</v>
      </c>
      <c r="AY480">
        <v>0.84122799999999998</v>
      </c>
      <c r="AZ480">
        <v>76.859857000000005</v>
      </c>
      <c r="BA480">
        <v>100</v>
      </c>
      <c r="BB480" t="s">
        <v>125</v>
      </c>
      <c r="BC480" t="s">
        <v>125</v>
      </c>
      <c r="BD480" t="s">
        <v>125</v>
      </c>
      <c r="BE480" t="s">
        <v>125</v>
      </c>
      <c r="BF480" t="s">
        <v>125</v>
      </c>
      <c r="BG480" t="s">
        <v>125</v>
      </c>
      <c r="BH480">
        <v>0</v>
      </c>
      <c r="BI480">
        <v>0.99582499999999996</v>
      </c>
      <c r="BJ480">
        <v>0.99367099999999997</v>
      </c>
      <c r="BK480">
        <v>1</v>
      </c>
      <c r="BL480">
        <v>0.99578900000000004</v>
      </c>
      <c r="BM480">
        <v>0.99360999999999999</v>
      </c>
      <c r="BN480">
        <v>1</v>
      </c>
      <c r="BO480">
        <v>0.99280599999999997</v>
      </c>
      <c r="BP480">
        <v>0.98969099999999999</v>
      </c>
      <c r="BQ480">
        <v>1</v>
      </c>
      <c r="BR480">
        <v>0.124736</v>
      </c>
      <c r="BS480">
        <v>35.052854000000004</v>
      </c>
      <c r="BT480">
        <v>50</v>
      </c>
      <c r="BU480">
        <v>0.16286600000000001</v>
      </c>
      <c r="BV480">
        <v>27.42671</v>
      </c>
      <c r="BW480">
        <v>50</v>
      </c>
      <c r="BX480" t="s">
        <v>125</v>
      </c>
      <c r="BY480" t="s">
        <v>125</v>
      </c>
      <c r="BZ480" t="s">
        <v>125</v>
      </c>
      <c r="CA480" t="s">
        <v>125</v>
      </c>
      <c r="CB480" t="s">
        <v>125</v>
      </c>
      <c r="CC480" t="s">
        <v>125</v>
      </c>
      <c r="CD480">
        <v>0.94957999999999998</v>
      </c>
      <c r="CE480">
        <v>50</v>
      </c>
      <c r="CF480">
        <v>50</v>
      </c>
      <c r="CG480" t="s">
        <v>125</v>
      </c>
      <c r="CH480" t="s">
        <v>125</v>
      </c>
      <c r="CI480" t="s">
        <v>125</v>
      </c>
      <c r="CJ480" t="s">
        <v>125</v>
      </c>
      <c r="CK480" t="s">
        <v>125</v>
      </c>
      <c r="CL480" t="s">
        <v>125</v>
      </c>
      <c r="CM480" t="s">
        <v>125</v>
      </c>
      <c r="CN480" t="s">
        <v>125</v>
      </c>
      <c r="CO480" t="s">
        <v>125</v>
      </c>
      <c r="CP480" t="s">
        <v>125</v>
      </c>
      <c r="CQ480">
        <v>0.53623200000000004</v>
      </c>
      <c r="CR480">
        <v>0.92</v>
      </c>
      <c r="CS480">
        <v>35.748792000000002</v>
      </c>
      <c r="CT480">
        <v>50</v>
      </c>
      <c r="CU480" t="s">
        <v>125</v>
      </c>
      <c r="CV480" t="s">
        <v>125</v>
      </c>
      <c r="CW480" t="s">
        <v>125</v>
      </c>
      <c r="CX480" t="s">
        <v>125</v>
      </c>
      <c r="CY480" t="s">
        <v>125</v>
      </c>
      <c r="CZ480" t="s">
        <v>125</v>
      </c>
      <c r="DA480">
        <v>15.314097</v>
      </c>
      <c r="DB480">
        <v>17.400950000000002</v>
      </c>
      <c r="DC480">
        <v>16.332519999999999</v>
      </c>
      <c r="DD480" t="s">
        <v>125</v>
      </c>
      <c r="DE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Q480" t="s">
        <v>126</v>
      </c>
    </row>
    <row r="481" spans="1:121" x14ac:dyDescent="0.15">
      <c r="A481">
        <v>2018</v>
      </c>
      <c r="B481" t="s">
        <v>297</v>
      </c>
      <c r="C481" t="str">
        <f t="shared" ref="C481:C487" si="15">"0600011"</f>
        <v>0600011</v>
      </c>
      <c r="D481" t="s">
        <v>635</v>
      </c>
      <c r="E481" t="str">
        <f>"0600711"</f>
        <v>0600711</v>
      </c>
      <c r="F481" t="s">
        <v>328</v>
      </c>
      <c r="G481">
        <v>5</v>
      </c>
      <c r="H481">
        <v>6</v>
      </c>
      <c r="J481" t="s">
        <v>331</v>
      </c>
      <c r="K481">
        <v>689.34498499999995</v>
      </c>
      <c r="L481">
        <v>850</v>
      </c>
      <c r="M481">
        <v>81.099410000000006</v>
      </c>
      <c r="N481">
        <v>2</v>
      </c>
      <c r="O481">
        <v>0</v>
      </c>
      <c r="P481">
        <v>82.366894000000002</v>
      </c>
      <c r="Q481">
        <v>50</v>
      </c>
      <c r="R481">
        <v>50</v>
      </c>
      <c r="S481">
        <v>67.655885999999995</v>
      </c>
      <c r="T481">
        <v>75</v>
      </c>
      <c r="U481">
        <v>45.103923999999999</v>
      </c>
      <c r="V481">
        <v>50</v>
      </c>
      <c r="W481">
        <v>80.587537999999995</v>
      </c>
      <c r="X481">
        <v>50</v>
      </c>
      <c r="Y481">
        <v>50</v>
      </c>
      <c r="Z481">
        <v>75</v>
      </c>
      <c r="AA481">
        <v>65.480080000000001</v>
      </c>
      <c r="AB481">
        <v>43.653387000000002</v>
      </c>
      <c r="AC481">
        <v>50</v>
      </c>
      <c r="AD481">
        <v>79.303130999999993</v>
      </c>
      <c r="AE481">
        <v>50</v>
      </c>
      <c r="AF481">
        <v>50</v>
      </c>
      <c r="AG481">
        <v>66.719838999999993</v>
      </c>
      <c r="AH481">
        <v>75</v>
      </c>
      <c r="AI481">
        <v>44.479892</v>
      </c>
      <c r="AJ481">
        <v>50</v>
      </c>
      <c r="AK481">
        <v>7.34</v>
      </c>
      <c r="AL481">
        <v>9.51</v>
      </c>
      <c r="AM481">
        <v>8.2799999999999994</v>
      </c>
      <c r="AN481">
        <v>0.70177900000000004</v>
      </c>
      <c r="AO481">
        <v>70.177949999999996</v>
      </c>
      <c r="AP481">
        <v>100</v>
      </c>
      <c r="AQ481">
        <v>0.77141000000000004</v>
      </c>
      <c r="AR481">
        <v>77.140985000000001</v>
      </c>
      <c r="AS481">
        <v>100</v>
      </c>
      <c r="AT481">
        <v>0.58462599999999998</v>
      </c>
      <c r="AU481">
        <v>0.73456999999999995</v>
      </c>
      <c r="AV481">
        <v>58.462567999999997</v>
      </c>
      <c r="AW481">
        <v>100</v>
      </c>
      <c r="AX481">
        <v>0.63659600000000005</v>
      </c>
      <c r="AY481">
        <v>0.80924600000000002</v>
      </c>
      <c r="AZ481">
        <v>63.659612000000003</v>
      </c>
      <c r="BA481">
        <v>100</v>
      </c>
      <c r="BB481" t="s">
        <v>125</v>
      </c>
      <c r="BC481" t="s">
        <v>125</v>
      </c>
      <c r="BD481" t="s">
        <v>125</v>
      </c>
      <c r="BE481" t="s">
        <v>125</v>
      </c>
      <c r="BF481" t="s">
        <v>125</v>
      </c>
      <c r="BG481" t="s">
        <v>125</v>
      </c>
      <c r="BH481">
        <v>0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4.6464999999999999E-2</v>
      </c>
      <c r="BS481">
        <v>50</v>
      </c>
      <c r="BT481">
        <v>50</v>
      </c>
      <c r="BU481">
        <v>0.11666700000000001</v>
      </c>
      <c r="BV481">
        <v>36.666666999999997</v>
      </c>
      <c r="BW481">
        <v>50</v>
      </c>
      <c r="BX481" t="s">
        <v>125</v>
      </c>
      <c r="BY481" t="s">
        <v>125</v>
      </c>
      <c r="BZ481" t="s">
        <v>125</v>
      </c>
      <c r="CA481" t="s">
        <v>125</v>
      </c>
      <c r="CB481" t="s">
        <v>125</v>
      </c>
      <c r="CC481" t="s">
        <v>125</v>
      </c>
      <c r="CD481" t="s">
        <v>125</v>
      </c>
      <c r="CE481" t="s">
        <v>125</v>
      </c>
      <c r="CF481" t="s">
        <v>125</v>
      </c>
      <c r="CG481" t="s">
        <v>125</v>
      </c>
      <c r="CH481" t="s">
        <v>125</v>
      </c>
      <c r="CI481" t="s">
        <v>125</v>
      </c>
      <c r="CJ481" t="s">
        <v>125</v>
      </c>
      <c r="CK481" t="s">
        <v>125</v>
      </c>
      <c r="CL481" t="s">
        <v>125</v>
      </c>
      <c r="CM481" t="s">
        <v>125</v>
      </c>
      <c r="CN481" t="s">
        <v>125</v>
      </c>
      <c r="CO481" t="s">
        <v>125</v>
      </c>
      <c r="CP481" t="s">
        <v>125</v>
      </c>
      <c r="CQ481">
        <v>0.76136400000000004</v>
      </c>
      <c r="CR481">
        <v>0.97416999999999998</v>
      </c>
      <c r="CS481">
        <v>50</v>
      </c>
      <c r="CT481">
        <v>50</v>
      </c>
      <c r="CU481" t="s">
        <v>125</v>
      </c>
      <c r="CV481" t="s">
        <v>125</v>
      </c>
      <c r="CW481" t="s">
        <v>125</v>
      </c>
      <c r="CX481" t="s">
        <v>125</v>
      </c>
      <c r="CY481" t="s">
        <v>125</v>
      </c>
      <c r="CZ481" t="s">
        <v>125</v>
      </c>
      <c r="DA481">
        <v>15.314097</v>
      </c>
      <c r="DB481">
        <v>17.400950000000002</v>
      </c>
      <c r="DC481">
        <v>16.332519999999999</v>
      </c>
      <c r="DD481" t="s">
        <v>125</v>
      </c>
      <c r="DE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Q481" t="s">
        <v>126</v>
      </c>
    </row>
    <row r="482" spans="1:121" x14ac:dyDescent="0.15">
      <c r="A482">
        <v>2018</v>
      </c>
      <c r="B482" t="s">
        <v>297</v>
      </c>
      <c r="C482" t="str">
        <f t="shared" si="15"/>
        <v>0600011</v>
      </c>
      <c r="D482" t="s">
        <v>636</v>
      </c>
      <c r="E482" t="str">
        <f>"0600611"</f>
        <v>0600611</v>
      </c>
      <c r="F482" t="s">
        <v>328</v>
      </c>
      <c r="G482" t="s">
        <v>339</v>
      </c>
      <c r="H482">
        <v>4</v>
      </c>
      <c r="I482" t="s">
        <v>330</v>
      </c>
      <c r="J482" t="s">
        <v>331</v>
      </c>
      <c r="K482">
        <v>560.66551100000004</v>
      </c>
      <c r="L482">
        <v>750</v>
      </c>
      <c r="M482">
        <v>74.755401000000006</v>
      </c>
      <c r="N482">
        <v>2</v>
      </c>
      <c r="O482">
        <v>0</v>
      </c>
      <c r="P482">
        <v>81.558107000000007</v>
      </c>
      <c r="Q482">
        <v>50</v>
      </c>
      <c r="R482">
        <v>50</v>
      </c>
      <c r="S482">
        <v>69.302038999999994</v>
      </c>
      <c r="T482">
        <v>75</v>
      </c>
      <c r="U482">
        <v>46.201360000000001</v>
      </c>
      <c r="V482">
        <v>50</v>
      </c>
      <c r="W482">
        <v>77.014887000000002</v>
      </c>
      <c r="X482">
        <v>50</v>
      </c>
      <c r="Y482">
        <v>50</v>
      </c>
      <c r="Z482">
        <v>75</v>
      </c>
      <c r="AA482">
        <v>67.829447000000002</v>
      </c>
      <c r="AB482">
        <v>45.219631</v>
      </c>
      <c r="AC482">
        <v>50</v>
      </c>
      <c r="AD482" t="s">
        <v>125</v>
      </c>
      <c r="AE482" t="s">
        <v>125</v>
      </c>
      <c r="AF482" t="s">
        <v>125</v>
      </c>
      <c r="AG482" t="s">
        <v>125</v>
      </c>
      <c r="AH482" t="s">
        <v>125</v>
      </c>
      <c r="AI482" t="s">
        <v>125</v>
      </c>
      <c r="AJ482" t="s">
        <v>125</v>
      </c>
      <c r="AK482">
        <v>5.69</v>
      </c>
      <c r="AL482">
        <v>7.17</v>
      </c>
      <c r="AM482" t="s">
        <v>125</v>
      </c>
      <c r="AN482">
        <v>0.65424899999999997</v>
      </c>
      <c r="AO482">
        <v>65.424856000000005</v>
      </c>
      <c r="AP482">
        <v>100</v>
      </c>
      <c r="AQ482">
        <v>0.57766899999999999</v>
      </c>
      <c r="AR482">
        <v>57.766905999999999</v>
      </c>
      <c r="AS482">
        <v>100</v>
      </c>
      <c r="AT482">
        <v>0.45335500000000001</v>
      </c>
      <c r="AU482">
        <v>0.74799899999999997</v>
      </c>
      <c r="AV482">
        <v>45.335451999999997</v>
      </c>
      <c r="AW482">
        <v>100</v>
      </c>
      <c r="AX482">
        <v>0.50717299999999998</v>
      </c>
      <c r="AY482">
        <v>0.61056699999999997</v>
      </c>
      <c r="AZ482">
        <v>50.717306999999998</v>
      </c>
      <c r="BA482">
        <v>100</v>
      </c>
      <c r="BB482" t="s">
        <v>125</v>
      </c>
      <c r="BC482" t="s">
        <v>125</v>
      </c>
      <c r="BD482" t="s">
        <v>125</v>
      </c>
      <c r="BE482" t="s">
        <v>125</v>
      </c>
      <c r="BF482" t="s">
        <v>125</v>
      </c>
      <c r="BG482" t="s">
        <v>125</v>
      </c>
      <c r="BH482">
        <v>0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 t="s">
        <v>125</v>
      </c>
      <c r="BP482" t="s">
        <v>125</v>
      </c>
      <c r="BQ482" t="s">
        <v>125</v>
      </c>
      <c r="BR482">
        <v>1.5209E-2</v>
      </c>
      <c r="BS482">
        <v>50</v>
      </c>
      <c r="BT482">
        <v>50</v>
      </c>
      <c r="BU482">
        <v>2.7397000000000001E-2</v>
      </c>
      <c r="BV482">
        <v>50</v>
      </c>
      <c r="BW482">
        <v>50</v>
      </c>
      <c r="BX482" t="s">
        <v>125</v>
      </c>
      <c r="BY482" t="s">
        <v>125</v>
      </c>
      <c r="BZ482" t="s">
        <v>125</v>
      </c>
      <c r="CA482" t="s">
        <v>125</v>
      </c>
      <c r="CB482" t="s">
        <v>125</v>
      </c>
      <c r="CC482" t="s">
        <v>125</v>
      </c>
      <c r="CD482" t="s">
        <v>125</v>
      </c>
      <c r="CE482" t="s">
        <v>125</v>
      </c>
      <c r="CF482" t="s">
        <v>125</v>
      </c>
      <c r="CG482" t="s">
        <v>125</v>
      </c>
      <c r="CH482" t="s">
        <v>125</v>
      </c>
      <c r="CI482" t="s">
        <v>125</v>
      </c>
      <c r="CJ482" t="s">
        <v>125</v>
      </c>
      <c r="CK482" t="s">
        <v>125</v>
      </c>
      <c r="CL482" t="s">
        <v>125</v>
      </c>
      <c r="CM482" t="s">
        <v>125</v>
      </c>
      <c r="CN482" t="s">
        <v>125</v>
      </c>
      <c r="CO482" t="s">
        <v>125</v>
      </c>
      <c r="CP482" t="s">
        <v>125</v>
      </c>
      <c r="CQ482">
        <v>0.82352899999999996</v>
      </c>
      <c r="CR482">
        <v>1</v>
      </c>
      <c r="CS482">
        <v>50</v>
      </c>
      <c r="CT482">
        <v>50</v>
      </c>
      <c r="CU482" t="s">
        <v>125</v>
      </c>
      <c r="CV482" t="s">
        <v>125</v>
      </c>
      <c r="CW482" t="s">
        <v>125</v>
      </c>
      <c r="CX482" t="s">
        <v>125</v>
      </c>
      <c r="CY482" t="s">
        <v>125</v>
      </c>
      <c r="CZ482" t="s">
        <v>125</v>
      </c>
      <c r="DA482">
        <v>15.314097</v>
      </c>
      <c r="DB482">
        <v>17.400950000000002</v>
      </c>
      <c r="DC482">
        <v>16.332519999999999</v>
      </c>
      <c r="DD482" t="s">
        <v>125</v>
      </c>
      <c r="DE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Q482" t="s">
        <v>126</v>
      </c>
    </row>
    <row r="483" spans="1:121" x14ac:dyDescent="0.15">
      <c r="A483">
        <v>2018</v>
      </c>
      <c r="B483" t="s">
        <v>297</v>
      </c>
      <c r="C483" t="str">
        <f t="shared" si="15"/>
        <v>0600011</v>
      </c>
      <c r="D483" t="s">
        <v>637</v>
      </c>
      <c r="E483" t="str">
        <f>"0600411"</f>
        <v>0600411</v>
      </c>
      <c r="F483" t="s">
        <v>328</v>
      </c>
      <c r="G483" t="s">
        <v>339</v>
      </c>
      <c r="H483">
        <v>4</v>
      </c>
      <c r="J483" t="s">
        <v>331</v>
      </c>
      <c r="K483">
        <v>479.74611700000003</v>
      </c>
      <c r="L483">
        <v>550</v>
      </c>
      <c r="M483">
        <v>87.226567000000003</v>
      </c>
      <c r="N483">
        <v>1</v>
      </c>
      <c r="O483">
        <v>0</v>
      </c>
      <c r="P483">
        <v>84.612353999999996</v>
      </c>
      <c r="Q483">
        <v>50</v>
      </c>
      <c r="R483">
        <v>50</v>
      </c>
      <c r="S483">
        <v>70.453755000000001</v>
      </c>
      <c r="T483">
        <v>75</v>
      </c>
      <c r="U483">
        <v>46.969169999999998</v>
      </c>
      <c r="V483">
        <v>50</v>
      </c>
      <c r="W483">
        <v>80.629008999999996</v>
      </c>
      <c r="X483">
        <v>50</v>
      </c>
      <c r="Y483">
        <v>50</v>
      </c>
      <c r="Z483">
        <v>75</v>
      </c>
      <c r="AA483">
        <v>61.732714999999999</v>
      </c>
      <c r="AB483">
        <v>41.155143000000002</v>
      </c>
      <c r="AC483">
        <v>50</v>
      </c>
      <c r="AD483" t="s">
        <v>125</v>
      </c>
      <c r="AE483" t="s">
        <v>125</v>
      </c>
      <c r="AF483" t="s">
        <v>125</v>
      </c>
      <c r="AG483" t="s">
        <v>125</v>
      </c>
      <c r="AH483" t="s">
        <v>125</v>
      </c>
      <c r="AI483" t="s">
        <v>125</v>
      </c>
      <c r="AJ483" t="s">
        <v>125</v>
      </c>
      <c r="AK483">
        <v>4.54</v>
      </c>
      <c r="AL483">
        <v>13.26</v>
      </c>
      <c r="AM483" t="s">
        <v>125</v>
      </c>
      <c r="AN483">
        <v>0.67685200000000001</v>
      </c>
      <c r="AO483">
        <v>67.685213000000005</v>
      </c>
      <c r="AP483">
        <v>100</v>
      </c>
      <c r="AQ483">
        <v>0.73936599999999997</v>
      </c>
      <c r="AR483">
        <v>73.936591000000007</v>
      </c>
      <c r="AS483">
        <v>100</v>
      </c>
      <c r="AT483" t="s">
        <v>125</v>
      </c>
      <c r="AU483">
        <v>0.72041299999999997</v>
      </c>
      <c r="AV483" t="s">
        <v>125</v>
      </c>
      <c r="AW483" t="s">
        <v>125</v>
      </c>
      <c r="AX483" t="s">
        <v>125</v>
      </c>
      <c r="AY483">
        <v>0.74689499999999998</v>
      </c>
      <c r="AZ483" t="s">
        <v>125</v>
      </c>
      <c r="BA483" t="s">
        <v>125</v>
      </c>
      <c r="BB483" t="s">
        <v>125</v>
      </c>
      <c r="BC483" t="s">
        <v>125</v>
      </c>
      <c r="BD483" t="s">
        <v>125</v>
      </c>
      <c r="BE483" t="s">
        <v>125</v>
      </c>
      <c r="BF483" t="s">
        <v>125</v>
      </c>
      <c r="BG483" t="s">
        <v>125</v>
      </c>
      <c r="BH483">
        <v>0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 t="s">
        <v>125</v>
      </c>
      <c r="BP483" t="s">
        <v>125</v>
      </c>
      <c r="BQ483" t="s">
        <v>125</v>
      </c>
      <c r="BR483">
        <v>2.3904000000000002E-2</v>
      </c>
      <c r="BS483">
        <v>50</v>
      </c>
      <c r="BT483">
        <v>50</v>
      </c>
      <c r="BU483">
        <v>3.2786999999999997E-2</v>
      </c>
      <c r="BV483">
        <v>50</v>
      </c>
      <c r="BW483">
        <v>50</v>
      </c>
      <c r="BX483" t="s">
        <v>125</v>
      </c>
      <c r="BY483" t="s">
        <v>125</v>
      </c>
      <c r="BZ483" t="s">
        <v>125</v>
      </c>
      <c r="CA483" t="s">
        <v>125</v>
      </c>
      <c r="CB483" t="s">
        <v>125</v>
      </c>
      <c r="CC483" t="s">
        <v>125</v>
      </c>
      <c r="CD483" t="s">
        <v>125</v>
      </c>
      <c r="CE483" t="s">
        <v>125</v>
      </c>
      <c r="CF483" t="s">
        <v>125</v>
      </c>
      <c r="CG483" t="s">
        <v>125</v>
      </c>
      <c r="CH483" t="s">
        <v>125</v>
      </c>
      <c r="CI483" t="s">
        <v>125</v>
      </c>
      <c r="CJ483" t="s">
        <v>125</v>
      </c>
      <c r="CK483" t="s">
        <v>125</v>
      </c>
      <c r="CL483" t="s">
        <v>125</v>
      </c>
      <c r="CM483" t="s">
        <v>125</v>
      </c>
      <c r="CN483" t="s">
        <v>125</v>
      </c>
      <c r="CO483" t="s">
        <v>125</v>
      </c>
      <c r="CP483" t="s">
        <v>125</v>
      </c>
      <c r="CQ483">
        <v>0.97916700000000001</v>
      </c>
      <c r="CR483">
        <v>1</v>
      </c>
      <c r="CS483">
        <v>50</v>
      </c>
      <c r="CT483">
        <v>50</v>
      </c>
      <c r="CU483" t="s">
        <v>125</v>
      </c>
      <c r="CV483" t="s">
        <v>125</v>
      </c>
      <c r="CW483" t="s">
        <v>125</v>
      </c>
      <c r="CX483" t="s">
        <v>125</v>
      </c>
      <c r="CY483" t="s">
        <v>125</v>
      </c>
      <c r="CZ483" t="s">
        <v>125</v>
      </c>
      <c r="DA483">
        <v>15.314097</v>
      </c>
      <c r="DB483">
        <v>17.400950000000002</v>
      </c>
      <c r="DC483">
        <v>16.332519999999999</v>
      </c>
      <c r="DD483" t="s">
        <v>125</v>
      </c>
      <c r="DE483">
        <v>0</v>
      </c>
      <c r="DH483" t="s">
        <v>332</v>
      </c>
      <c r="DI483" t="s">
        <v>333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Q483" t="s">
        <v>126</v>
      </c>
    </row>
    <row r="484" spans="1:121" x14ac:dyDescent="0.15">
      <c r="A484">
        <v>2018</v>
      </c>
      <c r="B484" t="s">
        <v>297</v>
      </c>
      <c r="C484" t="str">
        <f t="shared" si="15"/>
        <v>0600011</v>
      </c>
      <c r="D484" t="s">
        <v>638</v>
      </c>
      <c r="E484" t="str">
        <f>"0605111"</f>
        <v>0605111</v>
      </c>
      <c r="F484" t="s">
        <v>328</v>
      </c>
      <c r="G484">
        <v>7</v>
      </c>
      <c r="H484">
        <v>8</v>
      </c>
      <c r="J484" t="s">
        <v>331</v>
      </c>
      <c r="K484">
        <v>720.09605299999998</v>
      </c>
      <c r="L484">
        <v>900</v>
      </c>
      <c r="M484">
        <v>80.010672999999997</v>
      </c>
      <c r="N484">
        <v>2</v>
      </c>
      <c r="O484">
        <v>0</v>
      </c>
      <c r="P484">
        <v>80.994292999999999</v>
      </c>
      <c r="Q484">
        <v>50</v>
      </c>
      <c r="R484">
        <v>50</v>
      </c>
      <c r="S484">
        <v>64.285295000000005</v>
      </c>
      <c r="T484">
        <v>75</v>
      </c>
      <c r="U484">
        <v>42.856864000000002</v>
      </c>
      <c r="V484">
        <v>50</v>
      </c>
      <c r="W484">
        <v>79.354382000000001</v>
      </c>
      <c r="X484">
        <v>50</v>
      </c>
      <c r="Y484">
        <v>50</v>
      </c>
      <c r="Z484">
        <v>75</v>
      </c>
      <c r="AA484">
        <v>62.724122000000001</v>
      </c>
      <c r="AB484">
        <v>41.816080999999997</v>
      </c>
      <c r="AC484">
        <v>50</v>
      </c>
      <c r="AD484">
        <v>76.915413999999998</v>
      </c>
      <c r="AE484">
        <v>50</v>
      </c>
      <c r="AF484">
        <v>50</v>
      </c>
      <c r="AG484">
        <v>62.070846000000003</v>
      </c>
      <c r="AH484">
        <v>75</v>
      </c>
      <c r="AI484">
        <v>41.380564</v>
      </c>
      <c r="AJ484">
        <v>50</v>
      </c>
      <c r="AK484">
        <v>10.71</v>
      </c>
      <c r="AL484">
        <v>12.27</v>
      </c>
      <c r="AM484">
        <v>12.92</v>
      </c>
      <c r="AN484">
        <v>0.61595999999999995</v>
      </c>
      <c r="AO484">
        <v>61.595965999999997</v>
      </c>
      <c r="AP484">
        <v>100</v>
      </c>
      <c r="AQ484">
        <v>0.75296099999999999</v>
      </c>
      <c r="AR484">
        <v>75.296128999999993</v>
      </c>
      <c r="AS484">
        <v>100</v>
      </c>
      <c r="AT484">
        <v>0.48313200000000001</v>
      </c>
      <c r="AU484">
        <v>0.646953</v>
      </c>
      <c r="AV484">
        <v>48.313175999999999</v>
      </c>
      <c r="AW484">
        <v>100</v>
      </c>
      <c r="AX484">
        <v>0.69195099999999998</v>
      </c>
      <c r="AY484">
        <v>0.76719700000000002</v>
      </c>
      <c r="AZ484">
        <v>69.195137000000003</v>
      </c>
      <c r="BA484">
        <v>100</v>
      </c>
      <c r="BB484" t="s">
        <v>125</v>
      </c>
      <c r="BC484" t="s">
        <v>125</v>
      </c>
      <c r="BD484" t="s">
        <v>125</v>
      </c>
      <c r="BE484" t="s">
        <v>125</v>
      </c>
      <c r="BF484" t="s">
        <v>125</v>
      </c>
      <c r="BG484" t="s">
        <v>125</v>
      </c>
      <c r="BH484">
        <v>0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4.4905E-2</v>
      </c>
      <c r="BS484">
        <v>50</v>
      </c>
      <c r="BT484">
        <v>50</v>
      </c>
      <c r="BU484">
        <v>8.6957000000000007E-2</v>
      </c>
      <c r="BV484">
        <v>42.608696000000002</v>
      </c>
      <c r="BW484">
        <v>50</v>
      </c>
      <c r="BX484" t="s">
        <v>125</v>
      </c>
      <c r="BY484" t="s">
        <v>125</v>
      </c>
      <c r="BZ484" t="s">
        <v>125</v>
      </c>
      <c r="CA484" t="s">
        <v>125</v>
      </c>
      <c r="CB484" t="s">
        <v>125</v>
      </c>
      <c r="CC484" t="s">
        <v>125</v>
      </c>
      <c r="CD484">
        <v>0.94274800000000003</v>
      </c>
      <c r="CE484">
        <v>50</v>
      </c>
      <c r="CF484">
        <v>50</v>
      </c>
      <c r="CG484" t="s">
        <v>125</v>
      </c>
      <c r="CH484" t="s">
        <v>125</v>
      </c>
      <c r="CI484" t="s">
        <v>125</v>
      </c>
      <c r="CJ484" t="s">
        <v>125</v>
      </c>
      <c r="CK484" t="s">
        <v>125</v>
      </c>
      <c r="CL484" t="s">
        <v>125</v>
      </c>
      <c r="CM484" t="s">
        <v>125</v>
      </c>
      <c r="CN484" t="s">
        <v>125</v>
      </c>
      <c r="CO484" t="s">
        <v>125</v>
      </c>
      <c r="CP484" t="s">
        <v>125</v>
      </c>
      <c r="CQ484">
        <v>0.70550199999999996</v>
      </c>
      <c r="CR484">
        <v>1.006515</v>
      </c>
      <c r="CS484">
        <v>47.033441000000003</v>
      </c>
      <c r="CT484">
        <v>50</v>
      </c>
      <c r="CU484" t="s">
        <v>125</v>
      </c>
      <c r="CV484" t="s">
        <v>125</v>
      </c>
      <c r="CW484" t="s">
        <v>125</v>
      </c>
      <c r="CX484" t="s">
        <v>125</v>
      </c>
      <c r="CY484" t="s">
        <v>125</v>
      </c>
      <c r="CZ484" t="s">
        <v>125</v>
      </c>
      <c r="DA484">
        <v>15.314097</v>
      </c>
      <c r="DB484">
        <v>17.400950000000002</v>
      </c>
      <c r="DC484">
        <v>16.332519999999999</v>
      </c>
      <c r="DD484" t="s">
        <v>125</v>
      </c>
      <c r="DE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Q484" t="s">
        <v>126</v>
      </c>
    </row>
    <row r="485" spans="1:121" x14ac:dyDescent="0.15">
      <c r="A485">
        <v>2018</v>
      </c>
      <c r="B485" t="s">
        <v>297</v>
      </c>
      <c r="C485" t="str">
        <f t="shared" si="15"/>
        <v>0600011</v>
      </c>
      <c r="D485" t="s">
        <v>639</v>
      </c>
      <c r="E485" t="str">
        <f>"0606111"</f>
        <v>0606111</v>
      </c>
      <c r="F485" t="s">
        <v>328</v>
      </c>
      <c r="G485">
        <v>9</v>
      </c>
      <c r="H485">
        <v>12</v>
      </c>
      <c r="J485" t="s">
        <v>331</v>
      </c>
      <c r="K485">
        <v>1282.918408</v>
      </c>
      <c r="L485">
        <v>1450</v>
      </c>
      <c r="M485">
        <v>88.477131999999997</v>
      </c>
      <c r="N485">
        <v>2</v>
      </c>
      <c r="O485">
        <v>1</v>
      </c>
      <c r="P485">
        <v>69.074786000000003</v>
      </c>
      <c r="Q485">
        <v>138.149573</v>
      </c>
      <c r="R485">
        <v>150</v>
      </c>
      <c r="S485">
        <v>56.445326000000001</v>
      </c>
      <c r="T485">
        <v>72.642750000000007</v>
      </c>
      <c r="U485">
        <v>112.890653</v>
      </c>
      <c r="V485">
        <v>150</v>
      </c>
      <c r="W485">
        <v>68.713674999999995</v>
      </c>
      <c r="X485">
        <v>137.42734999999999</v>
      </c>
      <c r="Y485">
        <v>150</v>
      </c>
      <c r="Z485">
        <v>72.593423000000001</v>
      </c>
      <c r="AA485">
        <v>54.980600000000003</v>
      </c>
      <c r="AB485">
        <v>109.96119899999999</v>
      </c>
      <c r="AC485">
        <v>150</v>
      </c>
      <c r="AD485">
        <v>73.468603000000002</v>
      </c>
      <c r="AE485">
        <v>97.958136999999994</v>
      </c>
      <c r="AF485">
        <v>100</v>
      </c>
      <c r="AG485">
        <v>62.766004000000002</v>
      </c>
      <c r="AH485">
        <v>75</v>
      </c>
      <c r="AI485">
        <v>83.688005000000004</v>
      </c>
      <c r="AJ485">
        <v>100</v>
      </c>
      <c r="AK485">
        <v>16.190000000000001</v>
      </c>
      <c r="AL485">
        <v>17.61</v>
      </c>
      <c r="AM485">
        <v>12.23</v>
      </c>
      <c r="AN485" t="s">
        <v>125</v>
      </c>
      <c r="AO485" t="s">
        <v>125</v>
      </c>
      <c r="AP485" t="s">
        <v>125</v>
      </c>
      <c r="AQ485" t="s">
        <v>125</v>
      </c>
      <c r="AR485" t="s">
        <v>125</v>
      </c>
      <c r="AS485" t="s">
        <v>125</v>
      </c>
      <c r="AT485" t="s">
        <v>125</v>
      </c>
      <c r="AU485" t="s">
        <v>125</v>
      </c>
      <c r="AV485" t="s">
        <v>125</v>
      </c>
      <c r="AW485" t="s">
        <v>125</v>
      </c>
      <c r="AX485" t="s">
        <v>125</v>
      </c>
      <c r="AY485" t="s">
        <v>125</v>
      </c>
      <c r="AZ485" t="s">
        <v>125</v>
      </c>
      <c r="BA485" t="s">
        <v>125</v>
      </c>
      <c r="BB485" t="s">
        <v>125</v>
      </c>
      <c r="BC485" t="s">
        <v>125</v>
      </c>
      <c r="BD485" t="s">
        <v>125</v>
      </c>
      <c r="BE485" t="s">
        <v>125</v>
      </c>
      <c r="BF485" t="s">
        <v>125</v>
      </c>
      <c r="BG485" t="s">
        <v>125</v>
      </c>
      <c r="BH485">
        <v>0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9.8449999999999996E-2</v>
      </c>
      <c r="BS485">
        <v>40.309936</v>
      </c>
      <c r="BT485">
        <v>50</v>
      </c>
      <c r="BU485">
        <v>0.15789500000000001</v>
      </c>
      <c r="BV485">
        <v>28.421053000000001</v>
      </c>
      <c r="BW485">
        <v>50</v>
      </c>
      <c r="BX485">
        <v>0.63423399999999996</v>
      </c>
      <c r="BY485">
        <v>42.282282000000002</v>
      </c>
      <c r="BZ485">
        <v>50</v>
      </c>
      <c r="CA485">
        <v>0.700901</v>
      </c>
      <c r="CB485">
        <v>46.726726999999997</v>
      </c>
      <c r="CC485">
        <v>50</v>
      </c>
      <c r="CD485">
        <v>0.94982100000000003</v>
      </c>
      <c r="CE485">
        <v>50</v>
      </c>
      <c r="CF485">
        <v>50</v>
      </c>
      <c r="CG485">
        <v>0.98281799999999997</v>
      </c>
      <c r="CH485">
        <v>100</v>
      </c>
      <c r="CI485">
        <v>100</v>
      </c>
      <c r="CJ485">
        <v>0</v>
      </c>
      <c r="CK485">
        <v>0.92307700000000004</v>
      </c>
      <c r="CL485">
        <v>98.199673000000004</v>
      </c>
      <c r="CM485">
        <v>100</v>
      </c>
      <c r="CN485">
        <v>0.79863499999999998</v>
      </c>
      <c r="CO485">
        <v>100</v>
      </c>
      <c r="CP485">
        <v>100</v>
      </c>
      <c r="CQ485">
        <v>0.70355699999999999</v>
      </c>
      <c r="CR485">
        <v>0.94403000000000004</v>
      </c>
      <c r="CS485">
        <v>46.903821000000001</v>
      </c>
      <c r="CT485">
        <v>50</v>
      </c>
      <c r="CU485">
        <v>0.70009100000000002</v>
      </c>
      <c r="CV485">
        <v>50</v>
      </c>
      <c r="CW485">
        <v>50</v>
      </c>
      <c r="CX485">
        <v>0.92307700000000004</v>
      </c>
      <c r="CY485">
        <v>0.94</v>
      </c>
      <c r="CZ485">
        <v>1.6923000000000001E-2</v>
      </c>
      <c r="DA485">
        <v>15.314097</v>
      </c>
      <c r="DB485">
        <v>17.400950000000002</v>
      </c>
      <c r="DC485">
        <v>16.332519999999999</v>
      </c>
      <c r="DD485">
        <v>7.9891730000000001</v>
      </c>
      <c r="DE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Q485" t="s">
        <v>126</v>
      </c>
    </row>
    <row r="486" spans="1:121" x14ac:dyDescent="0.15">
      <c r="A486">
        <v>2018</v>
      </c>
      <c r="B486" t="s">
        <v>297</v>
      </c>
      <c r="C486" t="str">
        <f t="shared" si="15"/>
        <v>0600011</v>
      </c>
      <c r="D486" t="s">
        <v>640</v>
      </c>
      <c r="E486" t="str">
        <f>"0600211"</f>
        <v>0600211</v>
      </c>
      <c r="F486" t="s">
        <v>328</v>
      </c>
      <c r="G486" t="s">
        <v>329</v>
      </c>
      <c r="H486">
        <v>4</v>
      </c>
      <c r="J486" t="s">
        <v>331</v>
      </c>
      <c r="K486">
        <v>495.83485899999999</v>
      </c>
      <c r="L486">
        <v>550</v>
      </c>
      <c r="M486">
        <v>90.151792999999998</v>
      </c>
      <c r="N486">
        <v>1</v>
      </c>
      <c r="O486">
        <v>0</v>
      </c>
      <c r="P486">
        <v>84.605765000000005</v>
      </c>
      <c r="Q486">
        <v>50</v>
      </c>
      <c r="R486">
        <v>50</v>
      </c>
      <c r="S486">
        <v>69.050224999999998</v>
      </c>
      <c r="T486">
        <v>75</v>
      </c>
      <c r="U486">
        <v>46.033482999999997</v>
      </c>
      <c r="V486">
        <v>50</v>
      </c>
      <c r="W486">
        <v>84.637153999999995</v>
      </c>
      <c r="X486">
        <v>50</v>
      </c>
      <c r="Y486">
        <v>50</v>
      </c>
      <c r="Z486">
        <v>75</v>
      </c>
      <c r="AA486">
        <v>69.812048000000004</v>
      </c>
      <c r="AB486">
        <v>46.541364999999999</v>
      </c>
      <c r="AC486">
        <v>50</v>
      </c>
      <c r="AD486" t="s">
        <v>125</v>
      </c>
      <c r="AE486" t="s">
        <v>125</v>
      </c>
      <c r="AF486" t="s">
        <v>125</v>
      </c>
      <c r="AG486" t="s">
        <v>125</v>
      </c>
      <c r="AH486" t="s">
        <v>125</v>
      </c>
      <c r="AI486" t="s">
        <v>125</v>
      </c>
      <c r="AJ486" t="s">
        <v>125</v>
      </c>
      <c r="AK486">
        <v>5.94</v>
      </c>
      <c r="AL486">
        <v>5.18</v>
      </c>
      <c r="AM486" t="s">
        <v>125</v>
      </c>
      <c r="AN486">
        <v>0.77292700000000003</v>
      </c>
      <c r="AO486">
        <v>77.292719000000005</v>
      </c>
      <c r="AP486">
        <v>100</v>
      </c>
      <c r="AQ486">
        <v>0.81653600000000004</v>
      </c>
      <c r="AR486">
        <v>81.653565999999998</v>
      </c>
      <c r="AS486">
        <v>100</v>
      </c>
      <c r="AT486" t="s">
        <v>125</v>
      </c>
      <c r="AU486">
        <v>0.78809899999999999</v>
      </c>
      <c r="AV486" t="s">
        <v>125</v>
      </c>
      <c r="AW486" t="s">
        <v>125</v>
      </c>
      <c r="AX486" t="s">
        <v>125</v>
      </c>
      <c r="AY486">
        <v>0.80766199999999999</v>
      </c>
      <c r="AZ486" t="s">
        <v>125</v>
      </c>
      <c r="BA486" t="s">
        <v>125</v>
      </c>
      <c r="BB486" t="s">
        <v>125</v>
      </c>
      <c r="BC486" t="s">
        <v>125</v>
      </c>
      <c r="BD486" t="s">
        <v>125</v>
      </c>
      <c r="BE486" t="s">
        <v>125</v>
      </c>
      <c r="BF486" t="s">
        <v>125</v>
      </c>
      <c r="BG486" t="s">
        <v>125</v>
      </c>
      <c r="BH486">
        <v>0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 t="s">
        <v>125</v>
      </c>
      <c r="BP486" t="s">
        <v>125</v>
      </c>
      <c r="BQ486" t="s">
        <v>125</v>
      </c>
      <c r="BR486">
        <v>2.1277000000000001E-2</v>
      </c>
      <c r="BS486">
        <v>50</v>
      </c>
      <c r="BT486">
        <v>50</v>
      </c>
      <c r="BU486">
        <v>7.8431000000000001E-2</v>
      </c>
      <c r="BV486">
        <v>44.313724999999998</v>
      </c>
      <c r="BW486">
        <v>50</v>
      </c>
      <c r="BX486" t="s">
        <v>125</v>
      </c>
      <c r="BY486" t="s">
        <v>125</v>
      </c>
      <c r="BZ486" t="s">
        <v>125</v>
      </c>
      <c r="CA486" t="s">
        <v>125</v>
      </c>
      <c r="CB486" t="s">
        <v>125</v>
      </c>
      <c r="CC486" t="s">
        <v>125</v>
      </c>
      <c r="CD486" t="s">
        <v>125</v>
      </c>
      <c r="CE486" t="s">
        <v>125</v>
      </c>
      <c r="CF486" t="s">
        <v>125</v>
      </c>
      <c r="CG486" t="s">
        <v>125</v>
      </c>
      <c r="CH486" t="s">
        <v>125</v>
      </c>
      <c r="CI486" t="s">
        <v>125</v>
      </c>
      <c r="CJ486" t="s">
        <v>125</v>
      </c>
      <c r="CK486" t="s">
        <v>125</v>
      </c>
      <c r="CL486" t="s">
        <v>125</v>
      </c>
      <c r="CM486" t="s">
        <v>125</v>
      </c>
      <c r="CN486" t="s">
        <v>125</v>
      </c>
      <c r="CO486" t="s">
        <v>125</v>
      </c>
      <c r="CP486" t="s">
        <v>125</v>
      </c>
      <c r="CQ486">
        <v>0.87931000000000004</v>
      </c>
      <c r="CR486">
        <v>0.96666700000000005</v>
      </c>
      <c r="CS486">
        <v>50</v>
      </c>
      <c r="CT486">
        <v>50</v>
      </c>
      <c r="CU486" t="s">
        <v>125</v>
      </c>
      <c r="CV486" t="s">
        <v>125</v>
      </c>
      <c r="CW486" t="s">
        <v>125</v>
      </c>
      <c r="CX486" t="s">
        <v>125</v>
      </c>
      <c r="CY486" t="s">
        <v>125</v>
      </c>
      <c r="CZ486" t="s">
        <v>125</v>
      </c>
      <c r="DA486">
        <v>15.314097</v>
      </c>
      <c r="DB486">
        <v>17.400950000000002</v>
      </c>
      <c r="DC486">
        <v>16.332519999999999</v>
      </c>
      <c r="DD486" t="s">
        <v>125</v>
      </c>
      <c r="DE486">
        <v>0</v>
      </c>
      <c r="DH486" t="s">
        <v>332</v>
      </c>
      <c r="DI486" t="s">
        <v>333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Q486" t="s">
        <v>126</v>
      </c>
    </row>
    <row r="487" spans="1:121" x14ac:dyDescent="0.15">
      <c r="A487">
        <v>2018</v>
      </c>
      <c r="B487" t="s">
        <v>297</v>
      </c>
      <c r="C487" t="str">
        <f t="shared" si="15"/>
        <v>0600011</v>
      </c>
      <c r="D487" t="s">
        <v>641</v>
      </c>
      <c r="E487" t="str">
        <f>"0600311"</f>
        <v>0600311</v>
      </c>
      <c r="F487" t="s">
        <v>328</v>
      </c>
      <c r="G487" t="s">
        <v>339</v>
      </c>
      <c r="H487">
        <v>4</v>
      </c>
      <c r="I487" t="s">
        <v>330</v>
      </c>
      <c r="J487" t="s">
        <v>331</v>
      </c>
      <c r="K487">
        <v>663.80098999999996</v>
      </c>
      <c r="L487">
        <v>750</v>
      </c>
      <c r="M487">
        <v>88.506799000000001</v>
      </c>
      <c r="N487">
        <v>1</v>
      </c>
      <c r="O487">
        <v>0</v>
      </c>
      <c r="P487">
        <v>80.417242000000002</v>
      </c>
      <c r="Q487">
        <v>50</v>
      </c>
      <c r="R487">
        <v>50</v>
      </c>
      <c r="S487">
        <v>68.953091999999998</v>
      </c>
      <c r="T487">
        <v>75</v>
      </c>
      <c r="U487">
        <v>45.968727999999999</v>
      </c>
      <c r="V487">
        <v>50</v>
      </c>
      <c r="W487">
        <v>76.178393</v>
      </c>
      <c r="X487">
        <v>50</v>
      </c>
      <c r="Y487">
        <v>50</v>
      </c>
      <c r="Z487">
        <v>75</v>
      </c>
      <c r="AA487">
        <v>63.830157999999997</v>
      </c>
      <c r="AB487">
        <v>42.553438999999997</v>
      </c>
      <c r="AC487">
        <v>50</v>
      </c>
      <c r="AD487" t="s">
        <v>125</v>
      </c>
      <c r="AE487" t="s">
        <v>125</v>
      </c>
      <c r="AF487" t="s">
        <v>125</v>
      </c>
      <c r="AG487" t="s">
        <v>125</v>
      </c>
      <c r="AH487" t="s">
        <v>125</v>
      </c>
      <c r="AI487" t="s">
        <v>125</v>
      </c>
      <c r="AJ487" t="s">
        <v>125</v>
      </c>
      <c r="AK487">
        <v>6.04</v>
      </c>
      <c r="AL487">
        <v>11.16</v>
      </c>
      <c r="AM487" t="s">
        <v>125</v>
      </c>
      <c r="AN487">
        <v>0.766876</v>
      </c>
      <c r="AO487">
        <v>76.687641999999997</v>
      </c>
      <c r="AP487">
        <v>100</v>
      </c>
      <c r="AQ487">
        <v>0.88058099999999995</v>
      </c>
      <c r="AR487">
        <v>88.058059999999998</v>
      </c>
      <c r="AS487">
        <v>100</v>
      </c>
      <c r="AT487">
        <v>0.71495799999999998</v>
      </c>
      <c r="AU487">
        <v>0.79616299999999995</v>
      </c>
      <c r="AV487">
        <v>71.495844000000005</v>
      </c>
      <c r="AW487">
        <v>100</v>
      </c>
      <c r="AX487">
        <v>0.89163899999999996</v>
      </c>
      <c r="AY487">
        <v>0.87434299999999998</v>
      </c>
      <c r="AZ487">
        <v>89.16386</v>
      </c>
      <c r="BA487">
        <v>100</v>
      </c>
      <c r="BB487" t="s">
        <v>125</v>
      </c>
      <c r="BC487" t="s">
        <v>125</v>
      </c>
      <c r="BD487" t="s">
        <v>125</v>
      </c>
      <c r="BE487" t="s">
        <v>125</v>
      </c>
      <c r="BF487" t="s">
        <v>125</v>
      </c>
      <c r="BG487" t="s">
        <v>125</v>
      </c>
      <c r="BH487">
        <v>0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 t="s">
        <v>125</v>
      </c>
      <c r="BP487" t="s">
        <v>125</v>
      </c>
      <c r="BQ487" t="s">
        <v>125</v>
      </c>
      <c r="BR487">
        <v>3.4483E-2</v>
      </c>
      <c r="BS487">
        <v>50</v>
      </c>
      <c r="BT487">
        <v>50</v>
      </c>
      <c r="BU487">
        <v>5.0632999999999997E-2</v>
      </c>
      <c r="BV487">
        <v>49.873418000000001</v>
      </c>
      <c r="BW487">
        <v>50</v>
      </c>
      <c r="BX487" t="s">
        <v>125</v>
      </c>
      <c r="BY487" t="s">
        <v>125</v>
      </c>
      <c r="BZ487" t="s">
        <v>125</v>
      </c>
      <c r="CA487" t="s">
        <v>125</v>
      </c>
      <c r="CB487" t="s">
        <v>125</v>
      </c>
      <c r="CC487" t="s">
        <v>125</v>
      </c>
      <c r="CD487" t="s">
        <v>125</v>
      </c>
      <c r="CE487" t="s">
        <v>125</v>
      </c>
      <c r="CF487" t="s">
        <v>125</v>
      </c>
      <c r="CG487" t="s">
        <v>125</v>
      </c>
      <c r="CH487" t="s">
        <v>125</v>
      </c>
      <c r="CI487" t="s">
        <v>125</v>
      </c>
      <c r="CJ487" t="s">
        <v>125</v>
      </c>
      <c r="CK487" t="s">
        <v>125</v>
      </c>
      <c r="CL487" t="s">
        <v>125</v>
      </c>
      <c r="CM487" t="s">
        <v>125</v>
      </c>
      <c r="CN487" t="s">
        <v>125</v>
      </c>
      <c r="CO487" t="s">
        <v>125</v>
      </c>
      <c r="CP487" t="s">
        <v>125</v>
      </c>
      <c r="CQ487">
        <v>0.76190500000000005</v>
      </c>
      <c r="CR487">
        <v>0.96923099999999995</v>
      </c>
      <c r="CS487">
        <v>50</v>
      </c>
      <c r="CT487">
        <v>50</v>
      </c>
      <c r="CU487" t="s">
        <v>125</v>
      </c>
      <c r="CV487" t="s">
        <v>125</v>
      </c>
      <c r="CW487" t="s">
        <v>125</v>
      </c>
      <c r="CX487" t="s">
        <v>125</v>
      </c>
      <c r="CY487" t="s">
        <v>125</v>
      </c>
      <c r="CZ487" t="s">
        <v>125</v>
      </c>
      <c r="DA487">
        <v>15.314097</v>
      </c>
      <c r="DB487">
        <v>17.400950000000002</v>
      </c>
      <c r="DC487">
        <v>16.332519999999999</v>
      </c>
      <c r="DD487" t="s">
        <v>125</v>
      </c>
      <c r="DE487">
        <v>0</v>
      </c>
      <c r="DH487" t="s">
        <v>332</v>
      </c>
      <c r="DI487" t="s">
        <v>642</v>
      </c>
      <c r="DJ487">
        <v>1</v>
      </c>
      <c r="DK487">
        <v>0</v>
      </c>
      <c r="DL487">
        <v>1</v>
      </c>
      <c r="DM487">
        <v>1</v>
      </c>
      <c r="DN487">
        <v>1</v>
      </c>
      <c r="DO487">
        <v>0</v>
      </c>
      <c r="DQ487" t="s">
        <v>126</v>
      </c>
    </row>
    <row r="488" spans="1:121" x14ac:dyDescent="0.15">
      <c r="A488">
        <v>2018</v>
      </c>
      <c r="B488" t="s">
        <v>285</v>
      </c>
      <c r="C488" t="str">
        <f t="shared" ref="C488:C497" si="16">"0620011"</f>
        <v>0620011</v>
      </c>
      <c r="D488" t="s">
        <v>643</v>
      </c>
      <c r="E488" t="str">
        <f>"0621211"</f>
        <v>0621211</v>
      </c>
      <c r="F488" t="s">
        <v>328</v>
      </c>
      <c r="G488" t="s">
        <v>339</v>
      </c>
      <c r="H488">
        <v>6</v>
      </c>
      <c r="J488" t="s">
        <v>331</v>
      </c>
      <c r="K488">
        <v>640.85297000000003</v>
      </c>
      <c r="L488">
        <v>950</v>
      </c>
      <c r="M488">
        <v>67.458207000000002</v>
      </c>
      <c r="N488">
        <v>3</v>
      </c>
      <c r="O488">
        <v>0</v>
      </c>
      <c r="P488">
        <v>73.307080999999997</v>
      </c>
      <c r="Q488">
        <v>48.871386999999999</v>
      </c>
      <c r="R488">
        <v>50</v>
      </c>
      <c r="S488">
        <v>62.316521999999999</v>
      </c>
      <c r="T488">
        <v>75</v>
      </c>
      <c r="U488">
        <v>41.544347999999999</v>
      </c>
      <c r="V488">
        <v>50</v>
      </c>
      <c r="W488">
        <v>74.564560999999998</v>
      </c>
      <c r="X488">
        <v>49.709707999999999</v>
      </c>
      <c r="Y488">
        <v>50</v>
      </c>
      <c r="Z488">
        <v>75</v>
      </c>
      <c r="AA488">
        <v>61.221348999999996</v>
      </c>
      <c r="AB488">
        <v>40.814231999999997</v>
      </c>
      <c r="AC488">
        <v>50</v>
      </c>
      <c r="AD488">
        <v>72.952921000000003</v>
      </c>
      <c r="AE488">
        <v>48.635280000000002</v>
      </c>
      <c r="AF488">
        <v>50</v>
      </c>
      <c r="AG488">
        <v>62.338065</v>
      </c>
      <c r="AH488">
        <v>75</v>
      </c>
      <c r="AI488">
        <v>41.558709999999998</v>
      </c>
      <c r="AJ488">
        <v>50</v>
      </c>
      <c r="AK488">
        <v>12.68</v>
      </c>
      <c r="AL488">
        <v>13.77</v>
      </c>
      <c r="AM488">
        <v>12.66</v>
      </c>
      <c r="AN488">
        <v>0.54039000000000004</v>
      </c>
      <c r="AO488">
        <v>54.038957000000003</v>
      </c>
      <c r="AP488">
        <v>100</v>
      </c>
      <c r="AQ488">
        <v>0.72933000000000003</v>
      </c>
      <c r="AR488">
        <v>72.933030000000002</v>
      </c>
      <c r="AS488">
        <v>100</v>
      </c>
      <c r="AT488">
        <v>0.42529299999999998</v>
      </c>
      <c r="AU488">
        <v>0.59641</v>
      </c>
      <c r="AV488">
        <v>42.529290000000003</v>
      </c>
      <c r="AW488">
        <v>100</v>
      </c>
      <c r="AX488">
        <v>0.57644600000000001</v>
      </c>
      <c r="AY488">
        <v>0.80239000000000005</v>
      </c>
      <c r="AZ488">
        <v>57.644556999999999</v>
      </c>
      <c r="BA488">
        <v>100</v>
      </c>
      <c r="BB488">
        <v>0.67690700000000004</v>
      </c>
      <c r="BC488">
        <v>33.845360999999997</v>
      </c>
      <c r="BD488">
        <v>50</v>
      </c>
      <c r="BE488">
        <v>0.41987600000000003</v>
      </c>
      <c r="BF488">
        <v>20.99381</v>
      </c>
      <c r="BG488">
        <v>50</v>
      </c>
      <c r="BH488">
        <v>0</v>
      </c>
      <c r="BI488">
        <v>0.98425200000000002</v>
      </c>
      <c r="BJ488">
        <v>0.97590399999999999</v>
      </c>
      <c r="BK488">
        <v>0.98830399999999996</v>
      </c>
      <c r="BL488">
        <v>0.98425200000000002</v>
      </c>
      <c r="BM488">
        <v>0.97590399999999999</v>
      </c>
      <c r="BN488">
        <v>0.98830399999999996</v>
      </c>
      <c r="BO488">
        <v>1</v>
      </c>
      <c r="BP488">
        <v>1</v>
      </c>
      <c r="BQ488">
        <v>1</v>
      </c>
      <c r="BR488">
        <v>7.3459999999999998E-2</v>
      </c>
      <c r="BS488">
        <v>45.308056999999998</v>
      </c>
      <c r="BT488">
        <v>50</v>
      </c>
      <c r="BU488">
        <v>0.147059</v>
      </c>
      <c r="BV488">
        <v>30.588235000000001</v>
      </c>
      <c r="BW488">
        <v>50</v>
      </c>
      <c r="BX488" t="s">
        <v>125</v>
      </c>
      <c r="BY488" t="s">
        <v>125</v>
      </c>
      <c r="BZ488" t="s">
        <v>125</v>
      </c>
      <c r="CA488" t="s">
        <v>125</v>
      </c>
      <c r="CB488" t="s">
        <v>125</v>
      </c>
      <c r="CC488" t="s">
        <v>125</v>
      </c>
      <c r="CD488" t="s">
        <v>125</v>
      </c>
      <c r="CE488" t="s">
        <v>125</v>
      </c>
      <c r="CF488" t="s">
        <v>125</v>
      </c>
      <c r="CG488" t="s">
        <v>125</v>
      </c>
      <c r="CH488" t="s">
        <v>125</v>
      </c>
      <c r="CI488" t="s">
        <v>125</v>
      </c>
      <c r="CJ488" t="s">
        <v>125</v>
      </c>
      <c r="CK488" t="s">
        <v>125</v>
      </c>
      <c r="CL488" t="s">
        <v>125</v>
      </c>
      <c r="CM488" t="s">
        <v>125</v>
      </c>
      <c r="CN488" t="s">
        <v>125</v>
      </c>
      <c r="CO488" t="s">
        <v>125</v>
      </c>
      <c r="CP488" t="s">
        <v>125</v>
      </c>
      <c r="CQ488">
        <v>0.17757000000000001</v>
      </c>
      <c r="CR488">
        <v>0.97272700000000001</v>
      </c>
      <c r="CS488">
        <v>11.838006</v>
      </c>
      <c r="CT488">
        <v>50</v>
      </c>
      <c r="CU488" t="s">
        <v>125</v>
      </c>
      <c r="CV488" t="s">
        <v>125</v>
      </c>
      <c r="CW488" t="s">
        <v>125</v>
      </c>
      <c r="CX488" t="s">
        <v>125</v>
      </c>
      <c r="CY488" t="s">
        <v>125</v>
      </c>
      <c r="CZ488" t="s">
        <v>125</v>
      </c>
      <c r="DA488">
        <v>15.314097</v>
      </c>
      <c r="DB488">
        <v>17.400950000000002</v>
      </c>
      <c r="DC488">
        <v>16.332519999999999</v>
      </c>
      <c r="DD488" t="s">
        <v>125</v>
      </c>
      <c r="DE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Q488" t="s">
        <v>126</v>
      </c>
    </row>
    <row r="489" spans="1:121" x14ac:dyDescent="0.15">
      <c r="A489">
        <v>2018</v>
      </c>
      <c r="B489" t="s">
        <v>285</v>
      </c>
      <c r="C489" t="str">
        <f t="shared" si="16"/>
        <v>0620011</v>
      </c>
      <c r="D489" t="s">
        <v>644</v>
      </c>
      <c r="E489" t="str">
        <f>"0620211"</f>
        <v>0620211</v>
      </c>
      <c r="F489" t="s">
        <v>328</v>
      </c>
      <c r="G489" t="s">
        <v>329</v>
      </c>
      <c r="H489">
        <v>6</v>
      </c>
      <c r="I489" t="s">
        <v>336</v>
      </c>
      <c r="J489" t="s">
        <v>331</v>
      </c>
      <c r="K489">
        <v>602.95689600000003</v>
      </c>
      <c r="L489">
        <v>950</v>
      </c>
      <c r="M489">
        <v>63.469147</v>
      </c>
      <c r="N489">
        <v>3</v>
      </c>
      <c r="O489">
        <v>0</v>
      </c>
      <c r="P489">
        <v>58.236784999999998</v>
      </c>
      <c r="Q489">
        <v>38.824522999999999</v>
      </c>
      <c r="R489">
        <v>50</v>
      </c>
      <c r="S489">
        <v>57.590707999999999</v>
      </c>
      <c r="T489" t="s">
        <v>125</v>
      </c>
      <c r="U489">
        <v>38.393805</v>
      </c>
      <c r="V489">
        <v>50</v>
      </c>
      <c r="W489">
        <v>52.791100999999998</v>
      </c>
      <c r="X489">
        <v>35.194066999999997</v>
      </c>
      <c r="Y489">
        <v>50</v>
      </c>
      <c r="Z489" t="s">
        <v>125</v>
      </c>
      <c r="AA489">
        <v>51.913573</v>
      </c>
      <c r="AB489">
        <v>34.609048999999999</v>
      </c>
      <c r="AC489">
        <v>50</v>
      </c>
      <c r="AD489">
        <v>55.967742000000001</v>
      </c>
      <c r="AE489">
        <v>37.311827999999998</v>
      </c>
      <c r="AF489">
        <v>50</v>
      </c>
      <c r="AG489">
        <v>54.308998000000003</v>
      </c>
      <c r="AH489" t="s">
        <v>125</v>
      </c>
      <c r="AI489">
        <v>36.205998999999998</v>
      </c>
      <c r="AJ489">
        <v>50</v>
      </c>
      <c r="AK489" t="s">
        <v>125</v>
      </c>
      <c r="AL489" t="s">
        <v>125</v>
      </c>
      <c r="AM489" t="s">
        <v>125</v>
      </c>
      <c r="AN489">
        <v>0.53949400000000003</v>
      </c>
      <c r="AO489">
        <v>53.949370000000002</v>
      </c>
      <c r="AP489">
        <v>100</v>
      </c>
      <c r="AQ489">
        <v>0.58826800000000001</v>
      </c>
      <c r="AR489">
        <v>58.826777999999997</v>
      </c>
      <c r="AS489">
        <v>100</v>
      </c>
      <c r="AT489">
        <v>0.53692300000000004</v>
      </c>
      <c r="AU489" t="s">
        <v>125</v>
      </c>
      <c r="AV489">
        <v>53.692315999999998</v>
      </c>
      <c r="AW489">
        <v>100</v>
      </c>
      <c r="AX489">
        <v>0.589727</v>
      </c>
      <c r="AY489" t="s">
        <v>125</v>
      </c>
      <c r="AZ489">
        <v>58.972718</v>
      </c>
      <c r="BA489">
        <v>100</v>
      </c>
      <c r="BB489">
        <v>0.511656</v>
      </c>
      <c r="BC489">
        <v>25.582816000000001</v>
      </c>
      <c r="BD489">
        <v>50</v>
      </c>
      <c r="BE489">
        <v>0.59037700000000004</v>
      </c>
      <c r="BF489">
        <v>29.518833000000001</v>
      </c>
      <c r="BG489">
        <v>50</v>
      </c>
      <c r="BH489">
        <v>0</v>
      </c>
      <c r="BI489">
        <v>0.98750000000000004</v>
      </c>
      <c r="BJ489">
        <v>0.98581600000000003</v>
      </c>
      <c r="BK489" t="s">
        <v>125</v>
      </c>
      <c r="BL489">
        <v>0.98750000000000004</v>
      </c>
      <c r="BM489">
        <v>0.98581600000000003</v>
      </c>
      <c r="BN489" t="s">
        <v>125</v>
      </c>
      <c r="BO489">
        <v>1</v>
      </c>
      <c r="BP489">
        <v>1</v>
      </c>
      <c r="BQ489" t="s">
        <v>125</v>
      </c>
      <c r="BR489">
        <v>0.108949</v>
      </c>
      <c r="BS489">
        <v>38.210116999999997</v>
      </c>
      <c r="BT489">
        <v>50</v>
      </c>
      <c r="BU489">
        <v>0.11415500000000001</v>
      </c>
      <c r="BV489">
        <v>37.168950000000002</v>
      </c>
      <c r="BW489">
        <v>50</v>
      </c>
      <c r="BX489" t="s">
        <v>125</v>
      </c>
      <c r="BY489" t="s">
        <v>125</v>
      </c>
      <c r="BZ489" t="s">
        <v>125</v>
      </c>
      <c r="CA489" t="s">
        <v>125</v>
      </c>
      <c r="CB489" t="s">
        <v>125</v>
      </c>
      <c r="CC489" t="s">
        <v>125</v>
      </c>
      <c r="CD489" t="s">
        <v>125</v>
      </c>
      <c r="CE489" t="s">
        <v>125</v>
      </c>
      <c r="CF489" t="s">
        <v>125</v>
      </c>
      <c r="CG489" t="s">
        <v>125</v>
      </c>
      <c r="CH489" t="s">
        <v>125</v>
      </c>
      <c r="CI489" t="s">
        <v>125</v>
      </c>
      <c r="CJ489" t="s">
        <v>125</v>
      </c>
      <c r="CK489" t="s">
        <v>125</v>
      </c>
      <c r="CL489" t="s">
        <v>125</v>
      </c>
      <c r="CM489" t="s">
        <v>125</v>
      </c>
      <c r="CN489" t="s">
        <v>125</v>
      </c>
      <c r="CO489" t="s">
        <v>125</v>
      </c>
      <c r="CP489" t="s">
        <v>125</v>
      </c>
      <c r="CQ489">
        <v>0.39743600000000001</v>
      </c>
      <c r="CR489">
        <v>0.96296300000000001</v>
      </c>
      <c r="CS489">
        <v>26.495726000000001</v>
      </c>
      <c r="CT489">
        <v>50</v>
      </c>
      <c r="CU489" t="s">
        <v>125</v>
      </c>
      <c r="CV489" t="s">
        <v>125</v>
      </c>
      <c r="CW489" t="s">
        <v>125</v>
      </c>
      <c r="CX489" t="s">
        <v>125</v>
      </c>
      <c r="CY489" t="s">
        <v>125</v>
      </c>
      <c r="CZ489" t="s">
        <v>125</v>
      </c>
      <c r="DA489">
        <v>15.314097</v>
      </c>
      <c r="DB489">
        <v>17.400950000000002</v>
      </c>
      <c r="DC489">
        <v>16.332519999999999</v>
      </c>
      <c r="DD489" t="s">
        <v>125</v>
      </c>
      <c r="DE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Q489" t="s">
        <v>126</v>
      </c>
    </row>
    <row r="490" spans="1:121" x14ac:dyDescent="0.15">
      <c r="A490">
        <v>2018</v>
      </c>
      <c r="B490" t="s">
        <v>285</v>
      </c>
      <c r="C490" t="str">
        <f t="shared" si="16"/>
        <v>0620011</v>
      </c>
      <c r="D490" t="s">
        <v>645</v>
      </c>
      <c r="E490" t="str">
        <f>"0620311"</f>
        <v>0620311</v>
      </c>
      <c r="F490" t="s">
        <v>328</v>
      </c>
      <c r="G490" t="s">
        <v>329</v>
      </c>
      <c r="H490">
        <v>6</v>
      </c>
      <c r="I490" t="s">
        <v>336</v>
      </c>
      <c r="J490" t="s">
        <v>331</v>
      </c>
      <c r="K490">
        <v>545.03676099999996</v>
      </c>
      <c r="L490">
        <v>850</v>
      </c>
      <c r="M490">
        <v>64.121972</v>
      </c>
      <c r="N490">
        <v>3</v>
      </c>
      <c r="O490">
        <v>0</v>
      </c>
      <c r="P490">
        <v>66.234550999999996</v>
      </c>
      <c r="Q490">
        <v>44.156367000000003</v>
      </c>
      <c r="R490">
        <v>50</v>
      </c>
      <c r="S490">
        <v>60.148721999999999</v>
      </c>
      <c r="T490">
        <v>75</v>
      </c>
      <c r="U490">
        <v>40.099148</v>
      </c>
      <c r="V490">
        <v>50</v>
      </c>
      <c r="W490">
        <v>58.146022000000002</v>
      </c>
      <c r="X490">
        <v>38.764015000000001</v>
      </c>
      <c r="Y490">
        <v>50</v>
      </c>
      <c r="Z490">
        <v>66.879148000000001</v>
      </c>
      <c r="AA490">
        <v>53.130960000000002</v>
      </c>
      <c r="AB490">
        <v>35.420639999999999</v>
      </c>
      <c r="AC490">
        <v>50</v>
      </c>
      <c r="AD490">
        <v>56.626344000000003</v>
      </c>
      <c r="AE490">
        <v>37.750895999999997</v>
      </c>
      <c r="AF490">
        <v>50</v>
      </c>
      <c r="AG490">
        <v>50.142380000000003</v>
      </c>
      <c r="AH490" t="s">
        <v>125</v>
      </c>
      <c r="AI490">
        <v>33.428254000000003</v>
      </c>
      <c r="AJ490">
        <v>50</v>
      </c>
      <c r="AK490">
        <v>14.85</v>
      </c>
      <c r="AL490">
        <v>13.74</v>
      </c>
      <c r="AM490" t="s">
        <v>125</v>
      </c>
      <c r="AN490">
        <v>0.62116099999999996</v>
      </c>
      <c r="AO490">
        <v>62.116097000000003</v>
      </c>
      <c r="AP490">
        <v>100</v>
      </c>
      <c r="AQ490">
        <v>0.51127299999999998</v>
      </c>
      <c r="AR490">
        <v>51.127288</v>
      </c>
      <c r="AS490">
        <v>100</v>
      </c>
      <c r="AT490">
        <v>0.54658200000000001</v>
      </c>
      <c r="AU490">
        <v>0.73016000000000003</v>
      </c>
      <c r="AV490">
        <v>54.658239000000002</v>
      </c>
      <c r="AW490">
        <v>100</v>
      </c>
      <c r="AX490">
        <v>0.43673699999999999</v>
      </c>
      <c r="AY490">
        <v>0.62021000000000004</v>
      </c>
      <c r="AZ490">
        <v>43.673701999999999</v>
      </c>
      <c r="BA490">
        <v>100</v>
      </c>
      <c r="BB490" t="s">
        <v>125</v>
      </c>
      <c r="BC490" t="s">
        <v>125</v>
      </c>
      <c r="BD490" t="s">
        <v>125</v>
      </c>
      <c r="BE490" t="s">
        <v>125</v>
      </c>
      <c r="BF490" t="s">
        <v>125</v>
      </c>
      <c r="BG490" t="s">
        <v>125</v>
      </c>
      <c r="BH490">
        <v>0</v>
      </c>
      <c r="BI490">
        <v>0.98830399999999996</v>
      </c>
      <c r="BJ490">
        <v>0.98148100000000005</v>
      </c>
      <c r="BK490">
        <v>1</v>
      </c>
      <c r="BL490">
        <v>0.98830399999999996</v>
      </c>
      <c r="BM490">
        <v>0.98148100000000005</v>
      </c>
      <c r="BN490">
        <v>1</v>
      </c>
      <c r="BO490">
        <v>0.981132</v>
      </c>
      <c r="BP490">
        <v>0.96875</v>
      </c>
      <c r="BQ490">
        <v>1</v>
      </c>
      <c r="BR490">
        <v>7.7519000000000005E-2</v>
      </c>
      <c r="BS490">
        <v>44.496124000000002</v>
      </c>
      <c r="BT490">
        <v>50</v>
      </c>
      <c r="BU490">
        <v>9.4936999999999994E-2</v>
      </c>
      <c r="BV490">
        <v>41.012658000000002</v>
      </c>
      <c r="BW490">
        <v>50</v>
      </c>
      <c r="BX490" t="s">
        <v>125</v>
      </c>
      <c r="BY490" t="s">
        <v>125</v>
      </c>
      <c r="BZ490" t="s">
        <v>125</v>
      </c>
      <c r="CA490" t="s">
        <v>125</v>
      </c>
      <c r="CB490" t="s">
        <v>125</v>
      </c>
      <c r="CC490" t="s">
        <v>125</v>
      </c>
      <c r="CD490" t="s">
        <v>125</v>
      </c>
      <c r="CE490" t="s">
        <v>125</v>
      </c>
      <c r="CF490" t="s">
        <v>125</v>
      </c>
      <c r="CG490" t="s">
        <v>125</v>
      </c>
      <c r="CH490" t="s">
        <v>125</v>
      </c>
      <c r="CI490" t="s">
        <v>125</v>
      </c>
      <c r="CJ490" t="s">
        <v>125</v>
      </c>
      <c r="CK490" t="s">
        <v>125</v>
      </c>
      <c r="CL490" t="s">
        <v>125</v>
      </c>
      <c r="CM490" t="s">
        <v>125</v>
      </c>
      <c r="CN490" t="s">
        <v>125</v>
      </c>
      <c r="CO490" t="s">
        <v>125</v>
      </c>
      <c r="CP490" t="s">
        <v>125</v>
      </c>
      <c r="CQ490">
        <v>0.27500000000000002</v>
      </c>
      <c r="CR490">
        <v>0.90909099999999998</v>
      </c>
      <c r="CS490">
        <v>18.333333</v>
      </c>
      <c r="CT490">
        <v>50</v>
      </c>
      <c r="CU490" t="s">
        <v>125</v>
      </c>
      <c r="CV490" t="s">
        <v>125</v>
      </c>
      <c r="CW490" t="s">
        <v>125</v>
      </c>
      <c r="CX490" t="s">
        <v>125</v>
      </c>
      <c r="CY490" t="s">
        <v>125</v>
      </c>
      <c r="CZ490" t="s">
        <v>125</v>
      </c>
      <c r="DA490">
        <v>15.314097</v>
      </c>
      <c r="DB490">
        <v>17.400950000000002</v>
      </c>
      <c r="DC490">
        <v>16.332519999999999</v>
      </c>
      <c r="DD490" t="s">
        <v>125</v>
      </c>
      <c r="DE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Q490" t="s">
        <v>126</v>
      </c>
    </row>
    <row r="491" spans="1:121" x14ac:dyDescent="0.15">
      <c r="A491">
        <v>2018</v>
      </c>
      <c r="B491" t="s">
        <v>285</v>
      </c>
      <c r="C491" t="str">
        <f t="shared" si="16"/>
        <v>0620011</v>
      </c>
      <c r="D491" t="s">
        <v>646</v>
      </c>
      <c r="E491" t="str">
        <f>"0626111"</f>
        <v>0626111</v>
      </c>
      <c r="F491" t="s">
        <v>328</v>
      </c>
      <c r="G491">
        <v>9</v>
      </c>
      <c r="H491">
        <v>12</v>
      </c>
      <c r="J491" t="s">
        <v>331</v>
      </c>
      <c r="K491">
        <v>1098.9231560000001</v>
      </c>
      <c r="L491">
        <v>1550</v>
      </c>
      <c r="M491">
        <v>70.898268000000002</v>
      </c>
      <c r="N491">
        <v>2</v>
      </c>
      <c r="O491">
        <v>0</v>
      </c>
      <c r="P491">
        <v>55.831111</v>
      </c>
      <c r="Q491">
        <v>111.662222</v>
      </c>
      <c r="R491">
        <v>150</v>
      </c>
      <c r="S491">
        <v>48.605525</v>
      </c>
      <c r="T491">
        <v>63.394736999999999</v>
      </c>
      <c r="U491">
        <v>97.211049000000003</v>
      </c>
      <c r="V491">
        <v>150</v>
      </c>
      <c r="W491">
        <v>51.368254</v>
      </c>
      <c r="X491">
        <v>102.736508</v>
      </c>
      <c r="Y491">
        <v>150</v>
      </c>
      <c r="Z491">
        <v>58.698830000000001</v>
      </c>
      <c r="AA491">
        <v>44.365301000000002</v>
      </c>
      <c r="AB491">
        <v>88.730602000000005</v>
      </c>
      <c r="AC491">
        <v>150</v>
      </c>
      <c r="AD491">
        <v>50.446024999999999</v>
      </c>
      <c r="AE491">
        <v>67.261367000000007</v>
      </c>
      <c r="AF491">
        <v>100</v>
      </c>
      <c r="AG491">
        <v>43.999659999999999</v>
      </c>
      <c r="AH491">
        <v>57.078702</v>
      </c>
      <c r="AI491">
        <v>58.666213999999997</v>
      </c>
      <c r="AJ491">
        <v>100</v>
      </c>
      <c r="AK491">
        <v>14.78</v>
      </c>
      <c r="AL491">
        <v>14.33</v>
      </c>
      <c r="AM491">
        <v>13.07</v>
      </c>
      <c r="AN491" t="s">
        <v>125</v>
      </c>
      <c r="AO491" t="s">
        <v>125</v>
      </c>
      <c r="AP491" t="s">
        <v>125</v>
      </c>
      <c r="AQ491" t="s">
        <v>125</v>
      </c>
      <c r="AR491" t="s">
        <v>125</v>
      </c>
      <c r="AS491" t="s">
        <v>125</v>
      </c>
      <c r="AT491" t="s">
        <v>125</v>
      </c>
      <c r="AU491" t="s">
        <v>125</v>
      </c>
      <c r="AV491" t="s">
        <v>125</v>
      </c>
      <c r="AW491" t="s">
        <v>125</v>
      </c>
      <c r="AX491" t="s">
        <v>125</v>
      </c>
      <c r="AY491" t="s">
        <v>125</v>
      </c>
      <c r="AZ491" t="s">
        <v>125</v>
      </c>
      <c r="BA491" t="s">
        <v>125</v>
      </c>
      <c r="BB491">
        <v>0.62083999999999995</v>
      </c>
      <c r="BC491">
        <v>31.042012</v>
      </c>
      <c r="BD491">
        <v>50</v>
      </c>
      <c r="BE491">
        <v>0.62729599999999996</v>
      </c>
      <c r="BF491">
        <v>31.364791</v>
      </c>
      <c r="BG491">
        <v>50</v>
      </c>
      <c r="BH491">
        <v>0</v>
      </c>
      <c r="BI491">
        <v>0.98369600000000001</v>
      </c>
      <c r="BJ491">
        <v>0.98429299999999997</v>
      </c>
      <c r="BK491">
        <v>0.98305100000000001</v>
      </c>
      <c r="BL491">
        <v>0.98369600000000001</v>
      </c>
      <c r="BM491">
        <v>0.98429299999999997</v>
      </c>
      <c r="BN491">
        <v>0.98305100000000001</v>
      </c>
      <c r="BO491">
        <v>0.98378399999999999</v>
      </c>
      <c r="BP491">
        <v>0.97395799999999999</v>
      </c>
      <c r="BQ491">
        <v>0.99438199999999999</v>
      </c>
      <c r="BR491">
        <v>0.18374299999999999</v>
      </c>
      <c r="BS491">
        <v>23.251366000000001</v>
      </c>
      <c r="BT491">
        <v>50</v>
      </c>
      <c r="BU491">
        <v>0.25565900000000003</v>
      </c>
      <c r="BV491">
        <v>8.8681760000000001</v>
      </c>
      <c r="BW491">
        <v>50</v>
      </c>
      <c r="BX491">
        <v>0.78976500000000005</v>
      </c>
      <c r="BY491">
        <v>50</v>
      </c>
      <c r="BZ491">
        <v>50</v>
      </c>
      <c r="CA491">
        <v>0.34301500000000001</v>
      </c>
      <c r="CB491">
        <v>22.867681000000001</v>
      </c>
      <c r="CC491">
        <v>50</v>
      </c>
      <c r="CD491">
        <v>0.89973599999999998</v>
      </c>
      <c r="CE491">
        <v>47.858305999999999</v>
      </c>
      <c r="CF491">
        <v>50</v>
      </c>
      <c r="CG491">
        <v>0.91919200000000001</v>
      </c>
      <c r="CH491">
        <v>97.786373999999995</v>
      </c>
      <c r="CI491">
        <v>100</v>
      </c>
      <c r="CJ491">
        <v>0</v>
      </c>
      <c r="CK491">
        <v>0.90566000000000002</v>
      </c>
      <c r="CL491">
        <v>96.346849000000006</v>
      </c>
      <c r="CM491">
        <v>100</v>
      </c>
      <c r="CN491">
        <v>0.78191500000000003</v>
      </c>
      <c r="CO491">
        <v>100</v>
      </c>
      <c r="CP491">
        <v>100</v>
      </c>
      <c r="CQ491">
        <v>0.39808900000000003</v>
      </c>
      <c r="CR491">
        <v>0.86027399999999998</v>
      </c>
      <c r="CS491">
        <v>13.269639</v>
      </c>
      <c r="CT491">
        <v>50</v>
      </c>
      <c r="CU491">
        <v>0.61270500000000006</v>
      </c>
      <c r="CV491">
        <v>50</v>
      </c>
      <c r="CW491">
        <v>50</v>
      </c>
      <c r="CX491">
        <v>0.90566000000000002</v>
      </c>
      <c r="CY491">
        <v>0.94</v>
      </c>
      <c r="CZ491">
        <v>3.4340000000000002E-2</v>
      </c>
      <c r="DA491">
        <v>15.314097</v>
      </c>
      <c r="DB491">
        <v>17.400950000000002</v>
      </c>
      <c r="DC491">
        <v>16.332519999999999</v>
      </c>
      <c r="DD491">
        <v>7.9891730000000001</v>
      </c>
      <c r="DE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Q491" t="s">
        <v>126</v>
      </c>
    </row>
    <row r="492" spans="1:121" x14ac:dyDescent="0.15">
      <c r="A492">
        <v>2018</v>
      </c>
      <c r="B492" t="s">
        <v>285</v>
      </c>
      <c r="C492" t="str">
        <f t="shared" si="16"/>
        <v>0620011</v>
      </c>
      <c r="D492" t="s">
        <v>647</v>
      </c>
      <c r="E492" t="str">
        <f>"0625211"</f>
        <v>0625211</v>
      </c>
      <c r="F492" t="s">
        <v>328</v>
      </c>
      <c r="G492">
        <v>7</v>
      </c>
      <c r="H492">
        <v>8</v>
      </c>
      <c r="J492" t="s">
        <v>331</v>
      </c>
      <c r="K492">
        <v>580.43479400000001</v>
      </c>
      <c r="L492">
        <v>1000</v>
      </c>
      <c r="M492">
        <v>58.043478999999998</v>
      </c>
      <c r="N492">
        <v>4</v>
      </c>
      <c r="O492">
        <v>1</v>
      </c>
      <c r="P492">
        <v>61.959294</v>
      </c>
      <c r="Q492">
        <v>41.306196</v>
      </c>
      <c r="R492">
        <v>50</v>
      </c>
      <c r="S492">
        <v>52.358854999999998</v>
      </c>
      <c r="T492">
        <v>73.356738000000007</v>
      </c>
      <c r="U492">
        <v>34.905903000000002</v>
      </c>
      <c r="V492">
        <v>50</v>
      </c>
      <c r="W492">
        <v>59.393616999999999</v>
      </c>
      <c r="X492">
        <v>39.595745000000001</v>
      </c>
      <c r="Y492">
        <v>50</v>
      </c>
      <c r="Z492">
        <v>70.494591999999997</v>
      </c>
      <c r="AA492">
        <v>50.042904</v>
      </c>
      <c r="AB492">
        <v>33.361936</v>
      </c>
      <c r="AC492">
        <v>50</v>
      </c>
      <c r="AD492">
        <v>56.276676999999999</v>
      </c>
      <c r="AE492">
        <v>37.517785000000003</v>
      </c>
      <c r="AF492">
        <v>50</v>
      </c>
      <c r="AG492">
        <v>48.940938000000003</v>
      </c>
      <c r="AH492">
        <v>65.006207000000003</v>
      </c>
      <c r="AI492">
        <v>32.627291999999997</v>
      </c>
      <c r="AJ492">
        <v>50</v>
      </c>
      <c r="AK492">
        <v>20.99</v>
      </c>
      <c r="AL492">
        <v>20.45</v>
      </c>
      <c r="AM492">
        <v>16.059999999999999</v>
      </c>
      <c r="AN492">
        <v>0.45479900000000001</v>
      </c>
      <c r="AO492">
        <v>45.479852000000001</v>
      </c>
      <c r="AP492">
        <v>100</v>
      </c>
      <c r="AQ492">
        <v>0.547072</v>
      </c>
      <c r="AR492">
        <v>54.707161999999997</v>
      </c>
      <c r="AS492">
        <v>100</v>
      </c>
      <c r="AT492">
        <v>0.41306599999999999</v>
      </c>
      <c r="AU492">
        <v>0.49980000000000002</v>
      </c>
      <c r="AV492">
        <v>41.306583000000003</v>
      </c>
      <c r="AW492">
        <v>100</v>
      </c>
      <c r="AX492">
        <v>0.51130799999999998</v>
      </c>
      <c r="AY492">
        <v>0.58535599999999999</v>
      </c>
      <c r="AZ492">
        <v>51.130813000000003</v>
      </c>
      <c r="BA492">
        <v>100</v>
      </c>
      <c r="BB492">
        <v>0.72011999999999998</v>
      </c>
      <c r="BC492">
        <v>36.005983999999998</v>
      </c>
      <c r="BD492">
        <v>50</v>
      </c>
      <c r="BE492">
        <v>0.41064099999999998</v>
      </c>
      <c r="BF492">
        <v>20.532050000000002</v>
      </c>
      <c r="BG492">
        <v>50</v>
      </c>
      <c r="BH492">
        <v>1</v>
      </c>
      <c r="BI492">
        <v>0.97052400000000005</v>
      </c>
      <c r="BJ492">
        <v>0.96498099999999998</v>
      </c>
      <c r="BK492">
        <v>0.97761200000000004</v>
      </c>
      <c r="BL492">
        <v>0.97052400000000005</v>
      </c>
      <c r="BM492">
        <v>0.96498099999999998</v>
      </c>
      <c r="BN492">
        <v>0.97761200000000004</v>
      </c>
      <c r="BO492">
        <v>0.94769899999999996</v>
      </c>
      <c r="BP492">
        <v>0.940299</v>
      </c>
      <c r="BQ492">
        <v>0.95714299999999997</v>
      </c>
      <c r="BR492">
        <v>0.15628400000000001</v>
      </c>
      <c r="BS492">
        <v>28.743169000000002</v>
      </c>
      <c r="BT492">
        <v>50</v>
      </c>
      <c r="BU492">
        <v>0.225352</v>
      </c>
      <c r="BV492">
        <v>14.929577</v>
      </c>
      <c r="BW492">
        <v>50</v>
      </c>
      <c r="BX492" t="s">
        <v>125</v>
      </c>
      <c r="BY492" t="s">
        <v>125</v>
      </c>
      <c r="BZ492" t="s">
        <v>125</v>
      </c>
      <c r="CA492" t="s">
        <v>125</v>
      </c>
      <c r="CB492" t="s">
        <v>125</v>
      </c>
      <c r="CC492" t="s">
        <v>125</v>
      </c>
      <c r="CD492">
        <v>0.910053</v>
      </c>
      <c r="CE492">
        <v>48.407069999999997</v>
      </c>
      <c r="CF492">
        <v>50</v>
      </c>
      <c r="CG492" t="s">
        <v>125</v>
      </c>
      <c r="CH492" t="s">
        <v>125</v>
      </c>
      <c r="CI492" t="s">
        <v>125</v>
      </c>
      <c r="CJ492" t="s">
        <v>125</v>
      </c>
      <c r="CK492" t="s">
        <v>125</v>
      </c>
      <c r="CL492" t="s">
        <v>125</v>
      </c>
      <c r="CM492" t="s">
        <v>125</v>
      </c>
      <c r="CN492" t="s">
        <v>125</v>
      </c>
      <c r="CO492" t="s">
        <v>125</v>
      </c>
      <c r="CP492" t="s">
        <v>125</v>
      </c>
      <c r="CQ492">
        <v>0.29816500000000001</v>
      </c>
      <c r="CR492">
        <v>0.91404600000000003</v>
      </c>
      <c r="CS492">
        <v>19.877676000000001</v>
      </c>
      <c r="CT492">
        <v>50</v>
      </c>
      <c r="CU492" t="s">
        <v>125</v>
      </c>
      <c r="CV492" t="s">
        <v>125</v>
      </c>
      <c r="CW492" t="s">
        <v>125</v>
      </c>
      <c r="CX492" t="s">
        <v>125</v>
      </c>
      <c r="CY492" t="s">
        <v>125</v>
      </c>
      <c r="CZ492" t="s">
        <v>125</v>
      </c>
      <c r="DA492">
        <v>15.314097</v>
      </c>
      <c r="DB492">
        <v>17.400950000000002</v>
      </c>
      <c r="DC492">
        <v>16.332519999999999</v>
      </c>
      <c r="DD492" t="s">
        <v>125</v>
      </c>
      <c r="DE492">
        <v>1</v>
      </c>
      <c r="DF492" t="s">
        <v>385</v>
      </c>
      <c r="DG492" t="s">
        <v>648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Q492" t="s">
        <v>126</v>
      </c>
    </row>
    <row r="493" spans="1:121" x14ac:dyDescent="0.15">
      <c r="A493">
        <v>2018</v>
      </c>
      <c r="B493" t="s">
        <v>285</v>
      </c>
      <c r="C493" t="str">
        <f t="shared" si="16"/>
        <v>0620011</v>
      </c>
      <c r="D493" t="s">
        <v>649</v>
      </c>
      <c r="E493" t="str">
        <f>"0620411"</f>
        <v>0620411</v>
      </c>
      <c r="F493" t="s">
        <v>328</v>
      </c>
      <c r="G493" t="s">
        <v>329</v>
      </c>
      <c r="H493">
        <v>6</v>
      </c>
      <c r="I493" t="s">
        <v>336</v>
      </c>
      <c r="J493" t="s">
        <v>331</v>
      </c>
      <c r="K493">
        <v>585.48288100000002</v>
      </c>
      <c r="L493">
        <v>950</v>
      </c>
      <c r="M493">
        <v>61.629776999999997</v>
      </c>
      <c r="N493">
        <v>3</v>
      </c>
      <c r="O493">
        <v>0</v>
      </c>
      <c r="P493">
        <v>62.476886999999998</v>
      </c>
      <c r="Q493">
        <v>41.651257999999999</v>
      </c>
      <c r="R493">
        <v>50</v>
      </c>
      <c r="S493">
        <v>61.207897000000003</v>
      </c>
      <c r="T493">
        <v>67.195943</v>
      </c>
      <c r="U493">
        <v>40.805264999999999</v>
      </c>
      <c r="V493">
        <v>50</v>
      </c>
      <c r="W493">
        <v>58.546073999999997</v>
      </c>
      <c r="X493">
        <v>39.030715999999998</v>
      </c>
      <c r="Y493">
        <v>50</v>
      </c>
      <c r="Z493">
        <v>64.819644999999994</v>
      </c>
      <c r="AA493">
        <v>56.859062999999999</v>
      </c>
      <c r="AB493">
        <v>37.906041999999999</v>
      </c>
      <c r="AC493">
        <v>50</v>
      </c>
      <c r="AD493">
        <v>55.283870999999998</v>
      </c>
      <c r="AE493">
        <v>36.855913999999999</v>
      </c>
      <c r="AF493">
        <v>50</v>
      </c>
      <c r="AG493">
        <v>52.540601000000002</v>
      </c>
      <c r="AH493" t="s">
        <v>125</v>
      </c>
      <c r="AI493">
        <v>35.027067000000002</v>
      </c>
      <c r="AJ493">
        <v>50</v>
      </c>
      <c r="AK493">
        <v>5.98</v>
      </c>
      <c r="AL493">
        <v>7.96</v>
      </c>
      <c r="AM493" t="s">
        <v>125</v>
      </c>
      <c r="AN493">
        <v>0.50872499999999998</v>
      </c>
      <c r="AO493">
        <v>50.872478000000001</v>
      </c>
      <c r="AP493">
        <v>100</v>
      </c>
      <c r="AQ493">
        <v>0.56621500000000002</v>
      </c>
      <c r="AR493">
        <v>56.621471</v>
      </c>
      <c r="AS493">
        <v>100</v>
      </c>
      <c r="AT493">
        <v>0.53260600000000002</v>
      </c>
      <c r="AU493">
        <v>0.42115900000000001</v>
      </c>
      <c r="AV493">
        <v>53.260648000000003</v>
      </c>
      <c r="AW493">
        <v>100</v>
      </c>
      <c r="AX493">
        <v>0.58784499999999995</v>
      </c>
      <c r="AY493">
        <v>0.48690499999999998</v>
      </c>
      <c r="AZ493">
        <v>58.784475</v>
      </c>
      <c r="BA493">
        <v>100</v>
      </c>
      <c r="BB493">
        <v>0.66403999999999996</v>
      </c>
      <c r="BC493">
        <v>33.201985999999998</v>
      </c>
      <c r="BD493">
        <v>50</v>
      </c>
      <c r="BE493">
        <v>0.52946000000000004</v>
      </c>
      <c r="BF493">
        <v>26.473022</v>
      </c>
      <c r="BG493">
        <v>50</v>
      </c>
      <c r="BH493">
        <v>0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 t="s">
        <v>125</v>
      </c>
      <c r="BR493">
        <v>0.17832200000000001</v>
      </c>
      <c r="BS493">
        <v>24.335664000000001</v>
      </c>
      <c r="BT493">
        <v>50</v>
      </c>
      <c r="BU493">
        <v>0.20175399999999999</v>
      </c>
      <c r="BV493">
        <v>19.649122999999999</v>
      </c>
      <c r="BW493">
        <v>50</v>
      </c>
      <c r="BX493" t="s">
        <v>125</v>
      </c>
      <c r="BY493" t="s">
        <v>125</v>
      </c>
      <c r="BZ493" t="s">
        <v>125</v>
      </c>
      <c r="CA493" t="s">
        <v>125</v>
      </c>
      <c r="CB493" t="s">
        <v>125</v>
      </c>
      <c r="CC493" t="s">
        <v>125</v>
      </c>
      <c r="CD493" t="s">
        <v>125</v>
      </c>
      <c r="CE493" t="s">
        <v>125</v>
      </c>
      <c r="CF493" t="s">
        <v>125</v>
      </c>
      <c r="CG493" t="s">
        <v>125</v>
      </c>
      <c r="CH493" t="s">
        <v>125</v>
      </c>
      <c r="CI493" t="s">
        <v>125</v>
      </c>
      <c r="CJ493" t="s">
        <v>125</v>
      </c>
      <c r="CK493" t="s">
        <v>125</v>
      </c>
      <c r="CL493" t="s">
        <v>125</v>
      </c>
      <c r="CM493" t="s">
        <v>125</v>
      </c>
      <c r="CN493" t="s">
        <v>125</v>
      </c>
      <c r="CO493" t="s">
        <v>125</v>
      </c>
      <c r="CP493" t="s">
        <v>125</v>
      </c>
      <c r="CQ493">
        <v>0.46511599999999997</v>
      </c>
      <c r="CR493">
        <v>1.0238100000000001</v>
      </c>
      <c r="CS493">
        <v>31.007752</v>
      </c>
      <c r="CT493">
        <v>50</v>
      </c>
      <c r="CU493" t="s">
        <v>125</v>
      </c>
      <c r="CV493" t="s">
        <v>125</v>
      </c>
      <c r="CW493" t="s">
        <v>125</v>
      </c>
      <c r="CX493" t="s">
        <v>125</v>
      </c>
      <c r="CY493" t="s">
        <v>125</v>
      </c>
      <c r="CZ493" t="s">
        <v>125</v>
      </c>
      <c r="DA493">
        <v>15.314097</v>
      </c>
      <c r="DB493">
        <v>17.400950000000002</v>
      </c>
      <c r="DC493">
        <v>16.332519999999999</v>
      </c>
      <c r="DD493" t="s">
        <v>125</v>
      </c>
      <c r="DE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Q493" t="s">
        <v>126</v>
      </c>
    </row>
    <row r="494" spans="1:121" x14ac:dyDescent="0.15">
      <c r="A494">
        <v>2018</v>
      </c>
      <c r="B494" t="s">
        <v>285</v>
      </c>
      <c r="C494" t="str">
        <f t="shared" si="16"/>
        <v>0620011</v>
      </c>
      <c r="D494" t="s">
        <v>650</v>
      </c>
      <c r="E494" t="str">
        <f>"0621111"</f>
        <v>0621111</v>
      </c>
      <c r="F494" t="s">
        <v>328</v>
      </c>
      <c r="G494" t="s">
        <v>339</v>
      </c>
      <c r="H494">
        <v>6</v>
      </c>
      <c r="I494" t="s">
        <v>336</v>
      </c>
      <c r="J494" t="s">
        <v>331</v>
      </c>
      <c r="K494">
        <v>617.70390399999997</v>
      </c>
      <c r="L494">
        <v>950</v>
      </c>
      <c r="M494">
        <v>65.021463999999995</v>
      </c>
      <c r="N494">
        <v>3</v>
      </c>
      <c r="O494">
        <v>1</v>
      </c>
      <c r="P494">
        <v>66.535758000000001</v>
      </c>
      <c r="Q494">
        <v>44.357171999999998</v>
      </c>
      <c r="R494">
        <v>50</v>
      </c>
      <c r="S494">
        <v>60.568337999999997</v>
      </c>
      <c r="T494">
        <v>75</v>
      </c>
      <c r="U494">
        <v>40.378892</v>
      </c>
      <c r="V494">
        <v>50</v>
      </c>
      <c r="W494">
        <v>62.858963000000003</v>
      </c>
      <c r="X494">
        <v>41.905974999999998</v>
      </c>
      <c r="Y494">
        <v>50</v>
      </c>
      <c r="Z494">
        <v>75</v>
      </c>
      <c r="AA494">
        <v>56.821184000000002</v>
      </c>
      <c r="AB494">
        <v>37.880789</v>
      </c>
      <c r="AC494">
        <v>50</v>
      </c>
      <c r="AD494">
        <v>64.281834000000003</v>
      </c>
      <c r="AE494">
        <v>42.854556000000002</v>
      </c>
      <c r="AF494">
        <v>50</v>
      </c>
      <c r="AG494">
        <v>57.868279999999999</v>
      </c>
      <c r="AH494" t="s">
        <v>125</v>
      </c>
      <c r="AI494">
        <v>38.578853000000002</v>
      </c>
      <c r="AJ494">
        <v>50</v>
      </c>
      <c r="AK494">
        <v>14.43</v>
      </c>
      <c r="AL494">
        <v>18.170000000000002</v>
      </c>
      <c r="AM494" t="s">
        <v>125</v>
      </c>
      <c r="AN494">
        <v>0.52268000000000003</v>
      </c>
      <c r="AO494">
        <v>52.267966999999999</v>
      </c>
      <c r="AP494">
        <v>100</v>
      </c>
      <c r="AQ494">
        <v>0.75454600000000005</v>
      </c>
      <c r="AR494">
        <v>75.454559000000003</v>
      </c>
      <c r="AS494">
        <v>100</v>
      </c>
      <c r="AT494">
        <v>0.46493499999999999</v>
      </c>
      <c r="AU494">
        <v>0.63817000000000002</v>
      </c>
      <c r="AV494">
        <v>46.493471</v>
      </c>
      <c r="AW494">
        <v>100</v>
      </c>
      <c r="AX494">
        <v>0.72685299999999997</v>
      </c>
      <c r="AY494">
        <v>0.80993099999999996</v>
      </c>
      <c r="AZ494">
        <v>72.685271999999998</v>
      </c>
      <c r="BA494">
        <v>100</v>
      </c>
      <c r="BB494">
        <v>0.40060000000000001</v>
      </c>
      <c r="BC494">
        <v>20.030002</v>
      </c>
      <c r="BD494">
        <v>50</v>
      </c>
      <c r="BE494">
        <v>0.33508500000000002</v>
      </c>
      <c r="BF494">
        <v>16.754239999999999</v>
      </c>
      <c r="BG494">
        <v>50</v>
      </c>
      <c r="BH494">
        <v>0</v>
      </c>
      <c r="BI494">
        <v>0.99468100000000004</v>
      </c>
      <c r="BJ494">
        <v>0.99230799999999997</v>
      </c>
      <c r="BK494">
        <v>1</v>
      </c>
      <c r="BL494">
        <v>0.99468100000000004</v>
      </c>
      <c r="BM494">
        <v>0.99230799999999997</v>
      </c>
      <c r="BN494">
        <v>1</v>
      </c>
      <c r="BO494">
        <v>1</v>
      </c>
      <c r="BP494">
        <v>1</v>
      </c>
      <c r="BQ494" t="s">
        <v>125</v>
      </c>
      <c r="BR494">
        <v>0.111111</v>
      </c>
      <c r="BS494">
        <v>37.777777999999998</v>
      </c>
      <c r="BT494">
        <v>50</v>
      </c>
      <c r="BU494">
        <v>0.14077700000000001</v>
      </c>
      <c r="BV494">
        <v>31.844660000000001</v>
      </c>
      <c r="BW494">
        <v>50</v>
      </c>
      <c r="BX494" t="s">
        <v>125</v>
      </c>
      <c r="BY494" t="s">
        <v>125</v>
      </c>
      <c r="BZ494" t="s">
        <v>125</v>
      </c>
      <c r="CA494" t="s">
        <v>125</v>
      </c>
      <c r="CB494" t="s">
        <v>125</v>
      </c>
      <c r="CC494" t="s">
        <v>125</v>
      </c>
      <c r="CD494" t="s">
        <v>125</v>
      </c>
      <c r="CE494" t="s">
        <v>125</v>
      </c>
      <c r="CF494" t="s">
        <v>125</v>
      </c>
      <c r="CG494" t="s">
        <v>125</v>
      </c>
      <c r="CH494" t="s">
        <v>125</v>
      </c>
      <c r="CI494" t="s">
        <v>125</v>
      </c>
      <c r="CJ494" t="s">
        <v>125</v>
      </c>
      <c r="CK494" t="s">
        <v>125</v>
      </c>
      <c r="CL494" t="s">
        <v>125</v>
      </c>
      <c r="CM494" t="s">
        <v>125</v>
      </c>
      <c r="CN494" t="s">
        <v>125</v>
      </c>
      <c r="CO494" t="s">
        <v>125</v>
      </c>
      <c r="CP494" t="s">
        <v>125</v>
      </c>
      <c r="CQ494">
        <v>0.27659600000000001</v>
      </c>
      <c r="CR494">
        <v>0.94949499999999998</v>
      </c>
      <c r="CS494">
        <v>18.439716000000001</v>
      </c>
      <c r="CT494">
        <v>50</v>
      </c>
      <c r="CU494" t="s">
        <v>125</v>
      </c>
      <c r="CV494" t="s">
        <v>125</v>
      </c>
      <c r="CW494" t="s">
        <v>125</v>
      </c>
      <c r="CX494" t="s">
        <v>125</v>
      </c>
      <c r="CY494" t="s">
        <v>125</v>
      </c>
      <c r="CZ494" t="s">
        <v>125</v>
      </c>
      <c r="DA494">
        <v>15.314097</v>
      </c>
      <c r="DB494">
        <v>17.400950000000002</v>
      </c>
      <c r="DC494">
        <v>16.332519999999999</v>
      </c>
      <c r="DD494" t="s">
        <v>125</v>
      </c>
      <c r="DE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Q494" t="s">
        <v>126</v>
      </c>
    </row>
    <row r="495" spans="1:121" x14ac:dyDescent="0.15">
      <c r="A495">
        <v>2018</v>
      </c>
      <c r="B495" t="s">
        <v>285</v>
      </c>
      <c r="C495" t="str">
        <f t="shared" si="16"/>
        <v>0620011</v>
      </c>
      <c r="D495" t="s">
        <v>651</v>
      </c>
      <c r="E495" t="str">
        <f>"0620111"</f>
        <v>0620111</v>
      </c>
      <c r="F495" t="s">
        <v>328</v>
      </c>
      <c r="G495" t="s">
        <v>339</v>
      </c>
      <c r="H495">
        <v>6</v>
      </c>
      <c r="I495" t="s">
        <v>336</v>
      </c>
      <c r="J495" t="s">
        <v>331</v>
      </c>
      <c r="K495">
        <v>683.93923800000005</v>
      </c>
      <c r="L495">
        <v>950</v>
      </c>
      <c r="M495">
        <v>71.993604000000005</v>
      </c>
      <c r="N495">
        <v>2</v>
      </c>
      <c r="O495">
        <v>0</v>
      </c>
      <c r="P495">
        <v>70.337941000000001</v>
      </c>
      <c r="Q495">
        <v>46.891959999999997</v>
      </c>
      <c r="R495">
        <v>50</v>
      </c>
      <c r="S495">
        <v>67.760192000000004</v>
      </c>
      <c r="T495">
        <v>75</v>
      </c>
      <c r="U495">
        <v>45.173462000000001</v>
      </c>
      <c r="V495">
        <v>50</v>
      </c>
      <c r="W495">
        <v>68.094048999999998</v>
      </c>
      <c r="X495">
        <v>45.396033000000003</v>
      </c>
      <c r="Y495">
        <v>50</v>
      </c>
      <c r="Z495">
        <v>75</v>
      </c>
      <c r="AA495">
        <v>65.568781000000001</v>
      </c>
      <c r="AB495">
        <v>43.712521000000002</v>
      </c>
      <c r="AC495">
        <v>50</v>
      </c>
      <c r="AD495">
        <v>63.087874999999997</v>
      </c>
      <c r="AE495">
        <v>42.058584000000003</v>
      </c>
      <c r="AF495">
        <v>50</v>
      </c>
      <c r="AG495">
        <v>61.209676999999999</v>
      </c>
      <c r="AH495" t="s">
        <v>125</v>
      </c>
      <c r="AI495">
        <v>40.806452</v>
      </c>
      <c r="AJ495">
        <v>50</v>
      </c>
      <c r="AK495">
        <v>7.23</v>
      </c>
      <c r="AL495">
        <v>9.43</v>
      </c>
      <c r="AM495" t="s">
        <v>125</v>
      </c>
      <c r="AN495">
        <v>0.663933</v>
      </c>
      <c r="AO495">
        <v>66.393297000000004</v>
      </c>
      <c r="AP495">
        <v>100</v>
      </c>
      <c r="AQ495">
        <v>0.81734499999999999</v>
      </c>
      <c r="AR495">
        <v>81.734528999999995</v>
      </c>
      <c r="AS495">
        <v>100</v>
      </c>
      <c r="AT495">
        <v>0.63158199999999998</v>
      </c>
      <c r="AU495">
        <v>0.76218399999999997</v>
      </c>
      <c r="AV495">
        <v>63.158216000000003</v>
      </c>
      <c r="AW495">
        <v>100</v>
      </c>
      <c r="AX495">
        <v>0.80030500000000004</v>
      </c>
      <c r="AY495">
        <v>0.86909599999999998</v>
      </c>
      <c r="AZ495">
        <v>80.030525999999995</v>
      </c>
      <c r="BA495">
        <v>100</v>
      </c>
      <c r="BB495">
        <v>0.69121699999999997</v>
      </c>
      <c r="BC495">
        <v>34.560873000000001</v>
      </c>
      <c r="BD495">
        <v>50</v>
      </c>
      <c r="BE495">
        <v>0.73131000000000002</v>
      </c>
      <c r="BF495">
        <v>36.565479000000003</v>
      </c>
      <c r="BG495">
        <v>50</v>
      </c>
      <c r="BH495">
        <v>0</v>
      </c>
      <c r="BI495">
        <v>0.98136599999999996</v>
      </c>
      <c r="BJ495">
        <v>0.98412699999999997</v>
      </c>
      <c r="BK495">
        <v>0.97142899999999999</v>
      </c>
      <c r="BL495">
        <v>0.98148100000000005</v>
      </c>
      <c r="BM495">
        <v>0.98425200000000002</v>
      </c>
      <c r="BN495">
        <v>0.97142899999999999</v>
      </c>
      <c r="BO495">
        <v>0.97142899999999999</v>
      </c>
      <c r="BP495">
        <v>0.961538</v>
      </c>
      <c r="BQ495" t="s">
        <v>125</v>
      </c>
      <c r="BR495">
        <v>0.18543000000000001</v>
      </c>
      <c r="BS495">
        <v>22.913906999999998</v>
      </c>
      <c r="BT495">
        <v>50</v>
      </c>
      <c r="BU495">
        <v>0.21238899999999999</v>
      </c>
      <c r="BV495">
        <v>17.522124000000002</v>
      </c>
      <c r="BW495">
        <v>50</v>
      </c>
      <c r="BX495" t="s">
        <v>125</v>
      </c>
      <c r="BY495" t="s">
        <v>125</v>
      </c>
      <c r="BZ495" t="s">
        <v>125</v>
      </c>
      <c r="CA495" t="s">
        <v>125</v>
      </c>
      <c r="CB495" t="s">
        <v>125</v>
      </c>
      <c r="CC495" t="s">
        <v>125</v>
      </c>
      <c r="CD495" t="s">
        <v>125</v>
      </c>
      <c r="CE495" t="s">
        <v>125</v>
      </c>
      <c r="CF495" t="s">
        <v>125</v>
      </c>
      <c r="CG495" t="s">
        <v>125</v>
      </c>
      <c r="CH495" t="s">
        <v>125</v>
      </c>
      <c r="CI495" t="s">
        <v>125</v>
      </c>
      <c r="CJ495" t="s">
        <v>125</v>
      </c>
      <c r="CK495" t="s">
        <v>125</v>
      </c>
      <c r="CL495" t="s">
        <v>125</v>
      </c>
      <c r="CM495" t="s">
        <v>125</v>
      </c>
      <c r="CN495" t="s">
        <v>125</v>
      </c>
      <c r="CO495" t="s">
        <v>125</v>
      </c>
      <c r="CP495" t="s">
        <v>125</v>
      </c>
      <c r="CQ495">
        <v>0.25531900000000002</v>
      </c>
      <c r="CR495">
        <v>0.97916700000000001</v>
      </c>
      <c r="CS495">
        <v>17.021277000000001</v>
      </c>
      <c r="CT495">
        <v>50</v>
      </c>
      <c r="CU495" t="s">
        <v>125</v>
      </c>
      <c r="CV495" t="s">
        <v>125</v>
      </c>
      <c r="CW495" t="s">
        <v>125</v>
      </c>
      <c r="CX495" t="s">
        <v>125</v>
      </c>
      <c r="CY495" t="s">
        <v>125</v>
      </c>
      <c r="CZ495" t="s">
        <v>125</v>
      </c>
      <c r="DA495">
        <v>15.314097</v>
      </c>
      <c r="DB495">
        <v>17.400950000000002</v>
      </c>
      <c r="DC495">
        <v>16.332519999999999</v>
      </c>
      <c r="DD495" t="s">
        <v>125</v>
      </c>
      <c r="DE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Q495" t="s">
        <v>126</v>
      </c>
    </row>
    <row r="496" spans="1:121" x14ac:dyDescent="0.15">
      <c r="A496">
        <v>2018</v>
      </c>
      <c r="B496" t="s">
        <v>285</v>
      </c>
      <c r="C496" t="str">
        <f t="shared" si="16"/>
        <v>0620011</v>
      </c>
      <c r="D496" t="s">
        <v>652</v>
      </c>
      <c r="E496" t="str">
        <f>"0621011"</f>
        <v>0621011</v>
      </c>
      <c r="F496" t="s">
        <v>328</v>
      </c>
      <c r="G496" t="s">
        <v>339</v>
      </c>
      <c r="H496">
        <v>6</v>
      </c>
      <c r="J496" t="s">
        <v>331</v>
      </c>
      <c r="K496">
        <v>661.28782000000001</v>
      </c>
      <c r="L496">
        <v>850</v>
      </c>
      <c r="M496">
        <v>77.798567000000006</v>
      </c>
      <c r="N496">
        <v>3</v>
      </c>
      <c r="O496">
        <v>0</v>
      </c>
      <c r="P496">
        <v>80.398938000000001</v>
      </c>
      <c r="Q496">
        <v>50</v>
      </c>
      <c r="R496">
        <v>50</v>
      </c>
      <c r="S496">
        <v>67.863776999999999</v>
      </c>
      <c r="T496">
        <v>75</v>
      </c>
      <c r="U496">
        <v>45.242517999999997</v>
      </c>
      <c r="V496">
        <v>50</v>
      </c>
      <c r="W496">
        <v>77.801137999999995</v>
      </c>
      <c r="X496">
        <v>50</v>
      </c>
      <c r="Y496">
        <v>50</v>
      </c>
      <c r="Z496">
        <v>75</v>
      </c>
      <c r="AA496">
        <v>66.180475999999999</v>
      </c>
      <c r="AB496">
        <v>44.120317999999997</v>
      </c>
      <c r="AC496">
        <v>50</v>
      </c>
      <c r="AD496">
        <v>77.368753999999996</v>
      </c>
      <c r="AE496">
        <v>50</v>
      </c>
      <c r="AF496">
        <v>50</v>
      </c>
      <c r="AG496">
        <v>65.396773999999994</v>
      </c>
      <c r="AH496">
        <v>75</v>
      </c>
      <c r="AI496">
        <v>43.597848999999997</v>
      </c>
      <c r="AJ496">
        <v>50</v>
      </c>
      <c r="AK496">
        <v>7.13</v>
      </c>
      <c r="AL496">
        <v>8.81</v>
      </c>
      <c r="AM496">
        <v>9.6</v>
      </c>
      <c r="AN496">
        <v>0.58860900000000005</v>
      </c>
      <c r="AO496">
        <v>58.860892999999997</v>
      </c>
      <c r="AP496">
        <v>100</v>
      </c>
      <c r="AQ496">
        <v>0.68951899999999999</v>
      </c>
      <c r="AR496">
        <v>68.951887999999997</v>
      </c>
      <c r="AS496">
        <v>100</v>
      </c>
      <c r="AT496">
        <v>0.56801500000000005</v>
      </c>
      <c r="AU496">
        <v>0.60081300000000004</v>
      </c>
      <c r="AV496">
        <v>56.80153</v>
      </c>
      <c r="AW496">
        <v>100</v>
      </c>
      <c r="AX496">
        <v>0.69485600000000003</v>
      </c>
      <c r="AY496">
        <v>0.68635599999999997</v>
      </c>
      <c r="AZ496">
        <v>69.485626999999994</v>
      </c>
      <c r="BA496">
        <v>100</v>
      </c>
      <c r="BB496" t="s">
        <v>125</v>
      </c>
      <c r="BC496" t="s">
        <v>125</v>
      </c>
      <c r="BD496" t="s">
        <v>125</v>
      </c>
      <c r="BE496" t="s">
        <v>125</v>
      </c>
      <c r="BF496" t="s">
        <v>125</v>
      </c>
      <c r="BG496" t="s">
        <v>125</v>
      </c>
      <c r="BH496">
        <v>1</v>
      </c>
      <c r="BI496">
        <v>0.98046900000000003</v>
      </c>
      <c r="BJ496">
        <v>0.97916700000000001</v>
      </c>
      <c r="BK496">
        <v>0.98124999999999996</v>
      </c>
      <c r="BL496">
        <v>0.98046900000000003</v>
      </c>
      <c r="BM496">
        <v>0.97916700000000001</v>
      </c>
      <c r="BN496">
        <v>0.98124999999999996</v>
      </c>
      <c r="BO496">
        <v>0.92982500000000001</v>
      </c>
      <c r="BP496">
        <v>0.91666700000000001</v>
      </c>
      <c r="BQ496">
        <v>0.93939399999999995</v>
      </c>
      <c r="BR496">
        <v>9.7284999999999996E-2</v>
      </c>
      <c r="BS496">
        <v>40.542985999999999</v>
      </c>
      <c r="BT496">
        <v>50</v>
      </c>
      <c r="BU496">
        <v>0.131579</v>
      </c>
      <c r="BV496">
        <v>33.684210999999998</v>
      </c>
      <c r="BW496">
        <v>50</v>
      </c>
      <c r="BX496" t="s">
        <v>125</v>
      </c>
      <c r="BY496" t="s">
        <v>125</v>
      </c>
      <c r="BZ496" t="s">
        <v>125</v>
      </c>
      <c r="CA496" t="s">
        <v>125</v>
      </c>
      <c r="CB496" t="s">
        <v>125</v>
      </c>
      <c r="CC496" t="s">
        <v>125</v>
      </c>
      <c r="CD496" t="s">
        <v>125</v>
      </c>
      <c r="CE496" t="s">
        <v>125</v>
      </c>
      <c r="CF496" t="s">
        <v>125</v>
      </c>
      <c r="CG496" t="s">
        <v>125</v>
      </c>
      <c r="CH496" t="s">
        <v>125</v>
      </c>
      <c r="CI496" t="s">
        <v>125</v>
      </c>
      <c r="CJ496" t="s">
        <v>125</v>
      </c>
      <c r="CK496" t="s">
        <v>125</v>
      </c>
      <c r="CL496" t="s">
        <v>125</v>
      </c>
      <c r="CM496" t="s">
        <v>125</v>
      </c>
      <c r="CN496" t="s">
        <v>125</v>
      </c>
      <c r="CO496" t="s">
        <v>125</v>
      </c>
      <c r="CP496" t="s">
        <v>125</v>
      </c>
      <c r="CQ496">
        <v>0.89843799999999996</v>
      </c>
      <c r="CR496">
        <v>0.96969700000000003</v>
      </c>
      <c r="CS496">
        <v>50</v>
      </c>
      <c r="CT496">
        <v>50</v>
      </c>
      <c r="CU496" t="s">
        <v>125</v>
      </c>
      <c r="CV496" t="s">
        <v>125</v>
      </c>
      <c r="CW496" t="s">
        <v>125</v>
      </c>
      <c r="CX496" t="s">
        <v>125</v>
      </c>
      <c r="CY496" t="s">
        <v>125</v>
      </c>
      <c r="CZ496" t="s">
        <v>125</v>
      </c>
      <c r="DA496">
        <v>15.314097</v>
      </c>
      <c r="DB496">
        <v>17.400950000000002</v>
      </c>
      <c r="DC496">
        <v>16.332519999999999</v>
      </c>
      <c r="DD496" t="s">
        <v>125</v>
      </c>
      <c r="DE496">
        <v>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Q496" t="s">
        <v>126</v>
      </c>
    </row>
    <row r="497" spans="1:121" x14ac:dyDescent="0.15">
      <c r="A497">
        <v>2018</v>
      </c>
      <c r="B497" t="s">
        <v>285</v>
      </c>
      <c r="C497" t="str">
        <f t="shared" si="16"/>
        <v>0620011</v>
      </c>
      <c r="D497" t="s">
        <v>653</v>
      </c>
      <c r="E497" t="str">
        <f>"0621411"</f>
        <v>0621411</v>
      </c>
      <c r="F497" t="s">
        <v>328</v>
      </c>
      <c r="G497" t="s">
        <v>339</v>
      </c>
      <c r="H497">
        <v>6</v>
      </c>
      <c r="J497" t="s">
        <v>331</v>
      </c>
      <c r="K497">
        <v>579.25775499999997</v>
      </c>
      <c r="L497">
        <v>800</v>
      </c>
      <c r="M497">
        <v>72.407218999999998</v>
      </c>
      <c r="N497">
        <v>2</v>
      </c>
      <c r="O497">
        <v>0</v>
      </c>
      <c r="P497">
        <v>75.645263999999997</v>
      </c>
      <c r="Q497">
        <v>50</v>
      </c>
      <c r="R497">
        <v>50</v>
      </c>
      <c r="S497">
        <v>61.011057000000001</v>
      </c>
      <c r="T497">
        <v>75</v>
      </c>
      <c r="U497">
        <v>40.674038000000003</v>
      </c>
      <c r="V497">
        <v>50</v>
      </c>
      <c r="W497">
        <v>74.844274999999996</v>
      </c>
      <c r="X497">
        <v>49.896183000000001</v>
      </c>
      <c r="Y497">
        <v>50</v>
      </c>
      <c r="Z497">
        <v>75</v>
      </c>
      <c r="AA497">
        <v>59.104135999999997</v>
      </c>
      <c r="AB497">
        <v>39.402757000000001</v>
      </c>
      <c r="AC497">
        <v>50</v>
      </c>
      <c r="AD497">
        <v>71.263490000000004</v>
      </c>
      <c r="AE497">
        <v>47.508992999999997</v>
      </c>
      <c r="AF497">
        <v>50</v>
      </c>
      <c r="AG497" t="s">
        <v>125</v>
      </c>
      <c r="AH497">
        <v>75</v>
      </c>
      <c r="AI497" t="s">
        <v>125</v>
      </c>
      <c r="AJ497" t="s">
        <v>125</v>
      </c>
      <c r="AK497">
        <v>13.98</v>
      </c>
      <c r="AL497">
        <v>15.89</v>
      </c>
      <c r="AM497" t="s">
        <v>125</v>
      </c>
      <c r="AN497">
        <v>0.57508599999999999</v>
      </c>
      <c r="AO497">
        <v>57.508626</v>
      </c>
      <c r="AP497">
        <v>100</v>
      </c>
      <c r="AQ497">
        <v>0.72861699999999996</v>
      </c>
      <c r="AR497">
        <v>72.861712999999995</v>
      </c>
      <c r="AS497">
        <v>100</v>
      </c>
      <c r="AT497">
        <v>0.45778200000000002</v>
      </c>
      <c r="AU497">
        <v>0.61958100000000005</v>
      </c>
      <c r="AV497">
        <v>45.778205999999997</v>
      </c>
      <c r="AW497">
        <v>100</v>
      </c>
      <c r="AX497">
        <v>0.56441799999999998</v>
      </c>
      <c r="AY497">
        <v>0.79090000000000005</v>
      </c>
      <c r="AZ497">
        <v>56.441805000000002</v>
      </c>
      <c r="BA497">
        <v>100</v>
      </c>
      <c r="BB497" t="s">
        <v>125</v>
      </c>
      <c r="BC497" t="s">
        <v>125</v>
      </c>
      <c r="BD497" t="s">
        <v>125</v>
      </c>
      <c r="BE497" t="s">
        <v>125</v>
      </c>
      <c r="BF497" t="s">
        <v>125</v>
      </c>
      <c r="BG497" t="s">
        <v>125</v>
      </c>
      <c r="BH497">
        <v>0</v>
      </c>
      <c r="BI497">
        <v>0.99543400000000004</v>
      </c>
      <c r="BJ497">
        <v>0.98550700000000002</v>
      </c>
      <c r="BK497">
        <v>1</v>
      </c>
      <c r="BL497">
        <v>0.99543400000000004</v>
      </c>
      <c r="BM497">
        <v>0.98550700000000002</v>
      </c>
      <c r="BN497">
        <v>1</v>
      </c>
      <c r="BO497">
        <v>1</v>
      </c>
      <c r="BP497" t="s">
        <v>125</v>
      </c>
      <c r="BQ497">
        <v>1</v>
      </c>
      <c r="BR497">
        <v>5.1723999999999999E-2</v>
      </c>
      <c r="BS497">
        <v>49.655172</v>
      </c>
      <c r="BT497">
        <v>50</v>
      </c>
      <c r="BU497">
        <v>0.12037</v>
      </c>
      <c r="BV497">
        <v>35.925925999999997</v>
      </c>
      <c r="BW497">
        <v>50</v>
      </c>
      <c r="BX497" t="s">
        <v>125</v>
      </c>
      <c r="BY497" t="s">
        <v>125</v>
      </c>
      <c r="BZ497" t="s">
        <v>125</v>
      </c>
      <c r="CA497" t="s">
        <v>125</v>
      </c>
      <c r="CB497" t="s">
        <v>125</v>
      </c>
      <c r="CC497" t="s">
        <v>125</v>
      </c>
      <c r="CD497" t="s">
        <v>125</v>
      </c>
      <c r="CE497" t="s">
        <v>125</v>
      </c>
      <c r="CF497" t="s">
        <v>125</v>
      </c>
      <c r="CG497" t="s">
        <v>125</v>
      </c>
      <c r="CH497" t="s">
        <v>125</v>
      </c>
      <c r="CI497" t="s">
        <v>125</v>
      </c>
      <c r="CJ497" t="s">
        <v>125</v>
      </c>
      <c r="CK497" t="s">
        <v>125</v>
      </c>
      <c r="CL497" t="s">
        <v>125</v>
      </c>
      <c r="CM497" t="s">
        <v>125</v>
      </c>
      <c r="CN497" t="s">
        <v>125</v>
      </c>
      <c r="CO497" t="s">
        <v>125</v>
      </c>
      <c r="CP497" t="s">
        <v>125</v>
      </c>
      <c r="CQ497">
        <v>0.50406499999999999</v>
      </c>
      <c r="CR497">
        <v>1.0336129999999999</v>
      </c>
      <c r="CS497">
        <v>33.604336000000004</v>
      </c>
      <c r="CT497">
        <v>50</v>
      </c>
      <c r="CU497" t="s">
        <v>125</v>
      </c>
      <c r="CV497" t="s">
        <v>125</v>
      </c>
      <c r="CW497" t="s">
        <v>125</v>
      </c>
      <c r="CX497" t="s">
        <v>125</v>
      </c>
      <c r="CY497" t="s">
        <v>125</v>
      </c>
      <c r="CZ497" t="s">
        <v>125</v>
      </c>
      <c r="DA497">
        <v>15.314097</v>
      </c>
      <c r="DB497">
        <v>17.400950000000002</v>
      </c>
      <c r="DC497">
        <v>16.332519999999999</v>
      </c>
      <c r="DD497" t="s">
        <v>125</v>
      </c>
      <c r="DE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Q497" t="s">
        <v>126</v>
      </c>
    </row>
    <row r="498" spans="1:121" x14ac:dyDescent="0.15">
      <c r="A498">
        <v>2018</v>
      </c>
      <c r="B498" t="s">
        <v>286</v>
      </c>
      <c r="C498" t="str">
        <f>"0630011"</f>
        <v>0630011</v>
      </c>
      <c r="D498" t="s">
        <v>654</v>
      </c>
      <c r="E498" t="str">
        <f>"0630111"</f>
        <v>0630111</v>
      </c>
      <c r="F498" t="s">
        <v>328</v>
      </c>
      <c r="G498" t="s">
        <v>329</v>
      </c>
      <c r="H498">
        <v>6</v>
      </c>
      <c r="I498" t="s">
        <v>330</v>
      </c>
      <c r="J498" t="s">
        <v>331</v>
      </c>
      <c r="K498">
        <v>407.75715700000001</v>
      </c>
      <c r="L498">
        <v>550</v>
      </c>
      <c r="M498">
        <v>74.137664999999998</v>
      </c>
      <c r="N498">
        <v>2</v>
      </c>
      <c r="O498">
        <v>0</v>
      </c>
      <c r="P498">
        <v>70.220408000000006</v>
      </c>
      <c r="Q498">
        <v>46.813605000000003</v>
      </c>
      <c r="R498">
        <v>50</v>
      </c>
      <c r="S498">
        <v>62.535428000000003</v>
      </c>
      <c r="T498">
        <v>75</v>
      </c>
      <c r="U498">
        <v>41.690285000000003</v>
      </c>
      <c r="V498">
        <v>50</v>
      </c>
      <c r="W498">
        <v>65.945099999999996</v>
      </c>
      <c r="X498">
        <v>43.9634</v>
      </c>
      <c r="Y498">
        <v>50</v>
      </c>
      <c r="Z498">
        <v>71.644001000000003</v>
      </c>
      <c r="AA498">
        <v>58.821474000000002</v>
      </c>
      <c r="AB498">
        <v>39.214315999999997</v>
      </c>
      <c r="AC498">
        <v>50</v>
      </c>
      <c r="AD498" t="s">
        <v>125</v>
      </c>
      <c r="AE498" t="s">
        <v>125</v>
      </c>
      <c r="AF498" t="s">
        <v>125</v>
      </c>
      <c r="AG498" t="s">
        <v>125</v>
      </c>
      <c r="AH498" t="s">
        <v>125</v>
      </c>
      <c r="AI498" t="s">
        <v>125</v>
      </c>
      <c r="AJ498" t="s">
        <v>125</v>
      </c>
      <c r="AK498">
        <v>12.46</v>
      </c>
      <c r="AL498">
        <v>12.82</v>
      </c>
      <c r="AM498" t="s">
        <v>125</v>
      </c>
      <c r="AN498">
        <v>0.60131400000000002</v>
      </c>
      <c r="AO498">
        <v>60.131445999999997</v>
      </c>
      <c r="AP498">
        <v>100</v>
      </c>
      <c r="AQ498">
        <v>0.74486699999999995</v>
      </c>
      <c r="AR498">
        <v>74.486673999999994</v>
      </c>
      <c r="AS498">
        <v>100</v>
      </c>
      <c r="AT498" t="s">
        <v>125</v>
      </c>
      <c r="AU498" t="s">
        <v>125</v>
      </c>
      <c r="AV498" t="s">
        <v>125</v>
      </c>
      <c r="AW498" t="s">
        <v>125</v>
      </c>
      <c r="AX498" t="s">
        <v>125</v>
      </c>
      <c r="AY498" t="s">
        <v>125</v>
      </c>
      <c r="AZ498" t="s">
        <v>125</v>
      </c>
      <c r="BA498" t="s">
        <v>125</v>
      </c>
      <c r="BB498" t="s">
        <v>125</v>
      </c>
      <c r="BC498" t="s">
        <v>125</v>
      </c>
      <c r="BD498" t="s">
        <v>125</v>
      </c>
      <c r="BE498" t="s">
        <v>125</v>
      </c>
      <c r="BF498" t="s">
        <v>125</v>
      </c>
      <c r="BG498" t="s">
        <v>125</v>
      </c>
      <c r="BH498">
        <v>0</v>
      </c>
      <c r="BI498">
        <v>0.97916700000000001</v>
      </c>
      <c r="BJ498">
        <v>0.95652199999999998</v>
      </c>
      <c r="BK498">
        <v>1</v>
      </c>
      <c r="BL498">
        <v>0.97916700000000001</v>
      </c>
      <c r="BM498">
        <v>0.95652199999999998</v>
      </c>
      <c r="BN498">
        <v>1</v>
      </c>
      <c r="BO498" t="s">
        <v>125</v>
      </c>
      <c r="BP498" t="s">
        <v>125</v>
      </c>
      <c r="BQ498" t="s">
        <v>125</v>
      </c>
      <c r="BR498">
        <v>6.4935000000000007E-2</v>
      </c>
      <c r="BS498">
        <v>47.012987000000003</v>
      </c>
      <c r="BT498">
        <v>50</v>
      </c>
      <c r="BU498">
        <v>0.13888900000000001</v>
      </c>
      <c r="BV498">
        <v>32.222222000000002</v>
      </c>
      <c r="BW498">
        <v>50</v>
      </c>
      <c r="BX498" t="s">
        <v>125</v>
      </c>
      <c r="BY498" t="s">
        <v>125</v>
      </c>
      <c r="BZ498" t="s">
        <v>125</v>
      </c>
      <c r="CA498" t="s">
        <v>125</v>
      </c>
      <c r="CB498" t="s">
        <v>125</v>
      </c>
      <c r="CC498" t="s">
        <v>125</v>
      </c>
      <c r="CD498" t="s">
        <v>125</v>
      </c>
      <c r="CE498" t="s">
        <v>125</v>
      </c>
      <c r="CF498" t="s">
        <v>125</v>
      </c>
      <c r="CG498" t="s">
        <v>125</v>
      </c>
      <c r="CH498" t="s">
        <v>125</v>
      </c>
      <c r="CI498" t="s">
        <v>125</v>
      </c>
      <c r="CJ498" t="s">
        <v>125</v>
      </c>
      <c r="CK498" t="s">
        <v>125</v>
      </c>
      <c r="CL498" t="s">
        <v>125</v>
      </c>
      <c r="CM498" t="s">
        <v>125</v>
      </c>
      <c r="CN498" t="s">
        <v>125</v>
      </c>
      <c r="CO498" t="s">
        <v>125</v>
      </c>
      <c r="CP498" t="s">
        <v>125</v>
      </c>
      <c r="CQ498">
        <v>0.33333299999999999</v>
      </c>
      <c r="CR498">
        <v>0.96</v>
      </c>
      <c r="CS498">
        <v>22.222221999999999</v>
      </c>
      <c r="CT498">
        <v>50</v>
      </c>
      <c r="CU498" t="s">
        <v>125</v>
      </c>
      <c r="CV498" t="s">
        <v>125</v>
      </c>
      <c r="CW498" t="s">
        <v>125</v>
      </c>
      <c r="CX498" t="s">
        <v>125</v>
      </c>
      <c r="CY498" t="s">
        <v>125</v>
      </c>
      <c r="CZ498" t="s">
        <v>125</v>
      </c>
      <c r="DA498">
        <v>15.314097</v>
      </c>
      <c r="DB498">
        <v>17.400950000000002</v>
      </c>
      <c r="DC498">
        <v>16.332519999999999</v>
      </c>
      <c r="DD498" t="s">
        <v>125</v>
      </c>
      <c r="DE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Q498" t="s">
        <v>126</v>
      </c>
    </row>
    <row r="499" spans="1:121" x14ac:dyDescent="0.15">
      <c r="A499">
        <v>2018</v>
      </c>
      <c r="B499" t="s">
        <v>287</v>
      </c>
      <c r="C499" t="str">
        <f t="shared" ref="C499:C541" si="17">"0640011"</f>
        <v>0640011</v>
      </c>
      <c r="D499" t="s">
        <v>655</v>
      </c>
      <c r="E499" t="str">
        <f>"0640711"</f>
        <v>0640711</v>
      </c>
      <c r="F499" t="s">
        <v>328</v>
      </c>
      <c r="G499" t="s">
        <v>329</v>
      </c>
      <c r="H499">
        <v>8</v>
      </c>
      <c r="I499" t="s">
        <v>336</v>
      </c>
      <c r="J499" t="s">
        <v>331</v>
      </c>
      <c r="K499">
        <v>465.907332</v>
      </c>
      <c r="L499">
        <v>1000</v>
      </c>
      <c r="M499">
        <v>46.590733</v>
      </c>
      <c r="N499">
        <v>5</v>
      </c>
      <c r="O499">
        <v>0</v>
      </c>
      <c r="P499">
        <v>48.692849000000002</v>
      </c>
      <c r="Q499">
        <v>32.461899000000003</v>
      </c>
      <c r="R499">
        <v>50</v>
      </c>
      <c r="S499">
        <v>48.482757999999997</v>
      </c>
      <c r="T499" t="s">
        <v>125</v>
      </c>
      <c r="U499">
        <v>32.321838</v>
      </c>
      <c r="V499">
        <v>50</v>
      </c>
      <c r="W499">
        <v>39.903100000000002</v>
      </c>
      <c r="X499">
        <v>26.602066000000001</v>
      </c>
      <c r="Y499">
        <v>50</v>
      </c>
      <c r="Z499" t="s">
        <v>125</v>
      </c>
      <c r="AA499">
        <v>39.424059</v>
      </c>
      <c r="AB499">
        <v>26.282706000000001</v>
      </c>
      <c r="AC499">
        <v>50</v>
      </c>
      <c r="AD499">
        <v>45.210090000000001</v>
      </c>
      <c r="AE499">
        <v>30.140059999999998</v>
      </c>
      <c r="AF499">
        <v>50</v>
      </c>
      <c r="AG499">
        <v>44.770564999999998</v>
      </c>
      <c r="AH499" t="s">
        <v>125</v>
      </c>
      <c r="AI499">
        <v>29.847042999999999</v>
      </c>
      <c r="AJ499">
        <v>50</v>
      </c>
      <c r="AK499" t="s">
        <v>125</v>
      </c>
      <c r="AL499" t="s">
        <v>125</v>
      </c>
      <c r="AM499" t="s">
        <v>125</v>
      </c>
      <c r="AN499">
        <v>0.506965</v>
      </c>
      <c r="AO499">
        <v>50.696463999999999</v>
      </c>
      <c r="AP499">
        <v>100</v>
      </c>
      <c r="AQ499">
        <v>0.44956200000000002</v>
      </c>
      <c r="AR499">
        <v>44.956166000000003</v>
      </c>
      <c r="AS499">
        <v>100</v>
      </c>
      <c r="AT499">
        <v>0.50823200000000002</v>
      </c>
      <c r="AU499" t="s">
        <v>125</v>
      </c>
      <c r="AV499">
        <v>50.823177999999999</v>
      </c>
      <c r="AW499">
        <v>100</v>
      </c>
      <c r="AX499">
        <v>0.44633200000000001</v>
      </c>
      <c r="AY499" t="s">
        <v>125</v>
      </c>
      <c r="AZ499">
        <v>44.633203999999999</v>
      </c>
      <c r="BA499">
        <v>100</v>
      </c>
      <c r="BB499">
        <v>0.50561800000000001</v>
      </c>
      <c r="BC499">
        <v>25.280915</v>
      </c>
      <c r="BD499">
        <v>50</v>
      </c>
      <c r="BE499">
        <v>0.42430600000000002</v>
      </c>
      <c r="BF499">
        <v>21.215274999999998</v>
      </c>
      <c r="BG499">
        <v>50</v>
      </c>
      <c r="BH499">
        <v>0</v>
      </c>
      <c r="BI499">
        <v>0.98960999999999999</v>
      </c>
      <c r="BJ499">
        <v>0.99154900000000001</v>
      </c>
      <c r="BK499">
        <v>0.96666700000000005</v>
      </c>
      <c r="BL499">
        <v>0.98162700000000003</v>
      </c>
      <c r="BM499">
        <v>0.98290599999999995</v>
      </c>
      <c r="BN499">
        <v>0.96666700000000005</v>
      </c>
      <c r="BO499">
        <v>0.99218799999999996</v>
      </c>
      <c r="BP499">
        <v>0.99152499999999999</v>
      </c>
      <c r="BQ499" t="s">
        <v>125</v>
      </c>
      <c r="BR499">
        <v>0.30487799999999998</v>
      </c>
      <c r="BS499">
        <v>0</v>
      </c>
      <c r="BT499">
        <v>50</v>
      </c>
      <c r="BU499">
        <v>0.31501800000000002</v>
      </c>
      <c r="BV499">
        <v>0</v>
      </c>
      <c r="BW499">
        <v>50</v>
      </c>
      <c r="BX499" t="s">
        <v>125</v>
      </c>
      <c r="BY499" t="s">
        <v>125</v>
      </c>
      <c r="BZ499" t="s">
        <v>125</v>
      </c>
      <c r="CA499" t="s">
        <v>125</v>
      </c>
      <c r="CB499" t="s">
        <v>125</v>
      </c>
      <c r="CC499" t="s">
        <v>125</v>
      </c>
      <c r="CD499">
        <v>0.77551000000000003</v>
      </c>
      <c r="CE499">
        <v>41.250543</v>
      </c>
      <c r="CF499">
        <v>50</v>
      </c>
      <c r="CG499" t="s">
        <v>125</v>
      </c>
      <c r="CH499" t="s">
        <v>125</v>
      </c>
      <c r="CI499" t="s">
        <v>125</v>
      </c>
      <c r="CJ499" t="s">
        <v>125</v>
      </c>
      <c r="CK499" t="s">
        <v>125</v>
      </c>
      <c r="CL499" t="s">
        <v>125</v>
      </c>
      <c r="CM499" t="s">
        <v>125</v>
      </c>
      <c r="CN499" t="s">
        <v>125</v>
      </c>
      <c r="CO499" t="s">
        <v>125</v>
      </c>
      <c r="CP499" t="s">
        <v>125</v>
      </c>
      <c r="CQ499">
        <v>0.14094000000000001</v>
      </c>
      <c r="CR499">
        <v>0.96753199999999995</v>
      </c>
      <c r="CS499">
        <v>9.3959729999999997</v>
      </c>
      <c r="CT499">
        <v>50</v>
      </c>
      <c r="CU499" t="s">
        <v>125</v>
      </c>
      <c r="CV499" t="s">
        <v>125</v>
      </c>
      <c r="CW499" t="s">
        <v>125</v>
      </c>
      <c r="CX499" t="s">
        <v>125</v>
      </c>
      <c r="CY499" t="s">
        <v>125</v>
      </c>
      <c r="CZ499" t="s">
        <v>125</v>
      </c>
      <c r="DA499">
        <v>15.314097</v>
      </c>
      <c r="DB499">
        <v>17.400950000000002</v>
      </c>
      <c r="DC499">
        <v>16.332519999999999</v>
      </c>
      <c r="DD499" t="s">
        <v>125</v>
      </c>
      <c r="DE499">
        <v>0</v>
      </c>
      <c r="DF499" t="s">
        <v>376</v>
      </c>
      <c r="DG499" t="s">
        <v>377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Q499" t="s">
        <v>126</v>
      </c>
    </row>
    <row r="500" spans="1:121" x14ac:dyDescent="0.15">
      <c r="A500">
        <v>2018</v>
      </c>
      <c r="B500" t="s">
        <v>287</v>
      </c>
      <c r="C500" t="str">
        <f t="shared" si="17"/>
        <v>0640011</v>
      </c>
      <c r="D500" t="s">
        <v>656</v>
      </c>
      <c r="E500" t="str">
        <f>"0642811"</f>
        <v>0642811</v>
      </c>
      <c r="F500" t="s">
        <v>328</v>
      </c>
      <c r="G500" t="s">
        <v>329</v>
      </c>
      <c r="H500">
        <v>4</v>
      </c>
      <c r="I500" t="s">
        <v>336</v>
      </c>
      <c r="J500" t="s">
        <v>331</v>
      </c>
      <c r="K500">
        <v>545.09141599999998</v>
      </c>
      <c r="L500">
        <v>850</v>
      </c>
      <c r="M500">
        <v>64.128401999999994</v>
      </c>
      <c r="N500">
        <v>3</v>
      </c>
      <c r="O500">
        <v>1</v>
      </c>
      <c r="P500">
        <v>63.119754999999998</v>
      </c>
      <c r="Q500">
        <v>42.079836999999998</v>
      </c>
      <c r="R500">
        <v>50</v>
      </c>
      <c r="S500">
        <v>60.153753999999999</v>
      </c>
      <c r="T500">
        <v>74.736592999999999</v>
      </c>
      <c r="U500">
        <v>40.102502999999999</v>
      </c>
      <c r="V500">
        <v>50</v>
      </c>
      <c r="W500">
        <v>58.895558000000001</v>
      </c>
      <c r="X500">
        <v>39.263705999999999</v>
      </c>
      <c r="Y500">
        <v>50</v>
      </c>
      <c r="Z500">
        <v>73.531999999999996</v>
      </c>
      <c r="AA500">
        <v>55.158594000000001</v>
      </c>
      <c r="AB500">
        <v>36.772396000000001</v>
      </c>
      <c r="AC500">
        <v>50</v>
      </c>
      <c r="AD500" t="s">
        <v>125</v>
      </c>
      <c r="AE500" t="s">
        <v>125</v>
      </c>
      <c r="AF500" t="s">
        <v>125</v>
      </c>
      <c r="AG500" t="s">
        <v>125</v>
      </c>
      <c r="AH500" t="s">
        <v>125</v>
      </c>
      <c r="AI500" t="s">
        <v>125</v>
      </c>
      <c r="AJ500" t="s">
        <v>125</v>
      </c>
      <c r="AK500">
        <v>14.58</v>
      </c>
      <c r="AL500">
        <v>18.37</v>
      </c>
      <c r="AM500" t="s">
        <v>125</v>
      </c>
      <c r="AN500">
        <v>0.66903000000000001</v>
      </c>
      <c r="AO500">
        <v>66.903006000000005</v>
      </c>
      <c r="AP500">
        <v>100</v>
      </c>
      <c r="AQ500">
        <v>0.74685199999999996</v>
      </c>
      <c r="AR500">
        <v>74.685227999999995</v>
      </c>
      <c r="AS500">
        <v>100</v>
      </c>
      <c r="AT500">
        <v>0.67122899999999996</v>
      </c>
      <c r="AU500" t="s">
        <v>125</v>
      </c>
      <c r="AV500">
        <v>67.122944000000004</v>
      </c>
      <c r="AW500">
        <v>100</v>
      </c>
      <c r="AX500">
        <v>0.68626100000000001</v>
      </c>
      <c r="AY500" t="s">
        <v>125</v>
      </c>
      <c r="AZ500">
        <v>68.626050000000006</v>
      </c>
      <c r="BA500">
        <v>100</v>
      </c>
      <c r="BB500">
        <v>0.62351000000000001</v>
      </c>
      <c r="BC500">
        <v>31.175495000000002</v>
      </c>
      <c r="BD500">
        <v>50</v>
      </c>
      <c r="BE500">
        <v>0.37061699999999997</v>
      </c>
      <c r="BF500">
        <v>18.530847999999999</v>
      </c>
      <c r="BG500">
        <v>50</v>
      </c>
      <c r="BH500">
        <v>0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 t="s">
        <v>125</v>
      </c>
      <c r="BP500" t="s">
        <v>125</v>
      </c>
      <c r="BQ500" t="s">
        <v>125</v>
      </c>
      <c r="BR500">
        <v>0.17747399999999999</v>
      </c>
      <c r="BS500">
        <v>24.505119000000001</v>
      </c>
      <c r="BT500">
        <v>50</v>
      </c>
      <c r="BU500">
        <v>0.19004499999999999</v>
      </c>
      <c r="BV500">
        <v>21.990950000000002</v>
      </c>
      <c r="BW500">
        <v>50</v>
      </c>
      <c r="BX500" t="s">
        <v>125</v>
      </c>
      <c r="BY500" t="s">
        <v>125</v>
      </c>
      <c r="BZ500" t="s">
        <v>125</v>
      </c>
      <c r="CA500" t="s">
        <v>125</v>
      </c>
      <c r="CB500" t="s">
        <v>125</v>
      </c>
      <c r="CC500" t="s">
        <v>125</v>
      </c>
      <c r="CD500" t="s">
        <v>125</v>
      </c>
      <c r="CE500" t="s">
        <v>125</v>
      </c>
      <c r="CF500" t="s">
        <v>125</v>
      </c>
      <c r="CG500" t="s">
        <v>125</v>
      </c>
      <c r="CH500" t="s">
        <v>125</v>
      </c>
      <c r="CI500" t="s">
        <v>125</v>
      </c>
      <c r="CJ500" t="s">
        <v>125</v>
      </c>
      <c r="CK500" t="s">
        <v>125</v>
      </c>
      <c r="CL500" t="s">
        <v>125</v>
      </c>
      <c r="CM500" t="s">
        <v>125</v>
      </c>
      <c r="CN500" t="s">
        <v>125</v>
      </c>
      <c r="CO500" t="s">
        <v>125</v>
      </c>
      <c r="CP500" t="s">
        <v>125</v>
      </c>
      <c r="CQ500">
        <v>0.2</v>
      </c>
      <c r="CR500">
        <v>0.96774199999999999</v>
      </c>
      <c r="CS500">
        <v>13.333333</v>
      </c>
      <c r="CT500">
        <v>50</v>
      </c>
      <c r="CU500" t="s">
        <v>125</v>
      </c>
      <c r="CV500" t="s">
        <v>125</v>
      </c>
      <c r="CW500" t="s">
        <v>125</v>
      </c>
      <c r="CX500" t="s">
        <v>125</v>
      </c>
      <c r="CY500" t="s">
        <v>125</v>
      </c>
      <c r="CZ500" t="s">
        <v>125</v>
      </c>
      <c r="DA500">
        <v>15.314097</v>
      </c>
      <c r="DB500">
        <v>17.400950000000002</v>
      </c>
      <c r="DC500">
        <v>16.332519999999999</v>
      </c>
      <c r="DD500" t="s">
        <v>125</v>
      </c>
      <c r="DE500">
        <v>1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Q500" t="s">
        <v>126</v>
      </c>
    </row>
    <row r="501" spans="1:121" x14ac:dyDescent="0.15">
      <c r="A501">
        <v>2018</v>
      </c>
      <c r="B501" t="s">
        <v>287</v>
      </c>
      <c r="C501" t="str">
        <f t="shared" si="17"/>
        <v>0640011</v>
      </c>
      <c r="D501" t="s">
        <v>657</v>
      </c>
      <c r="E501" t="str">
        <f>"0643811"</f>
        <v>0643811</v>
      </c>
      <c r="F501" t="s">
        <v>328</v>
      </c>
      <c r="G501">
        <v>5</v>
      </c>
      <c r="H501">
        <v>8</v>
      </c>
      <c r="I501" t="s">
        <v>336</v>
      </c>
      <c r="J501" t="s">
        <v>331</v>
      </c>
      <c r="K501">
        <v>611.45004400000005</v>
      </c>
      <c r="L501">
        <v>1000</v>
      </c>
      <c r="M501">
        <v>61.145004</v>
      </c>
      <c r="N501">
        <v>3</v>
      </c>
      <c r="O501">
        <v>1</v>
      </c>
      <c r="P501">
        <v>59.554805999999999</v>
      </c>
      <c r="Q501">
        <v>39.703203999999999</v>
      </c>
      <c r="R501">
        <v>50</v>
      </c>
      <c r="S501">
        <v>55.923982000000002</v>
      </c>
      <c r="T501">
        <v>75</v>
      </c>
      <c r="U501">
        <v>37.282654999999998</v>
      </c>
      <c r="V501">
        <v>50</v>
      </c>
      <c r="W501">
        <v>52.168931999999998</v>
      </c>
      <c r="X501">
        <v>34.779288000000001</v>
      </c>
      <c r="Y501">
        <v>50</v>
      </c>
      <c r="Z501">
        <v>69.780079999999998</v>
      </c>
      <c r="AA501">
        <v>48.052041000000003</v>
      </c>
      <c r="AB501">
        <v>32.034694000000002</v>
      </c>
      <c r="AC501">
        <v>50</v>
      </c>
      <c r="AD501">
        <v>55.950695000000003</v>
      </c>
      <c r="AE501">
        <v>37.300463000000001</v>
      </c>
      <c r="AF501">
        <v>50</v>
      </c>
      <c r="AG501">
        <v>53.185867000000002</v>
      </c>
      <c r="AH501">
        <v>68.692943999999997</v>
      </c>
      <c r="AI501">
        <v>35.457245</v>
      </c>
      <c r="AJ501">
        <v>50</v>
      </c>
      <c r="AK501">
        <v>19.07</v>
      </c>
      <c r="AL501">
        <v>21.72</v>
      </c>
      <c r="AM501">
        <v>15.5</v>
      </c>
      <c r="AN501">
        <v>0.54700099999999996</v>
      </c>
      <c r="AO501">
        <v>54.700119000000001</v>
      </c>
      <c r="AP501">
        <v>100</v>
      </c>
      <c r="AQ501">
        <v>0.51414899999999997</v>
      </c>
      <c r="AR501">
        <v>51.414884000000001</v>
      </c>
      <c r="AS501">
        <v>100</v>
      </c>
      <c r="AT501">
        <v>0.52204799999999996</v>
      </c>
      <c r="AU501">
        <v>0.63962200000000002</v>
      </c>
      <c r="AV501">
        <v>52.204849000000003</v>
      </c>
      <c r="AW501">
        <v>100</v>
      </c>
      <c r="AX501">
        <v>0.46458100000000002</v>
      </c>
      <c r="AY501">
        <v>0.69813700000000001</v>
      </c>
      <c r="AZ501">
        <v>46.458120999999998</v>
      </c>
      <c r="BA501">
        <v>100</v>
      </c>
      <c r="BB501">
        <v>0.53131799999999996</v>
      </c>
      <c r="BC501">
        <v>26.565922</v>
      </c>
      <c r="BD501">
        <v>50</v>
      </c>
      <c r="BE501">
        <v>0.40007100000000001</v>
      </c>
      <c r="BF501">
        <v>20.003544000000002</v>
      </c>
      <c r="BG501">
        <v>50</v>
      </c>
      <c r="BH501">
        <v>0</v>
      </c>
      <c r="BI501">
        <v>0.99652799999999997</v>
      </c>
      <c r="BJ501">
        <v>1</v>
      </c>
      <c r="BK501">
        <v>0.98181799999999997</v>
      </c>
      <c r="BL501">
        <v>0.99651599999999996</v>
      </c>
      <c r="BM501">
        <v>1</v>
      </c>
      <c r="BN501">
        <v>0.98181799999999997</v>
      </c>
      <c r="BO501">
        <v>1</v>
      </c>
      <c r="BP501">
        <v>1</v>
      </c>
      <c r="BQ501">
        <v>1</v>
      </c>
      <c r="BR501">
        <v>0.104895</v>
      </c>
      <c r="BS501">
        <v>39.020978999999997</v>
      </c>
      <c r="BT501">
        <v>50</v>
      </c>
      <c r="BU501">
        <v>0.12831899999999999</v>
      </c>
      <c r="BV501">
        <v>34.336283000000002</v>
      </c>
      <c r="BW501">
        <v>50</v>
      </c>
      <c r="BX501" t="s">
        <v>125</v>
      </c>
      <c r="BY501" t="s">
        <v>125</v>
      </c>
      <c r="BZ501" t="s">
        <v>125</v>
      </c>
      <c r="CA501" t="s">
        <v>125</v>
      </c>
      <c r="CB501" t="s">
        <v>125</v>
      </c>
      <c r="CC501" t="s">
        <v>125</v>
      </c>
      <c r="CD501">
        <v>0.94117600000000001</v>
      </c>
      <c r="CE501">
        <v>50</v>
      </c>
      <c r="CF501">
        <v>50</v>
      </c>
      <c r="CG501" t="s">
        <v>125</v>
      </c>
      <c r="CH501" t="s">
        <v>125</v>
      </c>
      <c r="CI501" t="s">
        <v>125</v>
      </c>
      <c r="CJ501" t="s">
        <v>125</v>
      </c>
      <c r="CK501" t="s">
        <v>125</v>
      </c>
      <c r="CL501" t="s">
        <v>125</v>
      </c>
      <c r="CM501" t="s">
        <v>125</v>
      </c>
      <c r="CN501" t="s">
        <v>125</v>
      </c>
      <c r="CO501" t="s">
        <v>125</v>
      </c>
      <c r="CP501" t="s">
        <v>125</v>
      </c>
      <c r="CQ501">
        <v>0.302817</v>
      </c>
      <c r="CR501">
        <v>1</v>
      </c>
      <c r="CS501">
        <v>20.187792999999999</v>
      </c>
      <c r="CT501">
        <v>50</v>
      </c>
      <c r="CU501" t="s">
        <v>125</v>
      </c>
      <c r="CV501" t="s">
        <v>125</v>
      </c>
      <c r="CW501" t="s">
        <v>125</v>
      </c>
      <c r="CX501" t="s">
        <v>125</v>
      </c>
      <c r="CY501" t="s">
        <v>125</v>
      </c>
      <c r="CZ501" t="s">
        <v>125</v>
      </c>
      <c r="DA501">
        <v>15.314097</v>
      </c>
      <c r="DB501">
        <v>17.400950000000002</v>
      </c>
      <c r="DC501">
        <v>16.332519999999999</v>
      </c>
      <c r="DD501" t="s">
        <v>125</v>
      </c>
      <c r="DE501">
        <v>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Q501" t="s">
        <v>126</v>
      </c>
    </row>
    <row r="502" spans="1:121" x14ac:dyDescent="0.15">
      <c r="A502">
        <v>2018</v>
      </c>
      <c r="B502" t="s">
        <v>287</v>
      </c>
      <c r="C502" t="str">
        <f t="shared" si="17"/>
        <v>0640011</v>
      </c>
      <c r="D502" t="s">
        <v>658</v>
      </c>
      <c r="E502" t="str">
        <f>"0643511"</f>
        <v>0643511</v>
      </c>
      <c r="F502" t="s">
        <v>328</v>
      </c>
      <c r="G502" t="s">
        <v>329</v>
      </c>
      <c r="H502">
        <v>5</v>
      </c>
      <c r="I502" t="s">
        <v>336</v>
      </c>
      <c r="J502" t="s">
        <v>331</v>
      </c>
      <c r="K502">
        <v>505.18982</v>
      </c>
      <c r="L502">
        <v>850</v>
      </c>
      <c r="M502">
        <v>59.434097000000001</v>
      </c>
      <c r="N502">
        <v>3</v>
      </c>
      <c r="O502">
        <v>1</v>
      </c>
      <c r="P502">
        <v>57.925443999999999</v>
      </c>
      <c r="Q502">
        <v>38.616962999999998</v>
      </c>
      <c r="R502">
        <v>50</v>
      </c>
      <c r="S502">
        <v>51.827649999999998</v>
      </c>
      <c r="T502">
        <v>71.927786999999995</v>
      </c>
      <c r="U502">
        <v>34.551766999999998</v>
      </c>
      <c r="V502">
        <v>50</v>
      </c>
      <c r="W502">
        <v>57.622517999999999</v>
      </c>
      <c r="X502">
        <v>38.415011999999997</v>
      </c>
      <c r="Y502">
        <v>50</v>
      </c>
      <c r="Z502">
        <v>69.648544999999999</v>
      </c>
      <c r="AA502">
        <v>52.385378000000003</v>
      </c>
      <c r="AB502">
        <v>34.923585000000003</v>
      </c>
      <c r="AC502">
        <v>50</v>
      </c>
      <c r="AD502">
        <v>57.071800000000003</v>
      </c>
      <c r="AE502">
        <v>38.047866999999997</v>
      </c>
      <c r="AF502">
        <v>50</v>
      </c>
      <c r="AG502">
        <v>51.907834000000001</v>
      </c>
      <c r="AH502" t="s">
        <v>125</v>
      </c>
      <c r="AI502">
        <v>34.605223000000002</v>
      </c>
      <c r="AJ502">
        <v>50</v>
      </c>
      <c r="AK502">
        <v>20.100000000000001</v>
      </c>
      <c r="AL502">
        <v>17.260000000000002</v>
      </c>
      <c r="AM502" t="s">
        <v>125</v>
      </c>
      <c r="AN502">
        <v>0.43947399999999998</v>
      </c>
      <c r="AO502">
        <v>43.947380000000003</v>
      </c>
      <c r="AP502">
        <v>100</v>
      </c>
      <c r="AQ502">
        <v>0.54266300000000001</v>
      </c>
      <c r="AR502">
        <v>54.266286000000001</v>
      </c>
      <c r="AS502">
        <v>100</v>
      </c>
      <c r="AT502">
        <v>0.41325800000000001</v>
      </c>
      <c r="AU502" t="s">
        <v>125</v>
      </c>
      <c r="AV502">
        <v>41.325817000000001</v>
      </c>
      <c r="AW502">
        <v>100</v>
      </c>
      <c r="AX502">
        <v>0.50522299999999998</v>
      </c>
      <c r="AY502" t="s">
        <v>125</v>
      </c>
      <c r="AZ502">
        <v>50.522302000000003</v>
      </c>
      <c r="BA502">
        <v>100</v>
      </c>
      <c r="BB502" t="s">
        <v>125</v>
      </c>
      <c r="BC502" t="s">
        <v>125</v>
      </c>
      <c r="BD502" t="s">
        <v>125</v>
      </c>
      <c r="BE502" t="s">
        <v>125</v>
      </c>
      <c r="BF502" t="s">
        <v>125</v>
      </c>
      <c r="BG502" t="s">
        <v>125</v>
      </c>
      <c r="BH502">
        <v>0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 t="s">
        <v>125</v>
      </c>
      <c r="BR502">
        <v>0.12135899999999999</v>
      </c>
      <c r="BS502">
        <v>35.728155000000001</v>
      </c>
      <c r="BT502">
        <v>50</v>
      </c>
      <c r="BU502">
        <v>0.159722</v>
      </c>
      <c r="BV502">
        <v>28.055555999999999</v>
      </c>
      <c r="BW502">
        <v>50</v>
      </c>
      <c r="BX502" t="s">
        <v>125</v>
      </c>
      <c r="BY502" t="s">
        <v>125</v>
      </c>
      <c r="BZ502" t="s">
        <v>125</v>
      </c>
      <c r="CA502" t="s">
        <v>125</v>
      </c>
      <c r="CB502" t="s">
        <v>125</v>
      </c>
      <c r="CC502" t="s">
        <v>125</v>
      </c>
      <c r="CD502" t="s">
        <v>125</v>
      </c>
      <c r="CE502" t="s">
        <v>125</v>
      </c>
      <c r="CF502" t="s">
        <v>125</v>
      </c>
      <c r="CG502" t="s">
        <v>125</v>
      </c>
      <c r="CH502" t="s">
        <v>125</v>
      </c>
      <c r="CI502" t="s">
        <v>125</v>
      </c>
      <c r="CJ502" t="s">
        <v>125</v>
      </c>
      <c r="CK502" t="s">
        <v>125</v>
      </c>
      <c r="CL502" t="s">
        <v>125</v>
      </c>
      <c r="CM502" t="s">
        <v>125</v>
      </c>
      <c r="CN502" t="s">
        <v>125</v>
      </c>
      <c r="CO502" t="s">
        <v>125</v>
      </c>
      <c r="CP502" t="s">
        <v>125</v>
      </c>
      <c r="CQ502">
        <v>0.48275899999999999</v>
      </c>
      <c r="CR502">
        <v>1</v>
      </c>
      <c r="CS502">
        <v>32.183908000000002</v>
      </c>
      <c r="CT502">
        <v>50</v>
      </c>
      <c r="CU502" t="s">
        <v>125</v>
      </c>
      <c r="CV502" t="s">
        <v>125</v>
      </c>
      <c r="CW502" t="s">
        <v>125</v>
      </c>
      <c r="CX502" t="s">
        <v>125</v>
      </c>
      <c r="CY502" t="s">
        <v>125</v>
      </c>
      <c r="CZ502" t="s">
        <v>125</v>
      </c>
      <c r="DA502">
        <v>15.314097</v>
      </c>
      <c r="DB502">
        <v>17.400950000000002</v>
      </c>
      <c r="DC502">
        <v>16.332519999999999</v>
      </c>
      <c r="DD502" t="s">
        <v>125</v>
      </c>
      <c r="DE502">
        <v>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Q502" t="s">
        <v>126</v>
      </c>
    </row>
    <row r="503" spans="1:121" x14ac:dyDescent="0.15">
      <c r="A503">
        <v>2018</v>
      </c>
      <c r="B503" t="s">
        <v>287</v>
      </c>
      <c r="C503" t="str">
        <f t="shared" si="17"/>
        <v>0640011</v>
      </c>
      <c r="D503" t="s">
        <v>659</v>
      </c>
      <c r="E503" t="str">
        <f>"0643311"</f>
        <v>0643311</v>
      </c>
      <c r="F503" t="s">
        <v>328</v>
      </c>
      <c r="G503" t="s">
        <v>329</v>
      </c>
      <c r="H503">
        <v>8</v>
      </c>
      <c r="I503" t="s">
        <v>336</v>
      </c>
      <c r="J503" t="s">
        <v>331</v>
      </c>
      <c r="K503">
        <v>674.65142000000003</v>
      </c>
      <c r="L503">
        <v>1000</v>
      </c>
      <c r="M503">
        <v>67.465142</v>
      </c>
      <c r="N503">
        <v>3</v>
      </c>
      <c r="O503">
        <v>0</v>
      </c>
      <c r="P503">
        <v>64.377536000000006</v>
      </c>
      <c r="Q503">
        <v>42.918357</v>
      </c>
      <c r="R503">
        <v>50</v>
      </c>
      <c r="S503">
        <v>60.009540000000001</v>
      </c>
      <c r="T503">
        <v>75</v>
      </c>
      <c r="U503">
        <v>40.006360000000001</v>
      </c>
      <c r="V503">
        <v>50</v>
      </c>
      <c r="W503">
        <v>62.234431999999998</v>
      </c>
      <c r="X503">
        <v>41.489621</v>
      </c>
      <c r="Y503">
        <v>50</v>
      </c>
      <c r="Z503">
        <v>72.950460000000007</v>
      </c>
      <c r="AA503">
        <v>57.902419999999999</v>
      </c>
      <c r="AB503">
        <v>38.601613999999998</v>
      </c>
      <c r="AC503">
        <v>50</v>
      </c>
      <c r="AD503">
        <v>59.925984999999997</v>
      </c>
      <c r="AE503">
        <v>39.950657</v>
      </c>
      <c r="AF503">
        <v>50</v>
      </c>
      <c r="AG503">
        <v>55.655023999999997</v>
      </c>
      <c r="AH503" t="s">
        <v>125</v>
      </c>
      <c r="AI503">
        <v>37.103349000000001</v>
      </c>
      <c r="AJ503">
        <v>50</v>
      </c>
      <c r="AK503">
        <v>14.99</v>
      </c>
      <c r="AL503">
        <v>15.04</v>
      </c>
      <c r="AM503" t="s">
        <v>125</v>
      </c>
      <c r="AN503">
        <v>0.54646600000000001</v>
      </c>
      <c r="AO503">
        <v>54.646635000000003</v>
      </c>
      <c r="AP503">
        <v>100</v>
      </c>
      <c r="AQ503">
        <v>0.46713399999999999</v>
      </c>
      <c r="AR503">
        <v>46.713351000000003</v>
      </c>
      <c r="AS503">
        <v>100</v>
      </c>
      <c r="AT503">
        <v>0.51779900000000001</v>
      </c>
      <c r="AU503">
        <v>0.61688699999999996</v>
      </c>
      <c r="AV503">
        <v>51.779949999999999</v>
      </c>
      <c r="AW503">
        <v>100</v>
      </c>
      <c r="AX503">
        <v>0.44774999999999998</v>
      </c>
      <c r="AY503">
        <v>0.51580899999999996</v>
      </c>
      <c r="AZ503">
        <v>44.774956000000003</v>
      </c>
      <c r="BA503">
        <v>100</v>
      </c>
      <c r="BB503">
        <v>0.69110300000000002</v>
      </c>
      <c r="BC503">
        <v>34.555135</v>
      </c>
      <c r="BD503">
        <v>50</v>
      </c>
      <c r="BE503">
        <v>0.482178</v>
      </c>
      <c r="BF503">
        <v>24.108895</v>
      </c>
      <c r="BG503">
        <v>50</v>
      </c>
      <c r="BH503">
        <v>0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 t="s">
        <v>125</v>
      </c>
      <c r="BR503">
        <v>6.9766999999999996E-2</v>
      </c>
      <c r="BS503">
        <v>46.046512</v>
      </c>
      <c r="BT503">
        <v>50</v>
      </c>
      <c r="BU503">
        <v>7.7295000000000003E-2</v>
      </c>
      <c r="BV503">
        <v>44.541063000000001</v>
      </c>
      <c r="BW503">
        <v>50</v>
      </c>
      <c r="BX503" t="s">
        <v>125</v>
      </c>
      <c r="BY503" t="s">
        <v>125</v>
      </c>
      <c r="BZ503" t="s">
        <v>125</v>
      </c>
      <c r="CA503" t="s">
        <v>125</v>
      </c>
      <c r="CB503" t="s">
        <v>125</v>
      </c>
      <c r="CC503" t="s">
        <v>125</v>
      </c>
      <c r="CD503">
        <v>0.97142899999999999</v>
      </c>
      <c r="CE503">
        <v>50</v>
      </c>
      <c r="CF503">
        <v>50</v>
      </c>
      <c r="CG503" t="s">
        <v>125</v>
      </c>
      <c r="CH503" t="s">
        <v>125</v>
      </c>
      <c r="CI503" t="s">
        <v>125</v>
      </c>
      <c r="CJ503" t="s">
        <v>125</v>
      </c>
      <c r="CK503" t="s">
        <v>125</v>
      </c>
      <c r="CL503" t="s">
        <v>125</v>
      </c>
      <c r="CM503" t="s">
        <v>125</v>
      </c>
      <c r="CN503" t="s">
        <v>125</v>
      </c>
      <c r="CO503" t="s">
        <v>125</v>
      </c>
      <c r="CP503" t="s">
        <v>125</v>
      </c>
      <c r="CQ503">
        <v>0.56122399999999995</v>
      </c>
      <c r="CR503">
        <v>1</v>
      </c>
      <c r="CS503">
        <v>37.414966</v>
      </c>
      <c r="CT503">
        <v>50</v>
      </c>
      <c r="CU503" t="s">
        <v>125</v>
      </c>
      <c r="CV503" t="s">
        <v>125</v>
      </c>
      <c r="CW503" t="s">
        <v>125</v>
      </c>
      <c r="CX503" t="s">
        <v>125</v>
      </c>
      <c r="CY503" t="s">
        <v>125</v>
      </c>
      <c r="CZ503" t="s">
        <v>125</v>
      </c>
      <c r="DA503">
        <v>15.314097</v>
      </c>
      <c r="DB503">
        <v>17.400950000000002</v>
      </c>
      <c r="DC503">
        <v>16.332519999999999</v>
      </c>
      <c r="DD503" t="s">
        <v>125</v>
      </c>
      <c r="DE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Q503" t="s">
        <v>126</v>
      </c>
    </row>
    <row r="504" spans="1:121" x14ac:dyDescent="0.15">
      <c r="A504">
        <v>2018</v>
      </c>
      <c r="B504" t="s">
        <v>287</v>
      </c>
      <c r="C504" t="str">
        <f t="shared" si="17"/>
        <v>0640011</v>
      </c>
      <c r="D504" t="s">
        <v>660</v>
      </c>
      <c r="E504" t="str">
        <f>"0647111"</f>
        <v>0647111</v>
      </c>
      <c r="F504" t="s">
        <v>328</v>
      </c>
      <c r="G504">
        <v>9</v>
      </c>
      <c r="H504">
        <v>12</v>
      </c>
      <c r="I504" t="s">
        <v>336</v>
      </c>
      <c r="J504" t="s">
        <v>331</v>
      </c>
      <c r="K504">
        <v>745.34722799999997</v>
      </c>
      <c r="L504">
        <v>1550</v>
      </c>
      <c r="M504">
        <v>48.086917999999997</v>
      </c>
      <c r="N504">
        <v>5</v>
      </c>
      <c r="O504">
        <v>0</v>
      </c>
      <c r="P504">
        <v>35.541328</v>
      </c>
      <c r="Q504">
        <v>71.082656</v>
      </c>
      <c r="R504">
        <v>150</v>
      </c>
      <c r="S504">
        <v>34.900303999999998</v>
      </c>
      <c r="T504" t="s">
        <v>125</v>
      </c>
      <c r="U504">
        <v>69.800608999999994</v>
      </c>
      <c r="V504">
        <v>150</v>
      </c>
      <c r="W504">
        <v>31.285907999999999</v>
      </c>
      <c r="X504">
        <v>62.571815999999998</v>
      </c>
      <c r="Y504">
        <v>150</v>
      </c>
      <c r="Z504" t="s">
        <v>125</v>
      </c>
      <c r="AA504">
        <v>31.175038000000001</v>
      </c>
      <c r="AB504">
        <v>62.350076000000001</v>
      </c>
      <c r="AC504">
        <v>150</v>
      </c>
      <c r="AD504">
        <v>35.005620999999998</v>
      </c>
      <c r="AE504">
        <v>46.674160999999998</v>
      </c>
      <c r="AF504">
        <v>100</v>
      </c>
      <c r="AG504">
        <v>34.173921999999997</v>
      </c>
      <c r="AH504" t="s">
        <v>125</v>
      </c>
      <c r="AI504">
        <v>45.56523</v>
      </c>
      <c r="AJ504">
        <v>100</v>
      </c>
      <c r="AK504" t="s">
        <v>125</v>
      </c>
      <c r="AL504" t="s">
        <v>125</v>
      </c>
      <c r="AM504" t="s">
        <v>125</v>
      </c>
      <c r="AN504" t="s">
        <v>125</v>
      </c>
      <c r="AO504" t="s">
        <v>125</v>
      </c>
      <c r="AP504" t="s">
        <v>125</v>
      </c>
      <c r="AQ504" t="s">
        <v>125</v>
      </c>
      <c r="AR504" t="s">
        <v>125</v>
      </c>
      <c r="AS504" t="s">
        <v>125</v>
      </c>
      <c r="AT504" t="s">
        <v>125</v>
      </c>
      <c r="AU504" t="s">
        <v>125</v>
      </c>
      <c r="AV504" t="s">
        <v>125</v>
      </c>
      <c r="AW504" t="s">
        <v>125</v>
      </c>
      <c r="AX504" t="s">
        <v>125</v>
      </c>
      <c r="AY504" t="s">
        <v>125</v>
      </c>
      <c r="AZ504" t="s">
        <v>125</v>
      </c>
      <c r="BA504" t="s">
        <v>125</v>
      </c>
      <c r="BB504">
        <v>0.346854</v>
      </c>
      <c r="BC504">
        <v>17.342687999999999</v>
      </c>
      <c r="BD504">
        <v>50</v>
      </c>
      <c r="BE504">
        <v>0.47458800000000001</v>
      </c>
      <c r="BF504">
        <v>23.729382000000001</v>
      </c>
      <c r="BG504">
        <v>50</v>
      </c>
      <c r="BH504">
        <v>1</v>
      </c>
      <c r="BI504">
        <v>0.86956500000000003</v>
      </c>
      <c r="BJ504">
        <v>0.88349500000000003</v>
      </c>
      <c r="BK504" t="s">
        <v>125</v>
      </c>
      <c r="BL504">
        <v>0.86956500000000003</v>
      </c>
      <c r="BM504">
        <v>0.88349500000000003</v>
      </c>
      <c r="BN504" t="s">
        <v>125</v>
      </c>
      <c r="BO504">
        <v>0.89743600000000001</v>
      </c>
      <c r="BP504">
        <v>0.91428600000000004</v>
      </c>
      <c r="BQ504" t="s">
        <v>125</v>
      </c>
      <c r="BR504">
        <v>0.56206900000000004</v>
      </c>
      <c r="BS504">
        <v>0</v>
      </c>
      <c r="BT504">
        <v>50</v>
      </c>
      <c r="BU504">
        <v>0.57168799999999997</v>
      </c>
      <c r="BV504">
        <v>0</v>
      </c>
      <c r="BW504">
        <v>50</v>
      </c>
      <c r="BX504">
        <v>0.58403400000000005</v>
      </c>
      <c r="BY504">
        <v>38.935574000000003</v>
      </c>
      <c r="BZ504">
        <v>50</v>
      </c>
      <c r="CA504">
        <v>7.1429000000000006E-2</v>
      </c>
      <c r="CB504">
        <v>4.7619049999999996</v>
      </c>
      <c r="CC504">
        <v>50</v>
      </c>
      <c r="CD504">
        <v>0.57526900000000003</v>
      </c>
      <c r="CE504">
        <v>30.599405000000001</v>
      </c>
      <c r="CF504">
        <v>50</v>
      </c>
      <c r="CG504">
        <v>0.56164400000000003</v>
      </c>
      <c r="CH504">
        <v>59.749344000000001</v>
      </c>
      <c r="CI504">
        <v>100</v>
      </c>
      <c r="CJ504">
        <v>0</v>
      </c>
      <c r="CK504">
        <v>0.8</v>
      </c>
      <c r="CL504">
        <v>85.106382999999994</v>
      </c>
      <c r="CM504">
        <v>100</v>
      </c>
      <c r="CN504">
        <v>0.44444400000000001</v>
      </c>
      <c r="CO504">
        <v>59.259259</v>
      </c>
      <c r="CP504">
        <v>100</v>
      </c>
      <c r="CQ504">
        <v>0.26728099999999999</v>
      </c>
      <c r="CR504">
        <v>1.3910260000000001</v>
      </c>
      <c r="CS504">
        <v>17.818739999999998</v>
      </c>
      <c r="CT504">
        <v>50</v>
      </c>
      <c r="CU504">
        <v>0.67069000000000001</v>
      </c>
      <c r="CV504">
        <v>50</v>
      </c>
      <c r="CW504">
        <v>50</v>
      </c>
      <c r="CX504">
        <v>0.8</v>
      </c>
      <c r="CY504" t="s">
        <v>125</v>
      </c>
      <c r="CZ504" t="s">
        <v>125</v>
      </c>
      <c r="DA504">
        <v>15.314097</v>
      </c>
      <c r="DB504">
        <v>17.400950000000002</v>
      </c>
      <c r="DC504">
        <v>16.332519999999999</v>
      </c>
      <c r="DD504">
        <v>7.9891730000000001</v>
      </c>
      <c r="DE504">
        <v>1</v>
      </c>
      <c r="DF504" t="s">
        <v>385</v>
      </c>
      <c r="DG504" t="s">
        <v>386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Q504" t="s">
        <v>126</v>
      </c>
    </row>
    <row r="505" spans="1:121" x14ac:dyDescent="0.15">
      <c r="A505">
        <v>2018</v>
      </c>
      <c r="B505" t="s">
        <v>287</v>
      </c>
      <c r="C505" t="str">
        <f t="shared" si="17"/>
        <v>0640011</v>
      </c>
      <c r="D505" t="s">
        <v>661</v>
      </c>
      <c r="E505" t="str">
        <f>"0640611"</f>
        <v>0640611</v>
      </c>
      <c r="F505" t="s">
        <v>328</v>
      </c>
      <c r="G505" t="s">
        <v>329</v>
      </c>
      <c r="H505">
        <v>8</v>
      </c>
      <c r="I505" t="s">
        <v>336</v>
      </c>
      <c r="J505" t="s">
        <v>331</v>
      </c>
      <c r="K505">
        <v>489.07182299999999</v>
      </c>
      <c r="L505">
        <v>1000</v>
      </c>
      <c r="M505">
        <v>48.907181999999999</v>
      </c>
      <c r="N505">
        <v>5</v>
      </c>
      <c r="O505">
        <v>0</v>
      </c>
      <c r="P505">
        <v>40.616655000000002</v>
      </c>
      <c r="Q505">
        <v>27.077770000000001</v>
      </c>
      <c r="R505">
        <v>50</v>
      </c>
      <c r="S505">
        <v>39.968409000000001</v>
      </c>
      <c r="T505" t="s">
        <v>125</v>
      </c>
      <c r="U505">
        <v>26.645606000000001</v>
      </c>
      <c r="V505">
        <v>50</v>
      </c>
      <c r="W505">
        <v>37.075313000000001</v>
      </c>
      <c r="X505">
        <v>24.716875000000002</v>
      </c>
      <c r="Y505">
        <v>50</v>
      </c>
      <c r="Z505" t="s">
        <v>125</v>
      </c>
      <c r="AA505">
        <v>36.243487999999999</v>
      </c>
      <c r="AB505">
        <v>24.162324999999999</v>
      </c>
      <c r="AC505">
        <v>50</v>
      </c>
      <c r="AD505">
        <v>40.748942999999997</v>
      </c>
      <c r="AE505">
        <v>27.165962</v>
      </c>
      <c r="AF505">
        <v>50</v>
      </c>
      <c r="AG505">
        <v>40.453519999999997</v>
      </c>
      <c r="AH505" t="s">
        <v>125</v>
      </c>
      <c r="AI505">
        <v>26.969013</v>
      </c>
      <c r="AJ505">
        <v>50</v>
      </c>
      <c r="AK505" t="s">
        <v>125</v>
      </c>
      <c r="AL505" t="s">
        <v>125</v>
      </c>
      <c r="AM505" t="s">
        <v>125</v>
      </c>
      <c r="AN505">
        <v>0.49291200000000002</v>
      </c>
      <c r="AO505">
        <v>49.291229000000001</v>
      </c>
      <c r="AP505">
        <v>100</v>
      </c>
      <c r="AQ505">
        <v>0.53513699999999997</v>
      </c>
      <c r="AR505">
        <v>53.513660999999999</v>
      </c>
      <c r="AS505">
        <v>100</v>
      </c>
      <c r="AT505">
        <v>0.484846</v>
      </c>
      <c r="AU505" t="s">
        <v>125</v>
      </c>
      <c r="AV505">
        <v>48.484625999999999</v>
      </c>
      <c r="AW505">
        <v>100</v>
      </c>
      <c r="AX505">
        <v>0.52674799999999999</v>
      </c>
      <c r="AY505" t="s">
        <v>125</v>
      </c>
      <c r="AZ505">
        <v>52.674754999999998</v>
      </c>
      <c r="BA505">
        <v>100</v>
      </c>
      <c r="BB505">
        <v>0.59679800000000005</v>
      </c>
      <c r="BC505">
        <v>29.839908000000001</v>
      </c>
      <c r="BD505">
        <v>50</v>
      </c>
      <c r="BE505">
        <v>0.50267700000000004</v>
      </c>
      <c r="BF505">
        <v>25.133872</v>
      </c>
      <c r="BG505">
        <v>50</v>
      </c>
      <c r="BH505">
        <v>0</v>
      </c>
      <c r="BI505">
        <v>0.99373</v>
      </c>
      <c r="BJ505">
        <v>0.99333300000000002</v>
      </c>
      <c r="BK505" t="s">
        <v>125</v>
      </c>
      <c r="BL505">
        <v>0.98427699999999996</v>
      </c>
      <c r="BM505">
        <v>0.98327799999999999</v>
      </c>
      <c r="BN505" t="s">
        <v>125</v>
      </c>
      <c r="BO505">
        <v>0.97247700000000004</v>
      </c>
      <c r="BP505">
        <v>0.97115399999999996</v>
      </c>
      <c r="BQ505" t="s">
        <v>125</v>
      </c>
      <c r="BR505">
        <v>0.38043500000000002</v>
      </c>
      <c r="BS505">
        <v>0</v>
      </c>
      <c r="BT505">
        <v>50</v>
      </c>
      <c r="BU505">
        <v>0.37585400000000002</v>
      </c>
      <c r="BV505">
        <v>0</v>
      </c>
      <c r="BW505">
        <v>50</v>
      </c>
      <c r="BX505" t="s">
        <v>125</v>
      </c>
      <c r="BY505" t="s">
        <v>125</v>
      </c>
      <c r="BZ505" t="s">
        <v>125</v>
      </c>
      <c r="CA505" t="s">
        <v>125</v>
      </c>
      <c r="CB505" t="s">
        <v>125</v>
      </c>
      <c r="CC505" t="s">
        <v>125</v>
      </c>
      <c r="CD505">
        <v>0.71428599999999998</v>
      </c>
      <c r="CE505">
        <v>37.993921</v>
      </c>
      <c r="CF505">
        <v>50</v>
      </c>
      <c r="CG505" t="s">
        <v>125</v>
      </c>
      <c r="CH505" t="s">
        <v>125</v>
      </c>
      <c r="CI505" t="s">
        <v>125</v>
      </c>
      <c r="CJ505" t="s">
        <v>125</v>
      </c>
      <c r="CK505" t="s">
        <v>125</v>
      </c>
      <c r="CL505" t="s">
        <v>125</v>
      </c>
      <c r="CM505" t="s">
        <v>125</v>
      </c>
      <c r="CN505" t="s">
        <v>125</v>
      </c>
      <c r="CO505" t="s">
        <v>125</v>
      </c>
      <c r="CP505" t="s">
        <v>125</v>
      </c>
      <c r="CQ505">
        <v>0.53103400000000001</v>
      </c>
      <c r="CR505">
        <v>0.90625</v>
      </c>
      <c r="CS505">
        <v>35.402298999999999</v>
      </c>
      <c r="CT505">
        <v>50</v>
      </c>
      <c r="CU505" t="s">
        <v>125</v>
      </c>
      <c r="CV505" t="s">
        <v>125</v>
      </c>
      <c r="CW505" t="s">
        <v>125</v>
      </c>
      <c r="CX505" t="s">
        <v>125</v>
      </c>
      <c r="CY505" t="s">
        <v>125</v>
      </c>
      <c r="CZ505" t="s">
        <v>125</v>
      </c>
      <c r="DA505">
        <v>15.314097</v>
      </c>
      <c r="DB505">
        <v>17.400950000000002</v>
      </c>
      <c r="DC505">
        <v>16.332519999999999</v>
      </c>
      <c r="DD505" t="s">
        <v>125</v>
      </c>
      <c r="DE505">
        <v>0</v>
      </c>
      <c r="DF505" t="s">
        <v>376</v>
      </c>
      <c r="DG505" t="s">
        <v>377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Q505" t="s">
        <v>126</v>
      </c>
    </row>
    <row r="506" spans="1:121" x14ac:dyDescent="0.15">
      <c r="A506">
        <v>2018</v>
      </c>
      <c r="B506" t="s">
        <v>287</v>
      </c>
      <c r="C506" t="str">
        <f t="shared" si="17"/>
        <v>0640011</v>
      </c>
      <c r="D506" t="s">
        <v>662</v>
      </c>
      <c r="E506" t="str">
        <f>"0642311"</f>
        <v>0642311</v>
      </c>
      <c r="F506" t="s">
        <v>328</v>
      </c>
      <c r="G506" t="s">
        <v>329</v>
      </c>
      <c r="H506">
        <v>8</v>
      </c>
      <c r="I506" t="s">
        <v>336</v>
      </c>
      <c r="J506" t="s">
        <v>331</v>
      </c>
      <c r="K506">
        <v>524.97421999999995</v>
      </c>
      <c r="L506">
        <v>1000</v>
      </c>
      <c r="M506">
        <v>52.497422</v>
      </c>
      <c r="N506">
        <v>5</v>
      </c>
      <c r="O506">
        <v>0</v>
      </c>
      <c r="P506">
        <v>45.031129</v>
      </c>
      <c r="Q506">
        <v>30.020752000000002</v>
      </c>
      <c r="R506">
        <v>50</v>
      </c>
      <c r="S506">
        <v>45.072392000000001</v>
      </c>
      <c r="T506" t="s">
        <v>125</v>
      </c>
      <c r="U506">
        <v>30.048261</v>
      </c>
      <c r="V506">
        <v>50</v>
      </c>
      <c r="W506">
        <v>40.796621000000002</v>
      </c>
      <c r="X506">
        <v>27.197747</v>
      </c>
      <c r="Y506">
        <v>50</v>
      </c>
      <c r="Z506" t="s">
        <v>125</v>
      </c>
      <c r="AA506">
        <v>40.832428999999998</v>
      </c>
      <c r="AB506">
        <v>27.221619</v>
      </c>
      <c r="AC506">
        <v>50</v>
      </c>
      <c r="AD506">
        <v>47.367213999999997</v>
      </c>
      <c r="AE506">
        <v>31.578142</v>
      </c>
      <c r="AF506">
        <v>50</v>
      </c>
      <c r="AG506">
        <v>47.367213999999997</v>
      </c>
      <c r="AH506" t="s">
        <v>125</v>
      </c>
      <c r="AI506">
        <v>31.578142</v>
      </c>
      <c r="AJ506">
        <v>50</v>
      </c>
      <c r="AK506" t="s">
        <v>125</v>
      </c>
      <c r="AL506" t="s">
        <v>125</v>
      </c>
      <c r="AM506" t="s">
        <v>125</v>
      </c>
      <c r="AN506">
        <v>0.49449599999999999</v>
      </c>
      <c r="AO506">
        <v>49.449609000000002</v>
      </c>
      <c r="AP506">
        <v>100</v>
      </c>
      <c r="AQ506">
        <v>0.44014300000000001</v>
      </c>
      <c r="AR506">
        <v>44.014335000000003</v>
      </c>
      <c r="AS506">
        <v>100</v>
      </c>
      <c r="AT506">
        <v>0.49648700000000001</v>
      </c>
      <c r="AU506" t="s">
        <v>125</v>
      </c>
      <c r="AV506">
        <v>49.648671999999998</v>
      </c>
      <c r="AW506">
        <v>100</v>
      </c>
      <c r="AX506">
        <v>0.44125199999999998</v>
      </c>
      <c r="AY506" t="s">
        <v>125</v>
      </c>
      <c r="AZ506">
        <v>44.125171000000002</v>
      </c>
      <c r="BA506">
        <v>100</v>
      </c>
      <c r="BB506">
        <v>0.43698300000000001</v>
      </c>
      <c r="BC506">
        <v>21.849167000000001</v>
      </c>
      <c r="BD506">
        <v>50</v>
      </c>
      <c r="BE506">
        <v>0.40250399999999997</v>
      </c>
      <c r="BF506">
        <v>20.125191999999998</v>
      </c>
      <c r="BG506">
        <v>50</v>
      </c>
      <c r="BH506">
        <v>0</v>
      </c>
      <c r="BI506">
        <v>1</v>
      </c>
      <c r="BJ506">
        <v>1</v>
      </c>
      <c r="BK506" t="s">
        <v>125</v>
      </c>
      <c r="BL506">
        <v>0.98952899999999999</v>
      </c>
      <c r="BM506">
        <v>0.988981</v>
      </c>
      <c r="BN506" t="s">
        <v>125</v>
      </c>
      <c r="BO506">
        <v>1</v>
      </c>
      <c r="BP506">
        <v>1</v>
      </c>
      <c r="BQ506" t="s">
        <v>125</v>
      </c>
      <c r="BR506">
        <v>0.22162200000000001</v>
      </c>
      <c r="BS506">
        <v>15.675675999999999</v>
      </c>
      <c r="BT506">
        <v>50</v>
      </c>
      <c r="BU506">
        <v>0.21892400000000001</v>
      </c>
      <c r="BV506">
        <v>16.215212999999999</v>
      </c>
      <c r="BW506">
        <v>50</v>
      </c>
      <c r="BX506" t="s">
        <v>125</v>
      </c>
      <c r="BY506" t="s">
        <v>125</v>
      </c>
      <c r="BZ506" t="s">
        <v>125</v>
      </c>
      <c r="CA506" t="s">
        <v>125</v>
      </c>
      <c r="CB506" t="s">
        <v>125</v>
      </c>
      <c r="CC506" t="s">
        <v>125</v>
      </c>
      <c r="CD506">
        <v>0.81132099999999996</v>
      </c>
      <c r="CE506">
        <v>43.155358999999997</v>
      </c>
      <c r="CF506">
        <v>50</v>
      </c>
      <c r="CG506" t="s">
        <v>125</v>
      </c>
      <c r="CH506" t="s">
        <v>125</v>
      </c>
      <c r="CI506" t="s">
        <v>125</v>
      </c>
      <c r="CJ506" t="s">
        <v>125</v>
      </c>
      <c r="CK506" t="s">
        <v>125</v>
      </c>
      <c r="CL506" t="s">
        <v>125</v>
      </c>
      <c r="CM506" t="s">
        <v>125</v>
      </c>
      <c r="CN506" t="s">
        <v>125</v>
      </c>
      <c r="CO506" t="s">
        <v>125</v>
      </c>
      <c r="CP506" t="s">
        <v>125</v>
      </c>
      <c r="CQ506">
        <v>0.64606699999999995</v>
      </c>
      <c r="CR506">
        <v>0.967391</v>
      </c>
      <c r="CS506">
        <v>43.071160999999996</v>
      </c>
      <c r="CT506">
        <v>50</v>
      </c>
      <c r="CU506" t="s">
        <v>125</v>
      </c>
      <c r="CV506" t="s">
        <v>125</v>
      </c>
      <c r="CW506" t="s">
        <v>125</v>
      </c>
      <c r="CX506" t="s">
        <v>125</v>
      </c>
      <c r="CY506" t="s">
        <v>125</v>
      </c>
      <c r="CZ506" t="s">
        <v>125</v>
      </c>
      <c r="DA506">
        <v>15.314097</v>
      </c>
      <c r="DB506">
        <v>17.400950000000002</v>
      </c>
      <c r="DC506">
        <v>16.332519999999999</v>
      </c>
      <c r="DD506" t="s">
        <v>125</v>
      </c>
      <c r="DE506">
        <v>0</v>
      </c>
      <c r="DF506" t="s">
        <v>376</v>
      </c>
      <c r="DG506" t="s">
        <v>377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Q506" t="s">
        <v>126</v>
      </c>
    </row>
    <row r="507" spans="1:121" x14ac:dyDescent="0.15">
      <c r="A507">
        <v>2018</v>
      </c>
      <c r="B507" t="s">
        <v>287</v>
      </c>
      <c r="C507" t="str">
        <f t="shared" si="17"/>
        <v>0640011</v>
      </c>
      <c r="D507" t="s">
        <v>663</v>
      </c>
      <c r="E507" t="str">
        <f>"0643911"</f>
        <v>0643911</v>
      </c>
      <c r="F507" t="s">
        <v>328</v>
      </c>
      <c r="G507">
        <v>12</v>
      </c>
      <c r="H507">
        <v>12</v>
      </c>
      <c r="I507" t="s">
        <v>336</v>
      </c>
      <c r="J507" t="s">
        <v>331</v>
      </c>
      <c r="K507">
        <v>100</v>
      </c>
      <c r="L507">
        <v>100</v>
      </c>
      <c r="M507">
        <v>100</v>
      </c>
      <c r="N507" t="s">
        <v>125</v>
      </c>
      <c r="O507" t="s">
        <v>125</v>
      </c>
      <c r="P507" t="s">
        <v>125</v>
      </c>
      <c r="Q507" t="s">
        <v>125</v>
      </c>
      <c r="R507" t="s">
        <v>125</v>
      </c>
      <c r="S507" t="s">
        <v>125</v>
      </c>
      <c r="T507" t="s">
        <v>125</v>
      </c>
      <c r="U507" t="s">
        <v>125</v>
      </c>
      <c r="V507" t="s">
        <v>125</v>
      </c>
      <c r="W507" t="s">
        <v>125</v>
      </c>
      <c r="X507" t="s">
        <v>125</v>
      </c>
      <c r="Y507" t="s">
        <v>125</v>
      </c>
      <c r="Z507" t="s">
        <v>125</v>
      </c>
      <c r="AA507" t="s">
        <v>125</v>
      </c>
      <c r="AB507" t="s">
        <v>125</v>
      </c>
      <c r="AC507" t="s">
        <v>125</v>
      </c>
      <c r="AD507" t="s">
        <v>125</v>
      </c>
      <c r="AE507" t="s">
        <v>125</v>
      </c>
      <c r="AF507" t="s">
        <v>125</v>
      </c>
      <c r="AG507" t="s">
        <v>125</v>
      </c>
      <c r="AH507" t="s">
        <v>125</v>
      </c>
      <c r="AI507" t="s">
        <v>125</v>
      </c>
      <c r="AJ507" t="s">
        <v>125</v>
      </c>
      <c r="AK507" t="s">
        <v>125</v>
      </c>
      <c r="AL507" t="s">
        <v>125</v>
      </c>
      <c r="AM507" t="s">
        <v>125</v>
      </c>
      <c r="AN507" t="s">
        <v>125</v>
      </c>
      <c r="AO507" t="s">
        <v>125</v>
      </c>
      <c r="AP507" t="s">
        <v>125</v>
      </c>
      <c r="AQ507" t="s">
        <v>125</v>
      </c>
      <c r="AR507" t="s">
        <v>125</v>
      </c>
      <c r="AS507" t="s">
        <v>125</v>
      </c>
      <c r="AT507" t="s">
        <v>125</v>
      </c>
      <c r="AU507" t="s">
        <v>125</v>
      </c>
      <c r="AV507" t="s">
        <v>125</v>
      </c>
      <c r="AW507" t="s">
        <v>125</v>
      </c>
      <c r="AX507" t="s">
        <v>125</v>
      </c>
      <c r="AY507" t="s">
        <v>125</v>
      </c>
      <c r="AZ507" t="s">
        <v>125</v>
      </c>
      <c r="BA507" t="s">
        <v>125</v>
      </c>
      <c r="BB507" t="s">
        <v>125</v>
      </c>
      <c r="BC507" t="s">
        <v>125</v>
      </c>
      <c r="BD507" t="s">
        <v>125</v>
      </c>
      <c r="BE507" t="s">
        <v>125</v>
      </c>
      <c r="BF507" t="s">
        <v>125</v>
      </c>
      <c r="BG507" t="s">
        <v>125</v>
      </c>
      <c r="BH507" t="s">
        <v>125</v>
      </c>
      <c r="BI507" t="s">
        <v>125</v>
      </c>
      <c r="BJ507" t="s">
        <v>125</v>
      </c>
      <c r="BK507" t="s">
        <v>125</v>
      </c>
      <c r="BL507" t="s">
        <v>125</v>
      </c>
      <c r="BM507" t="s">
        <v>125</v>
      </c>
      <c r="BN507" t="s">
        <v>125</v>
      </c>
      <c r="BO507" t="s">
        <v>125</v>
      </c>
      <c r="BP507" t="s">
        <v>125</v>
      </c>
      <c r="BQ507" t="s">
        <v>125</v>
      </c>
      <c r="BR507" t="s">
        <v>125</v>
      </c>
      <c r="BS507" t="s">
        <v>125</v>
      </c>
      <c r="BT507" t="s">
        <v>125</v>
      </c>
      <c r="BU507" t="s">
        <v>125</v>
      </c>
      <c r="BV507" t="s">
        <v>125</v>
      </c>
      <c r="BW507" t="s">
        <v>125</v>
      </c>
      <c r="BX507" t="s">
        <v>125</v>
      </c>
      <c r="BY507" t="s">
        <v>125</v>
      </c>
      <c r="BZ507" t="s">
        <v>125</v>
      </c>
      <c r="CA507" t="s">
        <v>125</v>
      </c>
      <c r="CB507" t="s">
        <v>125</v>
      </c>
      <c r="CC507" t="s">
        <v>125</v>
      </c>
      <c r="CD507" t="s">
        <v>125</v>
      </c>
      <c r="CE507" t="s">
        <v>125</v>
      </c>
      <c r="CF507" t="s">
        <v>125</v>
      </c>
      <c r="CG507" t="s">
        <v>125</v>
      </c>
      <c r="CH507" t="s">
        <v>125</v>
      </c>
      <c r="CI507" t="s">
        <v>125</v>
      </c>
      <c r="CJ507">
        <v>0</v>
      </c>
      <c r="CK507">
        <v>0.95238100000000003</v>
      </c>
      <c r="CL507">
        <v>100</v>
      </c>
      <c r="CM507">
        <v>100</v>
      </c>
      <c r="CN507" t="s">
        <v>125</v>
      </c>
      <c r="CO507" t="s">
        <v>125</v>
      </c>
      <c r="CP507" t="s">
        <v>125</v>
      </c>
      <c r="CQ507" t="s">
        <v>125</v>
      </c>
      <c r="CR507" t="s">
        <v>125</v>
      </c>
      <c r="CS507" t="s">
        <v>125</v>
      </c>
      <c r="CT507" t="s">
        <v>125</v>
      </c>
      <c r="CU507" t="s">
        <v>125</v>
      </c>
      <c r="CV507" t="s">
        <v>125</v>
      </c>
      <c r="CW507" t="s">
        <v>125</v>
      </c>
      <c r="CX507">
        <v>0.95238100000000003</v>
      </c>
      <c r="CY507" t="s">
        <v>125</v>
      </c>
      <c r="CZ507" t="s">
        <v>125</v>
      </c>
      <c r="DA507" t="s">
        <v>125</v>
      </c>
      <c r="DB507" t="s">
        <v>125</v>
      </c>
      <c r="DC507" t="s">
        <v>125</v>
      </c>
      <c r="DD507">
        <v>7.9891730000000001</v>
      </c>
      <c r="DE507" t="s">
        <v>125</v>
      </c>
      <c r="DJ507" t="s">
        <v>125</v>
      </c>
      <c r="DK507" t="s">
        <v>125</v>
      </c>
      <c r="DL507" t="s">
        <v>125</v>
      </c>
      <c r="DM507" t="s">
        <v>125</v>
      </c>
      <c r="DN507" t="s">
        <v>125</v>
      </c>
      <c r="DO507" t="s">
        <v>125</v>
      </c>
      <c r="DQ507" t="s">
        <v>126</v>
      </c>
    </row>
    <row r="508" spans="1:121" x14ac:dyDescent="0.15">
      <c r="A508">
        <v>2018</v>
      </c>
      <c r="B508" t="s">
        <v>287</v>
      </c>
      <c r="C508" t="str">
        <f t="shared" si="17"/>
        <v>0640011</v>
      </c>
      <c r="D508" t="s">
        <v>664</v>
      </c>
      <c r="E508" t="str">
        <f>"0646911"</f>
        <v>0646911</v>
      </c>
      <c r="F508" t="s">
        <v>328</v>
      </c>
      <c r="G508" t="s">
        <v>329</v>
      </c>
      <c r="H508">
        <v>12</v>
      </c>
      <c r="I508" t="s">
        <v>336</v>
      </c>
      <c r="J508" t="s">
        <v>331</v>
      </c>
      <c r="K508">
        <v>864.11513100000002</v>
      </c>
      <c r="L508">
        <v>1350</v>
      </c>
      <c r="M508">
        <v>64.008527999999998</v>
      </c>
      <c r="N508">
        <v>3</v>
      </c>
      <c r="O508">
        <v>0</v>
      </c>
      <c r="P508">
        <v>49.488053999999998</v>
      </c>
      <c r="Q508">
        <v>32.992035999999999</v>
      </c>
      <c r="R508">
        <v>50</v>
      </c>
      <c r="S508">
        <v>47.327089999999998</v>
      </c>
      <c r="T508">
        <v>56.108147000000002</v>
      </c>
      <c r="U508">
        <v>31.551393999999998</v>
      </c>
      <c r="V508">
        <v>50</v>
      </c>
      <c r="W508">
        <v>45.337024999999997</v>
      </c>
      <c r="X508">
        <v>30.224682999999999</v>
      </c>
      <c r="Y508">
        <v>50</v>
      </c>
      <c r="Z508">
        <v>49.024760000000001</v>
      </c>
      <c r="AA508">
        <v>44.133256000000003</v>
      </c>
      <c r="AB508">
        <v>29.422170999999999</v>
      </c>
      <c r="AC508">
        <v>50</v>
      </c>
      <c r="AD508">
        <v>49.007717999999997</v>
      </c>
      <c r="AE508">
        <v>32.671812000000003</v>
      </c>
      <c r="AF508">
        <v>50</v>
      </c>
      <c r="AG508">
        <v>46.294288000000002</v>
      </c>
      <c r="AH508">
        <v>56.062634000000003</v>
      </c>
      <c r="AI508">
        <v>30.862859</v>
      </c>
      <c r="AJ508">
        <v>50</v>
      </c>
      <c r="AK508">
        <v>8.7799999999999994</v>
      </c>
      <c r="AL508">
        <v>4.8899999999999997</v>
      </c>
      <c r="AM508">
        <v>9.76</v>
      </c>
      <c r="AN508">
        <v>0.375303</v>
      </c>
      <c r="AO508">
        <v>37.530332000000001</v>
      </c>
      <c r="AP508">
        <v>100</v>
      </c>
      <c r="AQ508">
        <v>0.44418299999999999</v>
      </c>
      <c r="AR508">
        <v>44.418343999999998</v>
      </c>
      <c r="AS508">
        <v>100</v>
      </c>
      <c r="AT508">
        <v>0.39397100000000002</v>
      </c>
      <c r="AU508">
        <v>0.31891999999999998</v>
      </c>
      <c r="AV508">
        <v>39.397084999999997</v>
      </c>
      <c r="AW508">
        <v>100</v>
      </c>
      <c r="AX508">
        <v>0.462806</v>
      </c>
      <c r="AY508">
        <v>0.38793699999999998</v>
      </c>
      <c r="AZ508">
        <v>46.280549999999998</v>
      </c>
      <c r="BA508">
        <v>100</v>
      </c>
      <c r="BB508">
        <v>0.54397700000000004</v>
      </c>
      <c r="BC508">
        <v>27.198834000000002</v>
      </c>
      <c r="BD508">
        <v>50</v>
      </c>
      <c r="BE508">
        <v>0.50992800000000005</v>
      </c>
      <c r="BF508">
        <v>25.496410999999998</v>
      </c>
      <c r="BG508">
        <v>50</v>
      </c>
      <c r="BH508">
        <v>0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5.0632999999999997E-2</v>
      </c>
      <c r="BS508">
        <v>49.873418000000001</v>
      </c>
      <c r="BT508">
        <v>50</v>
      </c>
      <c r="BU508">
        <v>6.3361000000000001E-2</v>
      </c>
      <c r="BV508">
        <v>47.327824</v>
      </c>
      <c r="BW508">
        <v>50</v>
      </c>
      <c r="BX508">
        <v>0.64556999999999998</v>
      </c>
      <c r="BY508">
        <v>43.037975000000003</v>
      </c>
      <c r="BZ508">
        <v>50</v>
      </c>
      <c r="CA508">
        <v>0.126582</v>
      </c>
      <c r="CB508">
        <v>8.4388190000000005</v>
      </c>
      <c r="CC508">
        <v>50</v>
      </c>
      <c r="CD508">
        <v>0.97590399999999999</v>
      </c>
      <c r="CE508">
        <v>50</v>
      </c>
      <c r="CF508">
        <v>50</v>
      </c>
      <c r="CG508">
        <v>0.97959200000000002</v>
      </c>
      <c r="CH508">
        <v>100</v>
      </c>
      <c r="CI508">
        <v>100</v>
      </c>
      <c r="CJ508">
        <v>0</v>
      </c>
      <c r="CK508" t="s">
        <v>125</v>
      </c>
      <c r="CL508" t="s">
        <v>125</v>
      </c>
      <c r="CM508" t="s">
        <v>125</v>
      </c>
      <c r="CN508">
        <v>0.77083299999999999</v>
      </c>
      <c r="CO508">
        <v>100</v>
      </c>
      <c r="CP508">
        <v>100</v>
      </c>
      <c r="CQ508">
        <v>0.45405400000000001</v>
      </c>
      <c r="CR508">
        <v>1.1011899999999999</v>
      </c>
      <c r="CS508">
        <v>30.27027</v>
      </c>
      <c r="CT508">
        <v>50</v>
      </c>
      <c r="CU508">
        <v>0.32544400000000001</v>
      </c>
      <c r="CV508">
        <v>27.120315999999999</v>
      </c>
      <c r="CW508">
        <v>50</v>
      </c>
      <c r="CX508" t="s">
        <v>125</v>
      </c>
      <c r="CY508" t="s">
        <v>125</v>
      </c>
      <c r="CZ508" t="s">
        <v>125</v>
      </c>
      <c r="DA508">
        <v>15.314097</v>
      </c>
      <c r="DB508">
        <v>17.400950000000002</v>
      </c>
      <c r="DC508">
        <v>16.332519999999999</v>
      </c>
      <c r="DD508">
        <v>7.9891730000000001</v>
      </c>
      <c r="DE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Q508" t="s">
        <v>126</v>
      </c>
    </row>
    <row r="509" spans="1:121" x14ac:dyDescent="0.15">
      <c r="A509">
        <v>2018</v>
      </c>
      <c r="B509" t="s">
        <v>287</v>
      </c>
      <c r="C509" t="str">
        <f t="shared" si="17"/>
        <v>0640011</v>
      </c>
      <c r="D509" t="s">
        <v>665</v>
      </c>
      <c r="E509" t="str">
        <f>"0646411"</f>
        <v>0646411</v>
      </c>
      <c r="F509" t="s">
        <v>328</v>
      </c>
      <c r="G509">
        <v>6</v>
      </c>
      <c r="H509">
        <v>12</v>
      </c>
      <c r="I509" t="s">
        <v>336</v>
      </c>
      <c r="J509" t="s">
        <v>331</v>
      </c>
      <c r="K509">
        <v>865.32394999999997</v>
      </c>
      <c r="L509">
        <v>1450</v>
      </c>
      <c r="M509">
        <v>59.677514000000002</v>
      </c>
      <c r="N509">
        <v>3</v>
      </c>
      <c r="O509">
        <v>1</v>
      </c>
      <c r="P509">
        <v>50.481986999999997</v>
      </c>
      <c r="Q509">
        <v>33.654657999999998</v>
      </c>
      <c r="R509">
        <v>50</v>
      </c>
      <c r="S509">
        <v>45.462473000000003</v>
      </c>
      <c r="T509">
        <v>62.194184999999997</v>
      </c>
      <c r="U509">
        <v>30.308315</v>
      </c>
      <c r="V509">
        <v>50</v>
      </c>
      <c r="W509">
        <v>42.861234000000003</v>
      </c>
      <c r="X509">
        <v>28.574155999999999</v>
      </c>
      <c r="Y509">
        <v>50</v>
      </c>
      <c r="Z509">
        <v>49.970970999999999</v>
      </c>
      <c r="AA509">
        <v>39.814205000000001</v>
      </c>
      <c r="AB509">
        <v>26.542802999999999</v>
      </c>
      <c r="AC509">
        <v>50</v>
      </c>
      <c r="AD509">
        <v>48.156838</v>
      </c>
      <c r="AE509">
        <v>32.104557999999997</v>
      </c>
      <c r="AF509">
        <v>50</v>
      </c>
      <c r="AG509">
        <v>45.836184000000003</v>
      </c>
      <c r="AH509">
        <v>52.545900000000003</v>
      </c>
      <c r="AI509">
        <v>30.557455999999998</v>
      </c>
      <c r="AJ509">
        <v>50</v>
      </c>
      <c r="AK509">
        <v>16.73</v>
      </c>
      <c r="AL509">
        <v>10.15</v>
      </c>
      <c r="AM509">
        <v>6.7</v>
      </c>
      <c r="AN509">
        <v>0.34745999999999999</v>
      </c>
      <c r="AO509">
        <v>34.746025000000003</v>
      </c>
      <c r="AP509">
        <v>100</v>
      </c>
      <c r="AQ509">
        <v>0.33587600000000001</v>
      </c>
      <c r="AR509">
        <v>33.587558000000001</v>
      </c>
      <c r="AS509">
        <v>100</v>
      </c>
      <c r="AT509">
        <v>0.32026100000000002</v>
      </c>
      <c r="AU509">
        <v>0.410777</v>
      </c>
      <c r="AV509">
        <v>32.026071000000002</v>
      </c>
      <c r="AW509">
        <v>100</v>
      </c>
      <c r="AX509">
        <v>0.30760700000000002</v>
      </c>
      <c r="AY509">
        <v>0.40168100000000001</v>
      </c>
      <c r="AZ509">
        <v>30.760707</v>
      </c>
      <c r="BA509">
        <v>100</v>
      </c>
      <c r="BB509">
        <v>0.58255900000000005</v>
      </c>
      <c r="BC509">
        <v>29.127970999999999</v>
      </c>
      <c r="BD509">
        <v>50</v>
      </c>
      <c r="BE509">
        <v>0.71263500000000002</v>
      </c>
      <c r="BF509">
        <v>35.631751000000001</v>
      </c>
      <c r="BG509">
        <v>50</v>
      </c>
      <c r="BH509">
        <v>0</v>
      </c>
      <c r="BI509">
        <v>0.98916999999999999</v>
      </c>
      <c r="BJ509">
        <v>0.98963699999999999</v>
      </c>
      <c r="BK509">
        <v>0.98809499999999995</v>
      </c>
      <c r="BL509">
        <v>0.98916999999999999</v>
      </c>
      <c r="BM509">
        <v>0.98963699999999999</v>
      </c>
      <c r="BN509">
        <v>0.98809499999999995</v>
      </c>
      <c r="BO509">
        <v>0.99264699999999995</v>
      </c>
      <c r="BP509">
        <v>0.98888900000000002</v>
      </c>
      <c r="BQ509">
        <v>1</v>
      </c>
      <c r="BR509">
        <v>0.157143</v>
      </c>
      <c r="BS509">
        <v>28.571428999999998</v>
      </c>
      <c r="BT509">
        <v>50</v>
      </c>
      <c r="BU509">
        <v>0.193548</v>
      </c>
      <c r="BV509">
        <v>21.290323000000001</v>
      </c>
      <c r="BW509">
        <v>50</v>
      </c>
      <c r="BX509">
        <v>0.19403000000000001</v>
      </c>
      <c r="BY509">
        <v>12.935323</v>
      </c>
      <c r="BZ509">
        <v>50</v>
      </c>
      <c r="CA509">
        <v>0.20149300000000001</v>
      </c>
      <c r="CB509">
        <v>13.432836</v>
      </c>
      <c r="CC509">
        <v>50</v>
      </c>
      <c r="CD509">
        <v>0.85</v>
      </c>
      <c r="CE509">
        <v>45.212766000000002</v>
      </c>
      <c r="CF509">
        <v>50</v>
      </c>
      <c r="CG509">
        <v>0.95890399999999998</v>
      </c>
      <c r="CH509">
        <v>100</v>
      </c>
      <c r="CI509">
        <v>100</v>
      </c>
      <c r="CJ509">
        <v>0</v>
      </c>
      <c r="CK509">
        <v>0.93616999999999995</v>
      </c>
      <c r="CL509">
        <v>99.592575999999994</v>
      </c>
      <c r="CM509">
        <v>100</v>
      </c>
      <c r="CN509">
        <v>0.77631600000000001</v>
      </c>
      <c r="CO509">
        <v>100</v>
      </c>
      <c r="CP509">
        <v>100</v>
      </c>
      <c r="CQ509">
        <v>0.25</v>
      </c>
      <c r="CR509">
        <v>1.19797</v>
      </c>
      <c r="CS509">
        <v>16.666667</v>
      </c>
      <c r="CT509">
        <v>50</v>
      </c>
      <c r="CU509">
        <v>0.74729199999999996</v>
      </c>
      <c r="CV509">
        <v>50</v>
      </c>
      <c r="CW509">
        <v>50</v>
      </c>
      <c r="CX509">
        <v>0.93616999999999995</v>
      </c>
      <c r="CY509">
        <v>0.94</v>
      </c>
      <c r="CZ509">
        <v>3.8300000000000001E-3</v>
      </c>
      <c r="DA509">
        <v>15.314097</v>
      </c>
      <c r="DB509">
        <v>17.400950000000002</v>
      </c>
      <c r="DC509">
        <v>16.332519999999999</v>
      </c>
      <c r="DD509">
        <v>7.9891730000000001</v>
      </c>
      <c r="DE509">
        <v>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Q509" t="s">
        <v>126</v>
      </c>
    </row>
    <row r="510" spans="1:121" x14ac:dyDescent="0.15">
      <c r="A510">
        <v>2018</v>
      </c>
      <c r="B510" t="s">
        <v>287</v>
      </c>
      <c r="C510" t="str">
        <f t="shared" si="17"/>
        <v>0640011</v>
      </c>
      <c r="D510" t="s">
        <v>666</v>
      </c>
      <c r="E510" t="str">
        <f>"0646011"</f>
        <v>0646011</v>
      </c>
      <c r="F510" t="s">
        <v>328</v>
      </c>
      <c r="G510">
        <v>10</v>
      </c>
      <c r="H510">
        <v>12</v>
      </c>
      <c r="I510" t="s">
        <v>336</v>
      </c>
      <c r="J510" t="s">
        <v>331</v>
      </c>
      <c r="K510">
        <v>191.34883500000001</v>
      </c>
      <c r="L510">
        <v>300</v>
      </c>
      <c r="M510">
        <v>63.782944999999998</v>
      </c>
      <c r="N510">
        <v>5</v>
      </c>
      <c r="O510" t="s">
        <v>125</v>
      </c>
      <c r="P510" t="s">
        <v>125</v>
      </c>
      <c r="Q510" t="s">
        <v>125</v>
      </c>
      <c r="R510" t="s">
        <v>125</v>
      </c>
      <c r="S510" t="s">
        <v>125</v>
      </c>
      <c r="T510" t="s">
        <v>125</v>
      </c>
      <c r="U510" t="s">
        <v>125</v>
      </c>
      <c r="V510" t="s">
        <v>125</v>
      </c>
      <c r="W510" t="s">
        <v>125</v>
      </c>
      <c r="X510" t="s">
        <v>125</v>
      </c>
      <c r="Y510" t="s">
        <v>125</v>
      </c>
      <c r="Z510" t="s">
        <v>125</v>
      </c>
      <c r="AA510" t="s">
        <v>125</v>
      </c>
      <c r="AB510" t="s">
        <v>125</v>
      </c>
      <c r="AC510" t="s">
        <v>125</v>
      </c>
      <c r="AD510" t="s">
        <v>125</v>
      </c>
      <c r="AE510" t="s">
        <v>125</v>
      </c>
      <c r="AF510" t="s">
        <v>125</v>
      </c>
      <c r="AG510" t="s">
        <v>125</v>
      </c>
      <c r="AH510" t="s">
        <v>125</v>
      </c>
      <c r="AI510" t="s">
        <v>125</v>
      </c>
      <c r="AJ510" t="s">
        <v>125</v>
      </c>
      <c r="AK510" t="s">
        <v>125</v>
      </c>
      <c r="AL510" t="s">
        <v>125</v>
      </c>
      <c r="AM510" t="s">
        <v>125</v>
      </c>
      <c r="AN510" t="s">
        <v>125</v>
      </c>
      <c r="AO510" t="s">
        <v>125</v>
      </c>
      <c r="AP510" t="s">
        <v>125</v>
      </c>
      <c r="AQ510" t="s">
        <v>125</v>
      </c>
      <c r="AR510" t="s">
        <v>125</v>
      </c>
      <c r="AS510" t="s">
        <v>125</v>
      </c>
      <c r="AT510" t="s">
        <v>125</v>
      </c>
      <c r="AU510" t="s">
        <v>125</v>
      </c>
      <c r="AV510" t="s">
        <v>125</v>
      </c>
      <c r="AW510" t="s">
        <v>125</v>
      </c>
      <c r="AX510" t="s">
        <v>125</v>
      </c>
      <c r="AY510" t="s">
        <v>125</v>
      </c>
      <c r="AZ510" t="s">
        <v>125</v>
      </c>
      <c r="BA510" t="s">
        <v>125</v>
      </c>
      <c r="BB510" t="s">
        <v>125</v>
      </c>
      <c r="BC510" t="s">
        <v>125</v>
      </c>
      <c r="BD510" t="s">
        <v>125</v>
      </c>
      <c r="BE510" t="s">
        <v>125</v>
      </c>
      <c r="BF510" t="s">
        <v>125</v>
      </c>
      <c r="BG510" t="s">
        <v>125</v>
      </c>
      <c r="BH510">
        <v>0</v>
      </c>
      <c r="BI510" t="s">
        <v>125</v>
      </c>
      <c r="BJ510" t="s">
        <v>125</v>
      </c>
      <c r="BK510" t="s">
        <v>125</v>
      </c>
      <c r="BL510" t="s">
        <v>125</v>
      </c>
      <c r="BM510" t="s">
        <v>125</v>
      </c>
      <c r="BN510" t="s">
        <v>125</v>
      </c>
      <c r="BO510" t="s">
        <v>125</v>
      </c>
      <c r="BP510" t="s">
        <v>125</v>
      </c>
      <c r="BQ510" t="s">
        <v>125</v>
      </c>
      <c r="BR510" t="s">
        <v>125</v>
      </c>
      <c r="BS510" t="s">
        <v>125</v>
      </c>
      <c r="BT510" t="s">
        <v>125</v>
      </c>
      <c r="BU510" t="s">
        <v>125</v>
      </c>
      <c r="BV510" t="s">
        <v>125</v>
      </c>
      <c r="BW510" t="s">
        <v>125</v>
      </c>
      <c r="BX510" t="s">
        <v>125</v>
      </c>
      <c r="BY510" t="s">
        <v>125</v>
      </c>
      <c r="BZ510" t="s">
        <v>125</v>
      </c>
      <c r="CA510" t="s">
        <v>125</v>
      </c>
      <c r="CB510" t="s">
        <v>125</v>
      </c>
      <c r="CC510" t="s">
        <v>125</v>
      </c>
      <c r="CD510" t="s">
        <v>125</v>
      </c>
      <c r="CE510" t="s">
        <v>125</v>
      </c>
      <c r="CF510" t="s">
        <v>125</v>
      </c>
      <c r="CG510">
        <v>0.735294</v>
      </c>
      <c r="CH510">
        <v>78.222778000000005</v>
      </c>
      <c r="CI510">
        <v>100</v>
      </c>
      <c r="CJ510">
        <v>0</v>
      </c>
      <c r="CK510">
        <v>0.65789500000000001</v>
      </c>
      <c r="CL510">
        <v>69.988802000000007</v>
      </c>
      <c r="CM510">
        <v>100</v>
      </c>
      <c r="CN510">
        <v>0.32352900000000001</v>
      </c>
      <c r="CO510">
        <v>43.137255000000003</v>
      </c>
      <c r="CP510">
        <v>100</v>
      </c>
      <c r="CQ510" t="s">
        <v>125</v>
      </c>
      <c r="CR510" t="s">
        <v>125</v>
      </c>
      <c r="CS510" t="s">
        <v>125</v>
      </c>
      <c r="CT510" t="s">
        <v>125</v>
      </c>
      <c r="CU510" t="s">
        <v>125</v>
      </c>
      <c r="CV510" t="s">
        <v>125</v>
      </c>
      <c r="CW510" t="s">
        <v>125</v>
      </c>
      <c r="CX510">
        <v>0.65789500000000001</v>
      </c>
      <c r="CY510" t="s">
        <v>125</v>
      </c>
      <c r="CZ510" t="s">
        <v>125</v>
      </c>
      <c r="DA510" t="s">
        <v>125</v>
      </c>
      <c r="DB510" t="s">
        <v>125</v>
      </c>
      <c r="DC510" t="s">
        <v>125</v>
      </c>
      <c r="DD510">
        <v>7.9891730000000001</v>
      </c>
      <c r="DE510">
        <v>0</v>
      </c>
      <c r="DF510" t="s">
        <v>385</v>
      </c>
      <c r="DG510" t="s">
        <v>386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Q510" t="s">
        <v>126</v>
      </c>
    </row>
    <row r="511" spans="1:121" x14ac:dyDescent="0.15">
      <c r="A511">
        <v>2018</v>
      </c>
      <c r="B511" t="s">
        <v>287</v>
      </c>
      <c r="C511" t="str">
        <f t="shared" si="17"/>
        <v>0640011</v>
      </c>
      <c r="D511" t="s">
        <v>667</v>
      </c>
      <c r="E511" t="str">
        <f>"0640911"</f>
        <v>0640911</v>
      </c>
      <c r="F511" t="s">
        <v>328</v>
      </c>
      <c r="G511" t="s">
        <v>329</v>
      </c>
      <c r="H511">
        <v>8</v>
      </c>
      <c r="I511" t="s">
        <v>336</v>
      </c>
      <c r="J511" t="s">
        <v>331</v>
      </c>
      <c r="K511">
        <v>693.94064300000002</v>
      </c>
      <c r="L511">
        <v>1000</v>
      </c>
      <c r="M511">
        <v>69.394064</v>
      </c>
      <c r="N511">
        <v>3</v>
      </c>
      <c r="O511">
        <v>0</v>
      </c>
      <c r="P511">
        <v>63.255288</v>
      </c>
      <c r="Q511">
        <v>42.170192</v>
      </c>
      <c r="R511">
        <v>50</v>
      </c>
      <c r="S511">
        <v>61.944876000000001</v>
      </c>
      <c r="T511">
        <v>72.771381000000005</v>
      </c>
      <c r="U511">
        <v>41.296584000000003</v>
      </c>
      <c r="V511">
        <v>50</v>
      </c>
      <c r="W511">
        <v>58.479804999999999</v>
      </c>
      <c r="X511">
        <v>38.986536000000001</v>
      </c>
      <c r="Y511">
        <v>50</v>
      </c>
      <c r="Z511">
        <v>68.251945000000006</v>
      </c>
      <c r="AA511">
        <v>57.129705999999999</v>
      </c>
      <c r="AB511">
        <v>38.086471000000003</v>
      </c>
      <c r="AC511">
        <v>50</v>
      </c>
      <c r="AD511">
        <v>64.409777000000005</v>
      </c>
      <c r="AE511">
        <v>42.939850999999997</v>
      </c>
      <c r="AF511">
        <v>50</v>
      </c>
      <c r="AG511">
        <v>62.576089000000003</v>
      </c>
      <c r="AH511" t="s">
        <v>125</v>
      </c>
      <c r="AI511">
        <v>41.717393000000001</v>
      </c>
      <c r="AJ511">
        <v>50</v>
      </c>
      <c r="AK511">
        <v>10.82</v>
      </c>
      <c r="AL511">
        <v>11.12</v>
      </c>
      <c r="AM511" t="s">
        <v>125</v>
      </c>
      <c r="AN511">
        <v>0.59426699999999999</v>
      </c>
      <c r="AO511">
        <v>59.426698000000002</v>
      </c>
      <c r="AP511">
        <v>100</v>
      </c>
      <c r="AQ511">
        <v>0.54670799999999997</v>
      </c>
      <c r="AR511">
        <v>54.670755</v>
      </c>
      <c r="AS511">
        <v>100</v>
      </c>
      <c r="AT511">
        <v>0.58620899999999998</v>
      </c>
      <c r="AU511">
        <v>0.65950699999999995</v>
      </c>
      <c r="AV511">
        <v>58.620947999999999</v>
      </c>
      <c r="AW511">
        <v>100</v>
      </c>
      <c r="AX511">
        <v>0.523285</v>
      </c>
      <c r="AY511">
        <v>0.73635499999999998</v>
      </c>
      <c r="AZ511">
        <v>52.328494999999997</v>
      </c>
      <c r="BA511">
        <v>100</v>
      </c>
      <c r="BB511">
        <v>0.57494800000000001</v>
      </c>
      <c r="BC511">
        <v>28.747415</v>
      </c>
      <c r="BD511">
        <v>50</v>
      </c>
      <c r="BE511">
        <v>0.497137</v>
      </c>
      <c r="BF511">
        <v>24.856828</v>
      </c>
      <c r="BG511">
        <v>50</v>
      </c>
      <c r="BH511">
        <v>0</v>
      </c>
      <c r="BI511">
        <v>0.99426899999999996</v>
      </c>
      <c r="BJ511">
        <v>0.99348499999999995</v>
      </c>
      <c r="BK511">
        <v>1</v>
      </c>
      <c r="BL511">
        <v>0.99140399999999995</v>
      </c>
      <c r="BM511">
        <v>0.990228</v>
      </c>
      <c r="BN511">
        <v>1</v>
      </c>
      <c r="BO511">
        <v>0.98260899999999995</v>
      </c>
      <c r="BP511">
        <v>0.981132</v>
      </c>
      <c r="BQ511" t="s">
        <v>125</v>
      </c>
      <c r="BR511">
        <v>0.111954</v>
      </c>
      <c r="BS511">
        <v>37.609107999999999</v>
      </c>
      <c r="BT511">
        <v>50</v>
      </c>
      <c r="BU511">
        <v>0.118203</v>
      </c>
      <c r="BV511">
        <v>36.359338000000001</v>
      </c>
      <c r="BW511">
        <v>50</v>
      </c>
      <c r="BX511" t="s">
        <v>125</v>
      </c>
      <c r="BY511" t="s">
        <v>125</v>
      </c>
      <c r="BZ511" t="s">
        <v>125</v>
      </c>
      <c r="CA511" t="s">
        <v>125</v>
      </c>
      <c r="CB511" t="s">
        <v>125</v>
      </c>
      <c r="CC511" t="s">
        <v>125</v>
      </c>
      <c r="CD511">
        <v>0.96428599999999998</v>
      </c>
      <c r="CE511">
        <v>50</v>
      </c>
      <c r="CF511">
        <v>50</v>
      </c>
      <c r="CG511" t="s">
        <v>125</v>
      </c>
      <c r="CH511" t="s">
        <v>125</v>
      </c>
      <c r="CI511" t="s">
        <v>125</v>
      </c>
      <c r="CJ511" t="s">
        <v>125</v>
      </c>
      <c r="CK511" t="s">
        <v>125</v>
      </c>
      <c r="CL511" t="s">
        <v>125</v>
      </c>
      <c r="CM511" t="s">
        <v>125</v>
      </c>
      <c r="CN511" t="s">
        <v>125</v>
      </c>
      <c r="CO511" t="s">
        <v>125</v>
      </c>
      <c r="CP511" t="s">
        <v>125</v>
      </c>
      <c r="CQ511">
        <v>0.69186000000000003</v>
      </c>
      <c r="CR511">
        <v>0.99421999999999999</v>
      </c>
      <c r="CS511">
        <v>46.124031000000002</v>
      </c>
      <c r="CT511">
        <v>50</v>
      </c>
      <c r="CU511" t="s">
        <v>125</v>
      </c>
      <c r="CV511" t="s">
        <v>125</v>
      </c>
      <c r="CW511" t="s">
        <v>125</v>
      </c>
      <c r="CX511" t="s">
        <v>125</v>
      </c>
      <c r="CY511" t="s">
        <v>125</v>
      </c>
      <c r="CZ511" t="s">
        <v>125</v>
      </c>
      <c r="DA511">
        <v>15.314097</v>
      </c>
      <c r="DB511">
        <v>17.400950000000002</v>
      </c>
      <c r="DC511">
        <v>16.332519999999999</v>
      </c>
      <c r="DD511" t="s">
        <v>125</v>
      </c>
      <c r="DE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Q511" t="s">
        <v>126</v>
      </c>
    </row>
    <row r="512" spans="1:121" x14ac:dyDescent="0.15">
      <c r="A512">
        <v>2018</v>
      </c>
      <c r="B512" t="s">
        <v>287</v>
      </c>
      <c r="C512" t="str">
        <f t="shared" si="17"/>
        <v>0640011</v>
      </c>
      <c r="D512" t="s">
        <v>668</v>
      </c>
      <c r="E512" t="str">
        <f>"0643211"</f>
        <v>0643211</v>
      </c>
      <c r="F512" t="s">
        <v>328</v>
      </c>
      <c r="G512" t="s">
        <v>329</v>
      </c>
      <c r="H512">
        <v>5</v>
      </c>
      <c r="I512" t="s">
        <v>336</v>
      </c>
      <c r="J512" t="s">
        <v>331</v>
      </c>
      <c r="K512">
        <v>578.03380800000002</v>
      </c>
      <c r="L512">
        <v>950</v>
      </c>
      <c r="M512">
        <v>60.845663999999999</v>
      </c>
      <c r="N512">
        <v>3</v>
      </c>
      <c r="O512">
        <v>0</v>
      </c>
      <c r="P512">
        <v>50.905158</v>
      </c>
      <c r="Q512">
        <v>33.936771999999998</v>
      </c>
      <c r="R512">
        <v>50</v>
      </c>
      <c r="S512">
        <v>50.604748999999998</v>
      </c>
      <c r="T512" t="s">
        <v>125</v>
      </c>
      <c r="U512">
        <v>33.736499999999999</v>
      </c>
      <c r="V512">
        <v>50</v>
      </c>
      <c r="W512">
        <v>50.327373000000001</v>
      </c>
      <c r="X512">
        <v>33.551582000000003</v>
      </c>
      <c r="Y512">
        <v>50</v>
      </c>
      <c r="Z512" t="s">
        <v>125</v>
      </c>
      <c r="AA512">
        <v>50.044747000000001</v>
      </c>
      <c r="AB512">
        <v>33.363165000000002</v>
      </c>
      <c r="AC512">
        <v>50</v>
      </c>
      <c r="AD512">
        <v>54.123590999999998</v>
      </c>
      <c r="AE512">
        <v>36.082394000000001</v>
      </c>
      <c r="AF512">
        <v>50</v>
      </c>
      <c r="AG512">
        <v>54.039338999999998</v>
      </c>
      <c r="AH512" t="s">
        <v>125</v>
      </c>
      <c r="AI512">
        <v>36.026226000000001</v>
      </c>
      <c r="AJ512">
        <v>50</v>
      </c>
      <c r="AK512" t="s">
        <v>125</v>
      </c>
      <c r="AL512" t="s">
        <v>125</v>
      </c>
      <c r="AM512" t="s">
        <v>125</v>
      </c>
      <c r="AN512">
        <v>0.50046299999999999</v>
      </c>
      <c r="AO512">
        <v>50.046303000000002</v>
      </c>
      <c r="AP512">
        <v>100</v>
      </c>
      <c r="AQ512">
        <v>0.60873200000000005</v>
      </c>
      <c r="AR512">
        <v>60.873187999999999</v>
      </c>
      <c r="AS512">
        <v>100</v>
      </c>
      <c r="AT512">
        <v>0.50471600000000005</v>
      </c>
      <c r="AU512" t="s">
        <v>125</v>
      </c>
      <c r="AV512">
        <v>50.471623000000001</v>
      </c>
      <c r="AW512">
        <v>100</v>
      </c>
      <c r="AX512">
        <v>0.60861399999999999</v>
      </c>
      <c r="AY512" t="s">
        <v>125</v>
      </c>
      <c r="AZ512">
        <v>60.861359999999998</v>
      </c>
      <c r="BA512">
        <v>100</v>
      </c>
      <c r="BB512">
        <v>0.64555099999999999</v>
      </c>
      <c r="BC512">
        <v>32.277538</v>
      </c>
      <c r="BD512">
        <v>50</v>
      </c>
      <c r="BE512">
        <v>0.48069200000000001</v>
      </c>
      <c r="BF512">
        <v>24.034610000000001</v>
      </c>
      <c r="BG512">
        <v>50</v>
      </c>
      <c r="BH512">
        <v>0</v>
      </c>
      <c r="BI512">
        <v>0.99264699999999995</v>
      </c>
      <c r="BJ512">
        <v>0.99616899999999997</v>
      </c>
      <c r="BK512" t="s">
        <v>125</v>
      </c>
      <c r="BL512">
        <v>0.98897100000000004</v>
      </c>
      <c r="BM512">
        <v>0.99233700000000002</v>
      </c>
      <c r="BN512" t="s">
        <v>125</v>
      </c>
      <c r="BO512">
        <v>1</v>
      </c>
      <c r="BP512">
        <v>1</v>
      </c>
      <c r="BQ512" t="s">
        <v>125</v>
      </c>
      <c r="BR512">
        <v>0.142012</v>
      </c>
      <c r="BS512">
        <v>31.597632999999998</v>
      </c>
      <c r="BT512">
        <v>50</v>
      </c>
      <c r="BU512">
        <v>0.14107900000000001</v>
      </c>
      <c r="BV512">
        <v>31.784231999999999</v>
      </c>
      <c r="BW512">
        <v>50</v>
      </c>
      <c r="BX512" t="s">
        <v>125</v>
      </c>
      <c r="BY512" t="s">
        <v>125</v>
      </c>
      <c r="BZ512" t="s">
        <v>125</v>
      </c>
      <c r="CA512" t="s">
        <v>125</v>
      </c>
      <c r="CB512" t="s">
        <v>125</v>
      </c>
      <c r="CC512" t="s">
        <v>125</v>
      </c>
      <c r="CD512" t="s">
        <v>125</v>
      </c>
      <c r="CE512" t="s">
        <v>125</v>
      </c>
      <c r="CF512" t="s">
        <v>125</v>
      </c>
      <c r="CG512" t="s">
        <v>125</v>
      </c>
      <c r="CH512" t="s">
        <v>125</v>
      </c>
      <c r="CI512" t="s">
        <v>125</v>
      </c>
      <c r="CJ512" t="s">
        <v>125</v>
      </c>
      <c r="CK512" t="s">
        <v>125</v>
      </c>
      <c r="CL512" t="s">
        <v>125</v>
      </c>
      <c r="CM512" t="s">
        <v>125</v>
      </c>
      <c r="CN512" t="s">
        <v>125</v>
      </c>
      <c r="CO512" t="s">
        <v>125</v>
      </c>
      <c r="CP512" t="s">
        <v>125</v>
      </c>
      <c r="CQ512">
        <v>0.44085999999999997</v>
      </c>
      <c r="CR512">
        <v>1</v>
      </c>
      <c r="CS512">
        <v>29.390681000000001</v>
      </c>
      <c r="CT512">
        <v>50</v>
      </c>
      <c r="CU512" t="s">
        <v>125</v>
      </c>
      <c r="CV512" t="s">
        <v>125</v>
      </c>
      <c r="CW512" t="s">
        <v>125</v>
      </c>
      <c r="CX512" t="s">
        <v>125</v>
      </c>
      <c r="CY512" t="s">
        <v>125</v>
      </c>
      <c r="CZ512" t="s">
        <v>125</v>
      </c>
      <c r="DA512">
        <v>15.314097</v>
      </c>
      <c r="DB512">
        <v>17.400950000000002</v>
      </c>
      <c r="DC512">
        <v>16.332519999999999</v>
      </c>
      <c r="DD512" t="s">
        <v>125</v>
      </c>
      <c r="DE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Q512" t="s">
        <v>126</v>
      </c>
    </row>
    <row r="513" spans="1:121" x14ac:dyDescent="0.15">
      <c r="A513">
        <v>2018</v>
      </c>
      <c r="B513" t="s">
        <v>287</v>
      </c>
      <c r="C513" t="str">
        <f t="shared" si="17"/>
        <v>0640011</v>
      </c>
      <c r="D513" t="s">
        <v>669</v>
      </c>
      <c r="E513" t="str">
        <f>"0643611"</f>
        <v>0643611</v>
      </c>
      <c r="F513" t="s">
        <v>328</v>
      </c>
      <c r="G513" t="s">
        <v>339</v>
      </c>
      <c r="H513">
        <v>12</v>
      </c>
      <c r="I513" t="s">
        <v>336</v>
      </c>
      <c r="J513" t="s">
        <v>331</v>
      </c>
      <c r="K513">
        <v>925.89932499999998</v>
      </c>
      <c r="L513">
        <v>1450</v>
      </c>
      <c r="M513">
        <v>63.855125999999998</v>
      </c>
      <c r="N513">
        <v>3</v>
      </c>
      <c r="O513">
        <v>0</v>
      </c>
      <c r="P513">
        <v>51.394902999999999</v>
      </c>
      <c r="Q513">
        <v>34.263269000000001</v>
      </c>
      <c r="R513">
        <v>50</v>
      </c>
      <c r="S513">
        <v>50.778737999999997</v>
      </c>
      <c r="T513" t="s">
        <v>125</v>
      </c>
      <c r="U513">
        <v>33.852491999999998</v>
      </c>
      <c r="V513">
        <v>50</v>
      </c>
      <c r="W513">
        <v>45.215941000000001</v>
      </c>
      <c r="X513">
        <v>30.14396</v>
      </c>
      <c r="Y513">
        <v>50</v>
      </c>
      <c r="Z513" t="s">
        <v>125</v>
      </c>
      <c r="AA513">
        <v>44.806609000000002</v>
      </c>
      <c r="AB513">
        <v>29.871072999999999</v>
      </c>
      <c r="AC513">
        <v>50</v>
      </c>
      <c r="AD513">
        <v>45.860664999999997</v>
      </c>
      <c r="AE513">
        <v>30.573777</v>
      </c>
      <c r="AF513">
        <v>50</v>
      </c>
      <c r="AG513">
        <v>44.821071000000003</v>
      </c>
      <c r="AH513" t="s">
        <v>125</v>
      </c>
      <c r="AI513">
        <v>29.880714000000001</v>
      </c>
      <c r="AJ513">
        <v>50</v>
      </c>
      <c r="AK513" t="s">
        <v>125</v>
      </c>
      <c r="AL513" t="s">
        <v>125</v>
      </c>
      <c r="AM513" t="s">
        <v>125</v>
      </c>
      <c r="AN513">
        <v>0.54496299999999998</v>
      </c>
      <c r="AO513">
        <v>54.496322999999997</v>
      </c>
      <c r="AP513">
        <v>100</v>
      </c>
      <c r="AQ513">
        <v>0.587113</v>
      </c>
      <c r="AR513">
        <v>58.711348999999998</v>
      </c>
      <c r="AS513">
        <v>100</v>
      </c>
      <c r="AT513">
        <v>0.53415000000000001</v>
      </c>
      <c r="AU513" t="s">
        <v>125</v>
      </c>
      <c r="AV513">
        <v>53.415022999999998</v>
      </c>
      <c r="AW513">
        <v>100</v>
      </c>
      <c r="AX513">
        <v>0.58088499999999998</v>
      </c>
      <c r="AY513" t="s">
        <v>125</v>
      </c>
      <c r="AZ513">
        <v>58.088501000000001</v>
      </c>
      <c r="BA513">
        <v>100</v>
      </c>
      <c r="BB513">
        <v>0.49551800000000001</v>
      </c>
      <c r="BC513">
        <v>24.775901999999999</v>
      </c>
      <c r="BD513">
        <v>50</v>
      </c>
      <c r="BE513">
        <v>0.47648200000000002</v>
      </c>
      <c r="BF513">
        <v>23.824107000000001</v>
      </c>
      <c r="BG513">
        <v>50</v>
      </c>
      <c r="BH513">
        <v>0</v>
      </c>
      <c r="BI513">
        <v>0.98802400000000001</v>
      </c>
      <c r="BJ513">
        <v>0.99019599999999997</v>
      </c>
      <c r="BK513">
        <v>0.96428599999999998</v>
      </c>
      <c r="BL513">
        <v>0.99096399999999996</v>
      </c>
      <c r="BM513">
        <v>0.99013200000000001</v>
      </c>
      <c r="BN513">
        <v>1</v>
      </c>
      <c r="BO513">
        <v>0.98484799999999995</v>
      </c>
      <c r="BP513">
        <v>0.98373999999999995</v>
      </c>
      <c r="BQ513" t="s">
        <v>125</v>
      </c>
      <c r="BR513">
        <v>0.24149100000000001</v>
      </c>
      <c r="BS513">
        <v>11.701783000000001</v>
      </c>
      <c r="BT513">
        <v>50</v>
      </c>
      <c r="BU513">
        <v>0.245283</v>
      </c>
      <c r="BV513">
        <v>10.943396</v>
      </c>
      <c r="BW513">
        <v>50</v>
      </c>
      <c r="BX513">
        <v>0.875</v>
      </c>
      <c r="BY513">
        <v>50</v>
      </c>
      <c r="BZ513">
        <v>50</v>
      </c>
      <c r="CA513">
        <v>1.7857000000000001E-2</v>
      </c>
      <c r="CB513">
        <v>1.1904760000000001</v>
      </c>
      <c r="CC513">
        <v>50</v>
      </c>
      <c r="CD513">
        <v>0.86075900000000005</v>
      </c>
      <c r="CE513">
        <v>45.785079000000003</v>
      </c>
      <c r="CF513">
        <v>50</v>
      </c>
      <c r="CG513">
        <v>0.86206899999999997</v>
      </c>
      <c r="CH513">
        <v>91.709463999999997</v>
      </c>
      <c r="CI513">
        <v>100</v>
      </c>
      <c r="CJ513">
        <v>0</v>
      </c>
      <c r="CK513">
        <v>0.97619</v>
      </c>
      <c r="CL513">
        <v>100</v>
      </c>
      <c r="CM513">
        <v>100</v>
      </c>
      <c r="CN513">
        <v>0.57692299999999996</v>
      </c>
      <c r="CO513">
        <v>76.923077000000006</v>
      </c>
      <c r="CP513">
        <v>100</v>
      </c>
      <c r="CQ513">
        <v>0.386243</v>
      </c>
      <c r="CR513">
        <v>0.99473699999999998</v>
      </c>
      <c r="CS513">
        <v>25.749559000000001</v>
      </c>
      <c r="CT513">
        <v>50</v>
      </c>
      <c r="CU513">
        <v>0.84375</v>
      </c>
      <c r="CV513">
        <v>50</v>
      </c>
      <c r="CW513">
        <v>50</v>
      </c>
      <c r="CX513">
        <v>0.97619</v>
      </c>
      <c r="CY513" t="s">
        <v>125</v>
      </c>
      <c r="CZ513" t="s">
        <v>125</v>
      </c>
      <c r="DA513">
        <v>15.314097</v>
      </c>
      <c r="DB513">
        <v>17.400950000000002</v>
      </c>
      <c r="DC513">
        <v>16.332519999999999</v>
      </c>
      <c r="DD513">
        <v>7.9891730000000001</v>
      </c>
      <c r="DE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Q513" t="s">
        <v>126</v>
      </c>
    </row>
    <row r="514" spans="1:121" x14ac:dyDescent="0.15">
      <c r="A514">
        <v>2018</v>
      </c>
      <c r="B514" t="s">
        <v>287</v>
      </c>
      <c r="C514" t="str">
        <f t="shared" si="17"/>
        <v>0640011</v>
      </c>
      <c r="D514" t="s">
        <v>670</v>
      </c>
      <c r="E514" t="str">
        <f>"0647911"</f>
        <v>0647911</v>
      </c>
      <c r="F514" t="s">
        <v>328</v>
      </c>
      <c r="G514">
        <v>9</v>
      </c>
      <c r="H514">
        <v>12</v>
      </c>
      <c r="I514" t="s">
        <v>336</v>
      </c>
      <c r="J514" t="s">
        <v>331</v>
      </c>
      <c r="K514">
        <v>1021.8968149999999</v>
      </c>
      <c r="L514">
        <v>1450</v>
      </c>
      <c r="M514">
        <v>70.475641999999993</v>
      </c>
      <c r="N514">
        <v>2</v>
      </c>
      <c r="O514">
        <v>0</v>
      </c>
      <c r="P514">
        <v>52.111871999999998</v>
      </c>
      <c r="Q514">
        <v>104.223744</v>
      </c>
      <c r="R514">
        <v>150</v>
      </c>
      <c r="S514">
        <v>48.108024999999998</v>
      </c>
      <c r="T514" t="s">
        <v>125</v>
      </c>
      <c r="U514">
        <v>96.216048999999998</v>
      </c>
      <c r="V514">
        <v>150</v>
      </c>
      <c r="W514">
        <v>44.150685000000003</v>
      </c>
      <c r="X514">
        <v>88.301370000000006</v>
      </c>
      <c r="Y514">
        <v>150</v>
      </c>
      <c r="Z514" t="s">
        <v>125</v>
      </c>
      <c r="AA514">
        <v>41.521605000000001</v>
      </c>
      <c r="AB514">
        <v>83.043210000000002</v>
      </c>
      <c r="AC514">
        <v>150</v>
      </c>
      <c r="AD514">
        <v>50.174636</v>
      </c>
      <c r="AE514">
        <v>66.899514999999994</v>
      </c>
      <c r="AF514">
        <v>100</v>
      </c>
      <c r="AG514">
        <v>46.2</v>
      </c>
      <c r="AH514" t="s">
        <v>125</v>
      </c>
      <c r="AI514">
        <v>61.6</v>
      </c>
      <c r="AJ514">
        <v>100</v>
      </c>
      <c r="AK514" t="s">
        <v>125</v>
      </c>
      <c r="AL514" t="s">
        <v>125</v>
      </c>
      <c r="AM514" t="s">
        <v>125</v>
      </c>
      <c r="AN514" t="s">
        <v>125</v>
      </c>
      <c r="AO514" t="s">
        <v>125</v>
      </c>
      <c r="AP514" t="s">
        <v>125</v>
      </c>
      <c r="AQ514" t="s">
        <v>125</v>
      </c>
      <c r="AR514" t="s">
        <v>125</v>
      </c>
      <c r="AS514" t="s">
        <v>125</v>
      </c>
      <c r="AT514" t="s">
        <v>125</v>
      </c>
      <c r="AU514" t="s">
        <v>125</v>
      </c>
      <c r="AV514" t="s">
        <v>125</v>
      </c>
      <c r="AW514" t="s">
        <v>125</v>
      </c>
      <c r="AX514" t="s">
        <v>125</v>
      </c>
      <c r="AY514" t="s">
        <v>125</v>
      </c>
      <c r="AZ514" t="s">
        <v>125</v>
      </c>
      <c r="BA514" t="s">
        <v>125</v>
      </c>
      <c r="BB514" t="s">
        <v>125</v>
      </c>
      <c r="BC514" t="s">
        <v>125</v>
      </c>
      <c r="BD514" t="s">
        <v>125</v>
      </c>
      <c r="BE514" t="s">
        <v>125</v>
      </c>
      <c r="BF514" t="s">
        <v>125</v>
      </c>
      <c r="BG514" t="s">
        <v>125</v>
      </c>
      <c r="BH514">
        <v>0</v>
      </c>
      <c r="BI514">
        <v>0.973333</v>
      </c>
      <c r="BJ514">
        <v>0.98181799999999997</v>
      </c>
      <c r="BK514">
        <v>0.95</v>
      </c>
      <c r="BL514">
        <v>0.973333</v>
      </c>
      <c r="BM514">
        <v>0.98181799999999997</v>
      </c>
      <c r="BN514">
        <v>0.95</v>
      </c>
      <c r="BO514">
        <v>0.98666699999999996</v>
      </c>
      <c r="BP514">
        <v>1</v>
      </c>
      <c r="BQ514">
        <v>0.95</v>
      </c>
      <c r="BR514">
        <v>0.17684900000000001</v>
      </c>
      <c r="BS514">
        <v>24.630224999999999</v>
      </c>
      <c r="BT514">
        <v>50</v>
      </c>
      <c r="BU514">
        <v>0.20960699999999999</v>
      </c>
      <c r="BV514">
        <v>18.078603000000001</v>
      </c>
      <c r="BW514">
        <v>50</v>
      </c>
      <c r="BX514">
        <v>0.93525199999999997</v>
      </c>
      <c r="BY514">
        <v>50</v>
      </c>
      <c r="BZ514">
        <v>50</v>
      </c>
      <c r="CA514">
        <v>0.251799</v>
      </c>
      <c r="CB514">
        <v>16.786570999999999</v>
      </c>
      <c r="CC514">
        <v>50</v>
      </c>
      <c r="CD514">
        <v>0.96511599999999997</v>
      </c>
      <c r="CE514">
        <v>50</v>
      </c>
      <c r="CF514">
        <v>50</v>
      </c>
      <c r="CG514">
        <v>0.96666700000000005</v>
      </c>
      <c r="CH514">
        <v>100</v>
      </c>
      <c r="CI514">
        <v>100</v>
      </c>
      <c r="CJ514">
        <v>0</v>
      </c>
      <c r="CK514">
        <v>0.92857100000000004</v>
      </c>
      <c r="CL514">
        <v>98.784194999999997</v>
      </c>
      <c r="CM514">
        <v>100</v>
      </c>
      <c r="CN514">
        <v>0.76666699999999999</v>
      </c>
      <c r="CO514">
        <v>100</v>
      </c>
      <c r="CP514">
        <v>100</v>
      </c>
      <c r="CQ514">
        <v>0.2</v>
      </c>
      <c r="CR514">
        <v>1.2790699999999999</v>
      </c>
      <c r="CS514">
        <v>13.333333</v>
      </c>
      <c r="CT514">
        <v>50</v>
      </c>
      <c r="CU514">
        <v>0.64951800000000004</v>
      </c>
      <c r="CV514">
        <v>50</v>
      </c>
      <c r="CW514">
        <v>50</v>
      </c>
      <c r="CX514">
        <v>0.92857100000000004</v>
      </c>
      <c r="CY514">
        <v>0.94</v>
      </c>
      <c r="CZ514">
        <v>1.1429E-2</v>
      </c>
      <c r="DA514">
        <v>15.314097</v>
      </c>
      <c r="DB514">
        <v>17.400950000000002</v>
      </c>
      <c r="DC514">
        <v>16.332519999999999</v>
      </c>
      <c r="DD514">
        <v>7.9891730000000001</v>
      </c>
      <c r="DE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Q514" t="s">
        <v>126</v>
      </c>
    </row>
    <row r="515" spans="1:121" x14ac:dyDescent="0.15">
      <c r="A515">
        <v>2018</v>
      </c>
      <c r="B515" t="s">
        <v>287</v>
      </c>
      <c r="C515" t="str">
        <f t="shared" si="17"/>
        <v>0640011</v>
      </c>
      <c r="D515" t="s">
        <v>671</v>
      </c>
      <c r="E515" t="str">
        <f>"0647211"</f>
        <v>0647211</v>
      </c>
      <c r="F515" t="s">
        <v>328</v>
      </c>
      <c r="G515">
        <v>9</v>
      </c>
      <c r="H515">
        <v>12</v>
      </c>
      <c r="I515" t="s">
        <v>336</v>
      </c>
      <c r="J515" t="s">
        <v>331</v>
      </c>
      <c r="K515">
        <v>731.93163500000003</v>
      </c>
      <c r="L515">
        <v>1550</v>
      </c>
      <c r="M515">
        <v>47.221395999999999</v>
      </c>
      <c r="N515">
        <v>5</v>
      </c>
      <c r="O515">
        <v>0</v>
      </c>
      <c r="P515">
        <v>37.416666999999997</v>
      </c>
      <c r="Q515">
        <v>74.833332999999996</v>
      </c>
      <c r="R515">
        <v>150</v>
      </c>
      <c r="S515">
        <v>36.823810000000002</v>
      </c>
      <c r="T515" t="s">
        <v>125</v>
      </c>
      <c r="U515">
        <v>73.647619000000006</v>
      </c>
      <c r="V515">
        <v>150</v>
      </c>
      <c r="W515">
        <v>33.875</v>
      </c>
      <c r="X515">
        <v>67.75</v>
      </c>
      <c r="Y515">
        <v>150</v>
      </c>
      <c r="Z515" t="s">
        <v>125</v>
      </c>
      <c r="AA515">
        <v>33.052380999999997</v>
      </c>
      <c r="AB515">
        <v>66.104761999999994</v>
      </c>
      <c r="AC515">
        <v>150</v>
      </c>
      <c r="AD515">
        <v>34.852784999999997</v>
      </c>
      <c r="AE515">
        <v>46.470379999999999</v>
      </c>
      <c r="AF515">
        <v>100</v>
      </c>
      <c r="AG515">
        <v>32.868375999999998</v>
      </c>
      <c r="AH515" t="s">
        <v>125</v>
      </c>
      <c r="AI515">
        <v>43.824500999999998</v>
      </c>
      <c r="AJ515">
        <v>100</v>
      </c>
      <c r="AK515" t="s">
        <v>125</v>
      </c>
      <c r="AL515" t="s">
        <v>125</v>
      </c>
      <c r="AM515" t="s">
        <v>125</v>
      </c>
      <c r="AN515" t="s">
        <v>125</v>
      </c>
      <c r="AO515" t="s">
        <v>125</v>
      </c>
      <c r="AP515" t="s">
        <v>125</v>
      </c>
      <c r="AQ515" t="s">
        <v>125</v>
      </c>
      <c r="AR515" t="s">
        <v>125</v>
      </c>
      <c r="AS515" t="s">
        <v>125</v>
      </c>
      <c r="AT515" t="s">
        <v>125</v>
      </c>
      <c r="AU515" t="s">
        <v>125</v>
      </c>
      <c r="AV515" t="s">
        <v>125</v>
      </c>
      <c r="AW515" t="s">
        <v>125</v>
      </c>
      <c r="AX515" t="s">
        <v>125</v>
      </c>
      <c r="AY515" t="s">
        <v>125</v>
      </c>
      <c r="AZ515" t="s">
        <v>125</v>
      </c>
      <c r="BA515" t="s">
        <v>125</v>
      </c>
      <c r="BB515">
        <v>0.39960600000000002</v>
      </c>
      <c r="BC515">
        <v>19.980274999999999</v>
      </c>
      <c r="BD515">
        <v>50</v>
      </c>
      <c r="BE515">
        <v>0.535223</v>
      </c>
      <c r="BF515">
        <v>26.76117</v>
      </c>
      <c r="BG515">
        <v>50</v>
      </c>
      <c r="BH515">
        <v>1</v>
      </c>
      <c r="BI515">
        <v>0.60714299999999999</v>
      </c>
      <c r="BJ515">
        <v>0.59701499999999996</v>
      </c>
      <c r="BK515" t="s">
        <v>125</v>
      </c>
      <c r="BL515">
        <v>0.60714299999999999</v>
      </c>
      <c r="BM515">
        <v>0.59701499999999996</v>
      </c>
      <c r="BN515" t="s">
        <v>125</v>
      </c>
      <c r="BO515">
        <v>0.77381</v>
      </c>
      <c r="BP515">
        <v>0.74242399999999997</v>
      </c>
      <c r="BQ515" t="s">
        <v>125</v>
      </c>
      <c r="BR515">
        <v>0.68877600000000005</v>
      </c>
      <c r="BS515">
        <v>0</v>
      </c>
      <c r="BT515">
        <v>50</v>
      </c>
      <c r="BU515">
        <v>0.71264400000000006</v>
      </c>
      <c r="BV515">
        <v>0</v>
      </c>
      <c r="BW515">
        <v>50</v>
      </c>
      <c r="BX515">
        <v>0.58169899999999997</v>
      </c>
      <c r="BY515">
        <v>38.779955999999999</v>
      </c>
      <c r="BZ515">
        <v>50</v>
      </c>
      <c r="CA515">
        <v>2.6144000000000001E-2</v>
      </c>
      <c r="CB515">
        <v>1.7429190000000001</v>
      </c>
      <c r="CC515">
        <v>50</v>
      </c>
      <c r="CD515">
        <v>0.45588200000000001</v>
      </c>
      <c r="CE515">
        <v>24.249061000000001</v>
      </c>
      <c r="CF515">
        <v>50</v>
      </c>
      <c r="CG515">
        <v>0.40277800000000002</v>
      </c>
      <c r="CH515">
        <v>42.848700000000001</v>
      </c>
      <c r="CI515">
        <v>100</v>
      </c>
      <c r="CJ515">
        <v>0</v>
      </c>
      <c r="CK515">
        <v>0.68539300000000003</v>
      </c>
      <c r="CL515">
        <v>72.914175999999998</v>
      </c>
      <c r="CM515">
        <v>100</v>
      </c>
      <c r="CN515">
        <v>0.418605</v>
      </c>
      <c r="CO515">
        <v>55.813952999999998</v>
      </c>
      <c r="CP515">
        <v>100</v>
      </c>
      <c r="CQ515">
        <v>0.39316200000000001</v>
      </c>
      <c r="CR515">
        <v>1.073394</v>
      </c>
      <c r="CS515">
        <v>26.210826000000001</v>
      </c>
      <c r="CT515">
        <v>50</v>
      </c>
      <c r="CU515">
        <v>0.68367299999999998</v>
      </c>
      <c r="CV515">
        <v>50</v>
      </c>
      <c r="CW515">
        <v>50</v>
      </c>
      <c r="CX515">
        <v>0.68539300000000003</v>
      </c>
      <c r="CY515" t="s">
        <v>125</v>
      </c>
      <c r="CZ515" t="s">
        <v>125</v>
      </c>
      <c r="DA515">
        <v>15.314097</v>
      </c>
      <c r="DB515">
        <v>17.400950000000002</v>
      </c>
      <c r="DC515">
        <v>16.332519999999999</v>
      </c>
      <c r="DD515">
        <v>7.9891730000000001</v>
      </c>
      <c r="DE515">
        <v>1</v>
      </c>
      <c r="DF515" t="s">
        <v>376</v>
      </c>
      <c r="DG515" t="s">
        <v>377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Q515" t="s">
        <v>126</v>
      </c>
    </row>
    <row r="516" spans="1:121" x14ac:dyDescent="0.15">
      <c r="A516">
        <v>2018</v>
      </c>
      <c r="B516" t="s">
        <v>287</v>
      </c>
      <c r="C516" t="str">
        <f t="shared" si="17"/>
        <v>0640011</v>
      </c>
      <c r="D516" t="s">
        <v>672</v>
      </c>
      <c r="E516" t="str">
        <f>"0647411"</f>
        <v>0647411</v>
      </c>
      <c r="F516" t="s">
        <v>328</v>
      </c>
      <c r="G516">
        <v>9</v>
      </c>
      <c r="H516">
        <v>12</v>
      </c>
      <c r="I516" t="s">
        <v>336</v>
      </c>
      <c r="J516" t="s">
        <v>331</v>
      </c>
      <c r="K516">
        <v>710.16442199999995</v>
      </c>
      <c r="L516">
        <v>1550</v>
      </c>
      <c r="M516">
        <v>45.817059999999998</v>
      </c>
      <c r="N516">
        <v>5</v>
      </c>
      <c r="O516">
        <v>0</v>
      </c>
      <c r="P516">
        <v>40.180556000000003</v>
      </c>
      <c r="Q516">
        <v>80.361110999999994</v>
      </c>
      <c r="R516">
        <v>150</v>
      </c>
      <c r="S516">
        <v>39.111111000000001</v>
      </c>
      <c r="T516" t="s">
        <v>125</v>
      </c>
      <c r="U516">
        <v>78.222222000000002</v>
      </c>
      <c r="V516">
        <v>150</v>
      </c>
      <c r="W516">
        <v>33.916666999999997</v>
      </c>
      <c r="X516">
        <v>67.833332999999996</v>
      </c>
      <c r="Y516">
        <v>150</v>
      </c>
      <c r="Z516" t="s">
        <v>125</v>
      </c>
      <c r="AA516">
        <v>33.916666999999997</v>
      </c>
      <c r="AB516">
        <v>67.833332999999996</v>
      </c>
      <c r="AC516">
        <v>150</v>
      </c>
      <c r="AD516">
        <v>34.589117999999999</v>
      </c>
      <c r="AE516">
        <v>46.118823999999996</v>
      </c>
      <c r="AF516">
        <v>100</v>
      </c>
      <c r="AG516">
        <v>33.580219999999997</v>
      </c>
      <c r="AH516" t="s">
        <v>125</v>
      </c>
      <c r="AI516">
        <v>44.773626</v>
      </c>
      <c r="AJ516">
        <v>100</v>
      </c>
      <c r="AK516" t="s">
        <v>125</v>
      </c>
      <c r="AL516" t="s">
        <v>125</v>
      </c>
      <c r="AM516" t="s">
        <v>125</v>
      </c>
      <c r="AN516" t="s">
        <v>125</v>
      </c>
      <c r="AO516" t="s">
        <v>125</v>
      </c>
      <c r="AP516" t="s">
        <v>125</v>
      </c>
      <c r="AQ516" t="s">
        <v>125</v>
      </c>
      <c r="AR516" t="s">
        <v>125</v>
      </c>
      <c r="AS516" t="s">
        <v>125</v>
      </c>
      <c r="AT516" t="s">
        <v>125</v>
      </c>
      <c r="AU516" t="s">
        <v>125</v>
      </c>
      <c r="AV516" t="s">
        <v>125</v>
      </c>
      <c r="AW516" t="s">
        <v>125</v>
      </c>
      <c r="AX516" t="s">
        <v>125</v>
      </c>
      <c r="AY516" t="s">
        <v>125</v>
      </c>
      <c r="AZ516" t="s">
        <v>125</v>
      </c>
      <c r="BA516" t="s">
        <v>125</v>
      </c>
      <c r="BB516">
        <v>0.29984300000000003</v>
      </c>
      <c r="BC516">
        <v>14.992148</v>
      </c>
      <c r="BD516">
        <v>50</v>
      </c>
      <c r="BE516">
        <v>0.48619200000000001</v>
      </c>
      <c r="BF516">
        <v>24.309616999999999</v>
      </c>
      <c r="BG516">
        <v>50</v>
      </c>
      <c r="BH516">
        <v>1</v>
      </c>
      <c r="BI516">
        <v>0.65151499999999996</v>
      </c>
      <c r="BJ516">
        <v>0.614035</v>
      </c>
      <c r="BK516" t="s">
        <v>125</v>
      </c>
      <c r="BL516">
        <v>0.65151499999999996</v>
      </c>
      <c r="BM516">
        <v>0.614035</v>
      </c>
      <c r="BN516" t="s">
        <v>125</v>
      </c>
      <c r="BO516">
        <v>0.75757600000000003</v>
      </c>
      <c r="BP516">
        <v>0.71929799999999999</v>
      </c>
      <c r="BQ516" t="s">
        <v>125</v>
      </c>
      <c r="BR516">
        <v>0.74925399999999998</v>
      </c>
      <c r="BS516">
        <v>0</v>
      </c>
      <c r="BT516">
        <v>50</v>
      </c>
      <c r="BU516">
        <v>0.76190500000000005</v>
      </c>
      <c r="BV516">
        <v>0</v>
      </c>
      <c r="BW516">
        <v>50</v>
      </c>
      <c r="BX516">
        <v>0.146341</v>
      </c>
      <c r="BY516">
        <v>9.7560979999999997</v>
      </c>
      <c r="BZ516">
        <v>50</v>
      </c>
      <c r="CA516">
        <v>4.0649999999999999E-2</v>
      </c>
      <c r="CB516">
        <v>2.7100270000000002</v>
      </c>
      <c r="CC516">
        <v>50</v>
      </c>
      <c r="CD516">
        <v>0.41935499999999998</v>
      </c>
      <c r="CE516">
        <v>22.306107999999998</v>
      </c>
      <c r="CF516">
        <v>50</v>
      </c>
      <c r="CG516">
        <v>0.54545500000000002</v>
      </c>
      <c r="CH516">
        <v>58.027079000000001</v>
      </c>
      <c r="CI516">
        <v>100</v>
      </c>
      <c r="CJ516">
        <v>0</v>
      </c>
      <c r="CK516">
        <v>0.69565200000000005</v>
      </c>
      <c r="CL516">
        <v>74.005549999999999</v>
      </c>
      <c r="CM516">
        <v>100</v>
      </c>
      <c r="CN516">
        <v>0.41269800000000001</v>
      </c>
      <c r="CO516">
        <v>55.026454999999999</v>
      </c>
      <c r="CP516">
        <v>100</v>
      </c>
      <c r="CQ516">
        <v>0.20833299999999999</v>
      </c>
      <c r="CR516">
        <v>1.0786519999999999</v>
      </c>
      <c r="CS516">
        <v>13.888889000000001</v>
      </c>
      <c r="CT516">
        <v>50</v>
      </c>
      <c r="CU516">
        <v>0.65970099999999998</v>
      </c>
      <c r="CV516">
        <v>50</v>
      </c>
      <c r="CW516">
        <v>50</v>
      </c>
      <c r="CX516">
        <v>0.69565200000000005</v>
      </c>
      <c r="CY516" t="s">
        <v>125</v>
      </c>
      <c r="CZ516" t="s">
        <v>125</v>
      </c>
      <c r="DA516">
        <v>15.314097</v>
      </c>
      <c r="DB516">
        <v>17.400950000000002</v>
      </c>
      <c r="DC516">
        <v>16.332519999999999</v>
      </c>
      <c r="DD516">
        <v>7.9891730000000001</v>
      </c>
      <c r="DE516">
        <v>1</v>
      </c>
      <c r="DF516" t="s">
        <v>376</v>
      </c>
      <c r="DG516" t="s">
        <v>377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Q516" t="s">
        <v>126</v>
      </c>
    </row>
    <row r="517" spans="1:121" x14ac:dyDescent="0.15">
      <c r="A517">
        <v>2018</v>
      </c>
      <c r="B517" t="s">
        <v>287</v>
      </c>
      <c r="C517" t="str">
        <f t="shared" si="17"/>
        <v>0640011</v>
      </c>
      <c r="D517" t="s">
        <v>673</v>
      </c>
      <c r="E517" t="str">
        <f>"0647511"</f>
        <v>0647511</v>
      </c>
      <c r="F517" t="s">
        <v>328</v>
      </c>
      <c r="G517">
        <v>9</v>
      </c>
      <c r="H517">
        <v>12</v>
      </c>
      <c r="I517" t="s">
        <v>336</v>
      </c>
      <c r="J517" t="s">
        <v>331</v>
      </c>
      <c r="K517">
        <v>706.18715099999997</v>
      </c>
      <c r="L517">
        <v>1550</v>
      </c>
      <c r="M517">
        <v>45.560460999999997</v>
      </c>
      <c r="N517">
        <v>5</v>
      </c>
      <c r="O517">
        <v>0</v>
      </c>
      <c r="P517">
        <v>33.700980000000001</v>
      </c>
      <c r="Q517">
        <v>67.401961</v>
      </c>
      <c r="R517">
        <v>150</v>
      </c>
      <c r="S517">
        <v>33</v>
      </c>
      <c r="T517" t="s">
        <v>125</v>
      </c>
      <c r="U517">
        <v>66</v>
      </c>
      <c r="V517">
        <v>150</v>
      </c>
      <c r="W517">
        <v>31.544118000000001</v>
      </c>
      <c r="X517">
        <v>63.088234999999997</v>
      </c>
      <c r="Y517">
        <v>150</v>
      </c>
      <c r="Z517" t="s">
        <v>125</v>
      </c>
      <c r="AA517">
        <v>31.344086000000001</v>
      </c>
      <c r="AB517">
        <v>62.688172000000002</v>
      </c>
      <c r="AC517">
        <v>150</v>
      </c>
      <c r="AD517">
        <v>34.259391999999998</v>
      </c>
      <c r="AE517">
        <v>45.679189000000001</v>
      </c>
      <c r="AF517">
        <v>100</v>
      </c>
      <c r="AG517">
        <v>34.779093000000003</v>
      </c>
      <c r="AH517" t="s">
        <v>125</v>
      </c>
      <c r="AI517">
        <v>46.372123999999999</v>
      </c>
      <c r="AJ517">
        <v>100</v>
      </c>
      <c r="AK517" t="s">
        <v>125</v>
      </c>
      <c r="AL517" t="s">
        <v>125</v>
      </c>
      <c r="AM517" t="s">
        <v>125</v>
      </c>
      <c r="AN517" t="s">
        <v>125</v>
      </c>
      <c r="AO517" t="s">
        <v>125</v>
      </c>
      <c r="AP517" t="s">
        <v>125</v>
      </c>
      <c r="AQ517" t="s">
        <v>125</v>
      </c>
      <c r="AR517" t="s">
        <v>125</v>
      </c>
      <c r="AS517" t="s">
        <v>125</v>
      </c>
      <c r="AT517" t="s">
        <v>125</v>
      </c>
      <c r="AU517" t="s">
        <v>125</v>
      </c>
      <c r="AV517" t="s">
        <v>125</v>
      </c>
      <c r="AW517" t="s">
        <v>125</v>
      </c>
      <c r="AX517" t="s">
        <v>125</v>
      </c>
      <c r="AY517" t="s">
        <v>125</v>
      </c>
      <c r="AZ517" t="s">
        <v>125</v>
      </c>
      <c r="BA517" t="s">
        <v>125</v>
      </c>
      <c r="BB517">
        <v>0.37273099999999998</v>
      </c>
      <c r="BC517">
        <v>18.636541999999999</v>
      </c>
      <c r="BD517">
        <v>50</v>
      </c>
      <c r="BE517">
        <v>0.485904</v>
      </c>
      <c r="BF517">
        <v>24.295186000000001</v>
      </c>
      <c r="BG517">
        <v>50</v>
      </c>
      <c r="BH517">
        <v>1</v>
      </c>
      <c r="BI517">
        <v>0.63380300000000001</v>
      </c>
      <c r="BJ517">
        <v>0.61904800000000004</v>
      </c>
      <c r="BK517" t="s">
        <v>125</v>
      </c>
      <c r="BL517">
        <v>0.63380300000000001</v>
      </c>
      <c r="BM517">
        <v>0.61904800000000004</v>
      </c>
      <c r="BN517" t="s">
        <v>125</v>
      </c>
      <c r="BO517">
        <v>0.78873199999999999</v>
      </c>
      <c r="BP517">
        <v>0.77777799999999997</v>
      </c>
      <c r="BQ517" t="s">
        <v>125</v>
      </c>
      <c r="BR517">
        <v>0.71831</v>
      </c>
      <c r="BS517">
        <v>0</v>
      </c>
      <c r="BT517">
        <v>50</v>
      </c>
      <c r="BU517">
        <v>0.73846199999999995</v>
      </c>
      <c r="BV517">
        <v>0</v>
      </c>
      <c r="BW517">
        <v>50</v>
      </c>
      <c r="BX517">
        <v>0.38888899999999998</v>
      </c>
      <c r="BY517">
        <v>25.925926</v>
      </c>
      <c r="BZ517">
        <v>50</v>
      </c>
      <c r="CA517">
        <v>6.9439999999999997E-3</v>
      </c>
      <c r="CB517">
        <v>0.46296300000000001</v>
      </c>
      <c r="CC517">
        <v>50</v>
      </c>
      <c r="CD517">
        <v>0.51219499999999996</v>
      </c>
      <c r="CE517">
        <v>27.244420999999999</v>
      </c>
      <c r="CF517">
        <v>50</v>
      </c>
      <c r="CG517">
        <v>0.59574499999999997</v>
      </c>
      <c r="CH517">
        <v>63.377094</v>
      </c>
      <c r="CI517">
        <v>100</v>
      </c>
      <c r="CJ517">
        <v>0</v>
      </c>
      <c r="CK517">
        <v>0.663636</v>
      </c>
      <c r="CL517">
        <v>70.599613000000005</v>
      </c>
      <c r="CM517">
        <v>100</v>
      </c>
      <c r="CN517">
        <v>0.52381</v>
      </c>
      <c r="CO517">
        <v>69.841269999999994</v>
      </c>
      <c r="CP517">
        <v>100</v>
      </c>
      <c r="CQ517">
        <v>0.17948700000000001</v>
      </c>
      <c r="CR517">
        <v>0.88636400000000004</v>
      </c>
      <c r="CS517">
        <v>5.9829059999999998</v>
      </c>
      <c r="CT517">
        <v>50</v>
      </c>
      <c r="CU517">
        <v>0.58309900000000003</v>
      </c>
      <c r="CV517">
        <v>48.591549000000001</v>
      </c>
      <c r="CW517">
        <v>50</v>
      </c>
      <c r="CX517">
        <v>0.663636</v>
      </c>
      <c r="CY517" t="s">
        <v>125</v>
      </c>
      <c r="CZ517" t="s">
        <v>125</v>
      </c>
      <c r="DA517">
        <v>15.314097</v>
      </c>
      <c r="DB517">
        <v>17.400950000000002</v>
      </c>
      <c r="DC517">
        <v>16.332519999999999</v>
      </c>
      <c r="DD517">
        <v>7.9891730000000001</v>
      </c>
      <c r="DE517">
        <v>1</v>
      </c>
      <c r="DF517" t="s">
        <v>376</v>
      </c>
      <c r="DG517" t="s">
        <v>377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Q517" t="s">
        <v>126</v>
      </c>
    </row>
    <row r="518" spans="1:121" x14ac:dyDescent="0.15">
      <c r="A518">
        <v>2018</v>
      </c>
      <c r="B518" t="s">
        <v>287</v>
      </c>
      <c r="C518" t="str">
        <f t="shared" si="17"/>
        <v>0640011</v>
      </c>
      <c r="D518" t="s">
        <v>674</v>
      </c>
      <c r="E518" t="str">
        <f>"0645411"</f>
        <v>0645411</v>
      </c>
      <c r="F518" t="s">
        <v>328</v>
      </c>
      <c r="G518">
        <v>6</v>
      </c>
      <c r="H518">
        <v>12</v>
      </c>
      <c r="I518" t="s">
        <v>336</v>
      </c>
      <c r="J518" t="s">
        <v>331</v>
      </c>
      <c r="K518">
        <v>980.99220300000002</v>
      </c>
      <c r="L518">
        <v>1450</v>
      </c>
      <c r="M518">
        <v>67.654634999999999</v>
      </c>
      <c r="N518">
        <v>3</v>
      </c>
      <c r="O518">
        <v>1</v>
      </c>
      <c r="P518">
        <v>55.869928000000002</v>
      </c>
      <c r="Q518">
        <v>37.246619000000003</v>
      </c>
      <c r="R518">
        <v>50</v>
      </c>
      <c r="S518">
        <v>50.231104999999999</v>
      </c>
      <c r="T518">
        <v>68.998701999999994</v>
      </c>
      <c r="U518">
        <v>33.487403999999998</v>
      </c>
      <c r="V518">
        <v>50</v>
      </c>
      <c r="W518">
        <v>49.029566000000003</v>
      </c>
      <c r="X518">
        <v>32.686377</v>
      </c>
      <c r="Y518">
        <v>50</v>
      </c>
      <c r="Z518">
        <v>62.061978000000003</v>
      </c>
      <c r="AA518">
        <v>43.362048999999999</v>
      </c>
      <c r="AB518">
        <v>28.908033</v>
      </c>
      <c r="AC518">
        <v>50</v>
      </c>
      <c r="AD518">
        <v>54.779175000000002</v>
      </c>
      <c r="AE518">
        <v>36.519449999999999</v>
      </c>
      <c r="AF518">
        <v>50</v>
      </c>
      <c r="AG518">
        <v>51.706569999999999</v>
      </c>
      <c r="AH518">
        <v>61.812024999999998</v>
      </c>
      <c r="AI518">
        <v>34.471046999999999</v>
      </c>
      <c r="AJ518">
        <v>50</v>
      </c>
      <c r="AK518">
        <v>18.760000000000002</v>
      </c>
      <c r="AL518">
        <v>18.690000000000001</v>
      </c>
      <c r="AM518">
        <v>10.1</v>
      </c>
      <c r="AN518">
        <v>0.48927399999999999</v>
      </c>
      <c r="AO518">
        <v>48.927351000000002</v>
      </c>
      <c r="AP518">
        <v>100</v>
      </c>
      <c r="AQ518">
        <v>0.385689</v>
      </c>
      <c r="AR518">
        <v>38.568911</v>
      </c>
      <c r="AS518">
        <v>100</v>
      </c>
      <c r="AT518">
        <v>0.48499799999999998</v>
      </c>
      <c r="AU518">
        <v>0.499836</v>
      </c>
      <c r="AV518">
        <v>48.499752000000001</v>
      </c>
      <c r="AW518">
        <v>100</v>
      </c>
      <c r="AX518">
        <v>0.39233600000000002</v>
      </c>
      <c r="AY518">
        <v>0.36938300000000002</v>
      </c>
      <c r="AZ518">
        <v>39.233559</v>
      </c>
      <c r="BA518">
        <v>100</v>
      </c>
      <c r="BB518">
        <v>0.54959499999999994</v>
      </c>
      <c r="BC518">
        <v>27.479745000000001</v>
      </c>
      <c r="BD518">
        <v>50</v>
      </c>
      <c r="BE518">
        <v>0.47035500000000002</v>
      </c>
      <c r="BF518">
        <v>23.517731999999999</v>
      </c>
      <c r="BG518">
        <v>50</v>
      </c>
      <c r="BH518">
        <v>0</v>
      </c>
      <c r="BI518">
        <v>0.989537</v>
      </c>
      <c r="BJ518">
        <v>0.98513799999999996</v>
      </c>
      <c r="BK518">
        <v>1</v>
      </c>
      <c r="BL518">
        <v>0.97608399999999995</v>
      </c>
      <c r="BM518">
        <v>0.96815300000000004</v>
      </c>
      <c r="BN518">
        <v>0.99494899999999997</v>
      </c>
      <c r="BO518">
        <v>0.97385600000000005</v>
      </c>
      <c r="BP518">
        <v>0.96744200000000002</v>
      </c>
      <c r="BQ518">
        <v>0.98901099999999997</v>
      </c>
      <c r="BR518">
        <v>0.106654</v>
      </c>
      <c r="BS518">
        <v>38.669276000000004</v>
      </c>
      <c r="BT518">
        <v>50</v>
      </c>
      <c r="BU518">
        <v>0.13286700000000001</v>
      </c>
      <c r="BV518">
        <v>33.426572999999998</v>
      </c>
      <c r="BW518">
        <v>50</v>
      </c>
      <c r="BX518">
        <v>0.54545500000000002</v>
      </c>
      <c r="BY518">
        <v>36.363636</v>
      </c>
      <c r="BZ518">
        <v>50</v>
      </c>
      <c r="CA518">
        <v>0.35</v>
      </c>
      <c r="CB518">
        <v>23.333333</v>
      </c>
      <c r="CC518">
        <v>50</v>
      </c>
      <c r="CD518">
        <v>0.87683299999999997</v>
      </c>
      <c r="CE518">
        <v>46.640045000000001</v>
      </c>
      <c r="CF518">
        <v>50</v>
      </c>
      <c r="CG518">
        <v>0.91304300000000005</v>
      </c>
      <c r="CH518">
        <v>97.132284999999996</v>
      </c>
      <c r="CI518">
        <v>100</v>
      </c>
      <c r="CJ518">
        <v>0</v>
      </c>
      <c r="CK518">
        <v>0.93103400000000003</v>
      </c>
      <c r="CL518">
        <v>99.046222</v>
      </c>
      <c r="CM518">
        <v>100</v>
      </c>
      <c r="CN518">
        <v>0.70786499999999997</v>
      </c>
      <c r="CO518">
        <v>94.382022000000006</v>
      </c>
      <c r="CP518">
        <v>100</v>
      </c>
      <c r="CQ518">
        <v>0.486792</v>
      </c>
      <c r="CR518">
        <v>1.159737</v>
      </c>
      <c r="CS518">
        <v>32.452829999999999</v>
      </c>
      <c r="CT518">
        <v>50</v>
      </c>
      <c r="CU518">
        <v>0.88421099999999997</v>
      </c>
      <c r="CV518">
        <v>50</v>
      </c>
      <c r="CW518">
        <v>50</v>
      </c>
      <c r="CX518">
        <v>0.93103400000000003</v>
      </c>
      <c r="CY518">
        <v>0.94</v>
      </c>
      <c r="CZ518">
        <v>8.966E-3</v>
      </c>
      <c r="DA518">
        <v>15.314097</v>
      </c>
      <c r="DB518">
        <v>17.400950000000002</v>
      </c>
      <c r="DC518">
        <v>16.332519999999999</v>
      </c>
      <c r="DD518">
        <v>7.9891730000000001</v>
      </c>
      <c r="DE518">
        <v>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Q518" t="s">
        <v>126</v>
      </c>
    </row>
    <row r="519" spans="1:121" x14ac:dyDescent="0.15">
      <c r="A519">
        <v>2018</v>
      </c>
      <c r="B519" t="s">
        <v>287</v>
      </c>
      <c r="C519" t="str">
        <f t="shared" si="17"/>
        <v>0640011</v>
      </c>
      <c r="D519" t="s">
        <v>675</v>
      </c>
      <c r="E519" t="str">
        <f>"0647611"</f>
        <v>0647611</v>
      </c>
      <c r="F519" t="s">
        <v>328</v>
      </c>
      <c r="G519">
        <v>9</v>
      </c>
      <c r="H519">
        <v>12</v>
      </c>
      <c r="I519" t="s">
        <v>336</v>
      </c>
      <c r="J519" t="s">
        <v>331</v>
      </c>
      <c r="K519">
        <v>727.93141700000001</v>
      </c>
      <c r="L519">
        <v>1550</v>
      </c>
      <c r="M519">
        <v>46.963317000000004</v>
      </c>
      <c r="N519">
        <v>4</v>
      </c>
      <c r="O519">
        <v>0</v>
      </c>
      <c r="P519">
        <v>31.838889000000002</v>
      </c>
      <c r="Q519">
        <v>63.677778000000004</v>
      </c>
      <c r="R519">
        <v>150</v>
      </c>
      <c r="S519">
        <v>31.494047999999999</v>
      </c>
      <c r="T519" t="s">
        <v>125</v>
      </c>
      <c r="U519">
        <v>62.988095000000001</v>
      </c>
      <c r="V519">
        <v>150</v>
      </c>
      <c r="W519">
        <v>29.638888999999999</v>
      </c>
      <c r="X519">
        <v>59.277777999999998</v>
      </c>
      <c r="Y519">
        <v>150</v>
      </c>
      <c r="Z519" t="s">
        <v>125</v>
      </c>
      <c r="AA519">
        <v>29.922619000000001</v>
      </c>
      <c r="AB519">
        <v>59.845238000000002</v>
      </c>
      <c r="AC519">
        <v>150</v>
      </c>
      <c r="AD519">
        <v>36.029777000000003</v>
      </c>
      <c r="AE519">
        <v>48.039701999999998</v>
      </c>
      <c r="AF519">
        <v>100</v>
      </c>
      <c r="AG519">
        <v>36.267904999999999</v>
      </c>
      <c r="AH519" t="s">
        <v>125</v>
      </c>
      <c r="AI519">
        <v>48.357205999999998</v>
      </c>
      <c r="AJ519">
        <v>100</v>
      </c>
      <c r="AK519" t="s">
        <v>125</v>
      </c>
      <c r="AL519" t="s">
        <v>125</v>
      </c>
      <c r="AM519" t="s">
        <v>125</v>
      </c>
      <c r="AN519" t="s">
        <v>125</v>
      </c>
      <c r="AO519" t="s">
        <v>125</v>
      </c>
      <c r="AP519" t="s">
        <v>125</v>
      </c>
      <c r="AQ519" t="s">
        <v>125</v>
      </c>
      <c r="AR519" t="s">
        <v>125</v>
      </c>
      <c r="AS519" t="s">
        <v>125</v>
      </c>
      <c r="AT519" t="s">
        <v>125</v>
      </c>
      <c r="AU519" t="s">
        <v>125</v>
      </c>
      <c r="AV519" t="s">
        <v>125</v>
      </c>
      <c r="AW519" t="s">
        <v>125</v>
      </c>
      <c r="AX519" t="s">
        <v>125</v>
      </c>
      <c r="AY519" t="s">
        <v>125</v>
      </c>
      <c r="AZ519" t="s">
        <v>125</v>
      </c>
      <c r="BA519" t="s">
        <v>125</v>
      </c>
      <c r="BB519">
        <v>0.356626</v>
      </c>
      <c r="BC519">
        <v>17.831288000000001</v>
      </c>
      <c r="BD519">
        <v>50</v>
      </c>
      <c r="BE519">
        <v>0.25342399999999998</v>
      </c>
      <c r="BF519">
        <v>12.671181000000001</v>
      </c>
      <c r="BG519">
        <v>50</v>
      </c>
      <c r="BH519">
        <v>1</v>
      </c>
      <c r="BI519">
        <v>0.83333299999999999</v>
      </c>
      <c r="BJ519">
        <v>0.86486499999999999</v>
      </c>
      <c r="BK519" t="s">
        <v>125</v>
      </c>
      <c r="BL519">
        <v>0.83333299999999999</v>
      </c>
      <c r="BM519">
        <v>0.86486499999999999</v>
      </c>
      <c r="BN519" t="s">
        <v>125</v>
      </c>
      <c r="BO519">
        <v>0.90243899999999999</v>
      </c>
      <c r="BP519">
        <v>0.91666700000000001</v>
      </c>
      <c r="BQ519" t="s">
        <v>125</v>
      </c>
      <c r="BR519">
        <v>0.61780100000000004</v>
      </c>
      <c r="BS519">
        <v>0</v>
      </c>
      <c r="BT519">
        <v>50</v>
      </c>
      <c r="BU519">
        <v>0.668605</v>
      </c>
      <c r="BV519">
        <v>0</v>
      </c>
      <c r="BW519">
        <v>50</v>
      </c>
      <c r="BX519">
        <v>0.85555599999999998</v>
      </c>
      <c r="BY519">
        <v>50</v>
      </c>
      <c r="BZ519">
        <v>50</v>
      </c>
      <c r="CA519">
        <v>1.1110999999999999E-2</v>
      </c>
      <c r="CB519">
        <v>0.74074099999999998</v>
      </c>
      <c r="CC519">
        <v>50</v>
      </c>
      <c r="CD519">
        <v>0.34615400000000002</v>
      </c>
      <c r="CE519">
        <v>18.412438999999999</v>
      </c>
      <c r="CF519">
        <v>50</v>
      </c>
      <c r="CG519">
        <v>0.61224500000000004</v>
      </c>
      <c r="CH519">
        <v>65.132435999999998</v>
      </c>
      <c r="CI519">
        <v>100</v>
      </c>
      <c r="CJ519">
        <v>0</v>
      </c>
      <c r="CK519">
        <v>0.894737</v>
      </c>
      <c r="CL519">
        <v>95.18477</v>
      </c>
      <c r="CM519">
        <v>100</v>
      </c>
      <c r="CN519">
        <v>0.47619</v>
      </c>
      <c r="CO519">
        <v>63.492063000000002</v>
      </c>
      <c r="CP519">
        <v>100</v>
      </c>
      <c r="CQ519">
        <v>0.18421100000000001</v>
      </c>
      <c r="CR519">
        <v>1.5510200000000001</v>
      </c>
      <c r="CS519">
        <v>12.280702</v>
      </c>
      <c r="CT519">
        <v>50</v>
      </c>
      <c r="CU519">
        <v>0.63874299999999995</v>
      </c>
      <c r="CV519">
        <v>50</v>
      </c>
      <c r="CW519">
        <v>50</v>
      </c>
      <c r="CX519">
        <v>0.894737</v>
      </c>
      <c r="CY519" t="s">
        <v>125</v>
      </c>
      <c r="CZ519" t="s">
        <v>125</v>
      </c>
      <c r="DA519">
        <v>15.314097</v>
      </c>
      <c r="DB519">
        <v>17.400950000000002</v>
      </c>
      <c r="DC519">
        <v>16.332519999999999</v>
      </c>
      <c r="DD519">
        <v>7.9891730000000001</v>
      </c>
      <c r="DE519">
        <v>1</v>
      </c>
      <c r="DF519" t="s">
        <v>385</v>
      </c>
      <c r="DG519" t="s">
        <v>386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Q519" t="s">
        <v>126</v>
      </c>
    </row>
    <row r="520" spans="1:121" x14ac:dyDescent="0.15">
      <c r="A520">
        <v>2018</v>
      </c>
      <c r="B520" t="s">
        <v>287</v>
      </c>
      <c r="C520" t="str">
        <f t="shared" si="17"/>
        <v>0640011</v>
      </c>
      <c r="D520" t="s">
        <v>676</v>
      </c>
      <c r="E520" t="str">
        <f>"0647711"</f>
        <v>0647711</v>
      </c>
      <c r="F520" t="s">
        <v>328</v>
      </c>
      <c r="G520">
        <v>9</v>
      </c>
      <c r="H520">
        <v>12</v>
      </c>
      <c r="I520" t="s">
        <v>336</v>
      </c>
      <c r="J520" t="s">
        <v>331</v>
      </c>
      <c r="K520">
        <v>702.93456600000002</v>
      </c>
      <c r="L520">
        <v>1350</v>
      </c>
      <c r="M520">
        <v>52.069226999999998</v>
      </c>
      <c r="N520">
        <v>4</v>
      </c>
      <c r="O520">
        <v>0</v>
      </c>
      <c r="P520">
        <v>40.991453</v>
      </c>
      <c r="Q520">
        <v>81.982906</v>
      </c>
      <c r="R520">
        <v>150</v>
      </c>
      <c r="S520">
        <v>41.555556000000003</v>
      </c>
      <c r="T520" t="s">
        <v>125</v>
      </c>
      <c r="U520">
        <v>83.111110999999994</v>
      </c>
      <c r="V520">
        <v>150</v>
      </c>
      <c r="W520">
        <v>35.797009000000003</v>
      </c>
      <c r="X520">
        <v>71.594016999999994</v>
      </c>
      <c r="Y520">
        <v>150</v>
      </c>
      <c r="Z520" t="s">
        <v>125</v>
      </c>
      <c r="AA520">
        <v>36.544443999999999</v>
      </c>
      <c r="AB520">
        <v>73.088888999999995</v>
      </c>
      <c r="AC520">
        <v>150</v>
      </c>
      <c r="AD520">
        <v>41.776240999999999</v>
      </c>
      <c r="AE520">
        <v>55.701655000000002</v>
      </c>
      <c r="AF520">
        <v>100</v>
      </c>
      <c r="AG520">
        <v>41.858336999999999</v>
      </c>
      <c r="AH520" t="s">
        <v>125</v>
      </c>
      <c r="AI520">
        <v>55.811115999999998</v>
      </c>
      <c r="AJ520">
        <v>100</v>
      </c>
      <c r="AK520" t="s">
        <v>125</v>
      </c>
      <c r="AL520" t="s">
        <v>125</v>
      </c>
      <c r="AM520" t="s">
        <v>125</v>
      </c>
      <c r="AN520" t="s">
        <v>125</v>
      </c>
      <c r="AO520" t="s">
        <v>125</v>
      </c>
      <c r="AP520" t="s">
        <v>125</v>
      </c>
      <c r="AQ520" t="s">
        <v>125</v>
      </c>
      <c r="AR520" t="s">
        <v>125</v>
      </c>
      <c r="AS520" t="s">
        <v>125</v>
      </c>
      <c r="AT520" t="s">
        <v>125</v>
      </c>
      <c r="AU520" t="s">
        <v>125</v>
      </c>
      <c r="AV520" t="s">
        <v>125</v>
      </c>
      <c r="AW520" t="s">
        <v>125</v>
      </c>
      <c r="AX520" t="s">
        <v>125</v>
      </c>
      <c r="AY520" t="s">
        <v>125</v>
      </c>
      <c r="AZ520" t="s">
        <v>125</v>
      </c>
      <c r="BA520" t="s">
        <v>125</v>
      </c>
      <c r="BB520" t="s">
        <v>125</v>
      </c>
      <c r="BC520" t="s">
        <v>125</v>
      </c>
      <c r="BD520" t="s">
        <v>125</v>
      </c>
      <c r="BE520" t="s">
        <v>125</v>
      </c>
      <c r="BF520" t="s">
        <v>125</v>
      </c>
      <c r="BG520" t="s">
        <v>125</v>
      </c>
      <c r="BH520">
        <v>1</v>
      </c>
      <c r="BI520">
        <v>0.88235300000000005</v>
      </c>
      <c r="BJ520">
        <v>0.84615399999999996</v>
      </c>
      <c r="BK520" t="s">
        <v>125</v>
      </c>
      <c r="BL520">
        <v>0.88235300000000005</v>
      </c>
      <c r="BM520">
        <v>0.84615399999999996</v>
      </c>
      <c r="BN520" t="s">
        <v>125</v>
      </c>
      <c r="BO520">
        <v>0.94117600000000001</v>
      </c>
      <c r="BP520">
        <v>0.92307700000000004</v>
      </c>
      <c r="BQ520" t="s">
        <v>125</v>
      </c>
      <c r="BR520">
        <v>0.53896100000000002</v>
      </c>
      <c r="BS520">
        <v>0</v>
      </c>
      <c r="BT520">
        <v>50</v>
      </c>
      <c r="BU520">
        <v>0.57037000000000004</v>
      </c>
      <c r="BV520">
        <v>0</v>
      </c>
      <c r="BW520">
        <v>50</v>
      </c>
      <c r="BX520">
        <v>0.868421</v>
      </c>
      <c r="BY520">
        <v>50</v>
      </c>
      <c r="BZ520">
        <v>50</v>
      </c>
      <c r="CA520">
        <v>1.3158E-2</v>
      </c>
      <c r="CB520">
        <v>0.877193</v>
      </c>
      <c r="CC520">
        <v>50</v>
      </c>
      <c r="CD520">
        <v>0.61764699999999995</v>
      </c>
      <c r="CE520">
        <v>32.853566999999998</v>
      </c>
      <c r="CF520">
        <v>50</v>
      </c>
      <c r="CG520">
        <v>0.78571400000000002</v>
      </c>
      <c r="CH520">
        <v>83.586625999999995</v>
      </c>
      <c r="CI520">
        <v>100</v>
      </c>
      <c r="CJ520" t="s">
        <v>125</v>
      </c>
      <c r="CK520" t="s">
        <v>125</v>
      </c>
      <c r="CL520" t="s">
        <v>125</v>
      </c>
      <c r="CM520" t="s">
        <v>125</v>
      </c>
      <c r="CN520">
        <v>0.33333299999999999</v>
      </c>
      <c r="CO520">
        <v>44.444443999999997</v>
      </c>
      <c r="CP520">
        <v>100</v>
      </c>
      <c r="CQ520">
        <v>0.29824600000000001</v>
      </c>
      <c r="CR520">
        <v>1.295455</v>
      </c>
      <c r="CS520">
        <v>19.883040999999999</v>
      </c>
      <c r="CT520">
        <v>50</v>
      </c>
      <c r="CU520">
        <v>0.81168799999999997</v>
      </c>
      <c r="CV520">
        <v>50</v>
      </c>
      <c r="CW520">
        <v>50</v>
      </c>
      <c r="CX520" t="s">
        <v>125</v>
      </c>
      <c r="CY520" t="s">
        <v>125</v>
      </c>
      <c r="CZ520" t="s">
        <v>125</v>
      </c>
      <c r="DA520">
        <v>15.314097</v>
      </c>
      <c r="DB520">
        <v>17.400950000000002</v>
      </c>
      <c r="DC520">
        <v>16.332519999999999</v>
      </c>
      <c r="DD520" t="s">
        <v>125</v>
      </c>
      <c r="DE520">
        <v>1</v>
      </c>
      <c r="DF520" t="s">
        <v>385</v>
      </c>
      <c r="DG520" t="s">
        <v>386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Q520" t="s">
        <v>126</v>
      </c>
    </row>
    <row r="521" spans="1:121" x14ac:dyDescent="0.15">
      <c r="A521">
        <v>2018</v>
      </c>
      <c r="B521" t="s">
        <v>287</v>
      </c>
      <c r="C521" t="str">
        <f t="shared" si="17"/>
        <v>0640011</v>
      </c>
      <c r="D521" t="s">
        <v>677</v>
      </c>
      <c r="E521" t="str">
        <f>"0641011"</f>
        <v>0641011</v>
      </c>
      <c r="F521" t="s">
        <v>328</v>
      </c>
      <c r="G521" t="s">
        <v>329</v>
      </c>
      <c r="H521">
        <v>8</v>
      </c>
      <c r="I521" t="s">
        <v>336</v>
      </c>
      <c r="J521" t="s">
        <v>331</v>
      </c>
      <c r="K521">
        <v>571.77551500000004</v>
      </c>
      <c r="L521">
        <v>1000</v>
      </c>
      <c r="M521">
        <v>57.177551000000001</v>
      </c>
      <c r="N521">
        <v>3</v>
      </c>
      <c r="O521">
        <v>0</v>
      </c>
      <c r="P521">
        <v>52.105072999999997</v>
      </c>
      <c r="Q521">
        <v>34.736714999999997</v>
      </c>
      <c r="R521">
        <v>50</v>
      </c>
      <c r="S521">
        <v>51.676256000000002</v>
      </c>
      <c r="T521" t="s">
        <v>125</v>
      </c>
      <c r="U521">
        <v>34.450837</v>
      </c>
      <c r="V521">
        <v>50</v>
      </c>
      <c r="W521">
        <v>46.079473</v>
      </c>
      <c r="X521">
        <v>30.719649</v>
      </c>
      <c r="Y521">
        <v>50</v>
      </c>
      <c r="Z521" t="s">
        <v>125</v>
      </c>
      <c r="AA521">
        <v>45.527842999999997</v>
      </c>
      <c r="AB521">
        <v>30.351894999999999</v>
      </c>
      <c r="AC521">
        <v>50</v>
      </c>
      <c r="AD521">
        <v>50.121468</v>
      </c>
      <c r="AE521">
        <v>33.414312000000002</v>
      </c>
      <c r="AF521">
        <v>50</v>
      </c>
      <c r="AG521">
        <v>49.862976000000003</v>
      </c>
      <c r="AH521" t="s">
        <v>125</v>
      </c>
      <c r="AI521">
        <v>33.241984000000002</v>
      </c>
      <c r="AJ521">
        <v>50</v>
      </c>
      <c r="AK521" t="s">
        <v>125</v>
      </c>
      <c r="AL521" t="s">
        <v>125</v>
      </c>
      <c r="AM521" t="s">
        <v>125</v>
      </c>
      <c r="AN521">
        <v>0.53149599999999997</v>
      </c>
      <c r="AO521">
        <v>53.149610000000003</v>
      </c>
      <c r="AP521">
        <v>100</v>
      </c>
      <c r="AQ521">
        <v>0.40493400000000002</v>
      </c>
      <c r="AR521">
        <v>40.493442000000002</v>
      </c>
      <c r="AS521">
        <v>100</v>
      </c>
      <c r="AT521">
        <v>0.52566599999999997</v>
      </c>
      <c r="AU521" t="s">
        <v>125</v>
      </c>
      <c r="AV521">
        <v>52.56662</v>
      </c>
      <c r="AW521">
        <v>100</v>
      </c>
      <c r="AX521">
        <v>0.39796900000000002</v>
      </c>
      <c r="AY521" t="s">
        <v>125</v>
      </c>
      <c r="AZ521">
        <v>39.796883000000001</v>
      </c>
      <c r="BA521">
        <v>100</v>
      </c>
      <c r="BB521">
        <v>0.56724799999999997</v>
      </c>
      <c r="BC521">
        <v>28.362379000000001</v>
      </c>
      <c r="BD521">
        <v>50</v>
      </c>
      <c r="BE521">
        <v>0.42559900000000001</v>
      </c>
      <c r="BF521">
        <v>21.279927000000001</v>
      </c>
      <c r="BG521">
        <v>50</v>
      </c>
      <c r="BH521">
        <v>0</v>
      </c>
      <c r="BI521">
        <v>0.99058800000000002</v>
      </c>
      <c r="BJ521">
        <v>0.99</v>
      </c>
      <c r="BK521">
        <v>1</v>
      </c>
      <c r="BL521">
        <v>0.98823499999999997</v>
      </c>
      <c r="BM521">
        <v>0.98750000000000004</v>
      </c>
      <c r="BN521">
        <v>1</v>
      </c>
      <c r="BO521">
        <v>0.98449600000000004</v>
      </c>
      <c r="BP521">
        <v>0.98347099999999998</v>
      </c>
      <c r="BQ521" t="s">
        <v>125</v>
      </c>
      <c r="BR521">
        <v>0.15231800000000001</v>
      </c>
      <c r="BS521">
        <v>29.536424</v>
      </c>
      <c r="BT521">
        <v>50</v>
      </c>
      <c r="BU521">
        <v>0.15937000000000001</v>
      </c>
      <c r="BV521">
        <v>28.126094999999999</v>
      </c>
      <c r="BW521">
        <v>50</v>
      </c>
      <c r="BX521" t="s">
        <v>125</v>
      </c>
      <c r="BY521" t="s">
        <v>125</v>
      </c>
      <c r="BZ521" t="s">
        <v>125</v>
      </c>
      <c r="CA521" t="s">
        <v>125</v>
      </c>
      <c r="CB521" t="s">
        <v>125</v>
      </c>
      <c r="CC521" t="s">
        <v>125</v>
      </c>
      <c r="CD521">
        <v>0.83018899999999995</v>
      </c>
      <c r="CE521">
        <v>44.158971999999999</v>
      </c>
      <c r="CF521">
        <v>50</v>
      </c>
      <c r="CG521" t="s">
        <v>125</v>
      </c>
      <c r="CH521" t="s">
        <v>125</v>
      </c>
      <c r="CI521" t="s">
        <v>125</v>
      </c>
      <c r="CJ521" t="s">
        <v>125</v>
      </c>
      <c r="CK521" t="s">
        <v>125</v>
      </c>
      <c r="CL521" t="s">
        <v>125</v>
      </c>
      <c r="CM521" t="s">
        <v>125</v>
      </c>
      <c r="CN521" t="s">
        <v>125</v>
      </c>
      <c r="CO521" t="s">
        <v>125</v>
      </c>
      <c r="CP521" t="s">
        <v>125</v>
      </c>
      <c r="CQ521">
        <v>0.56084699999999998</v>
      </c>
      <c r="CR521">
        <v>0.984375</v>
      </c>
      <c r="CS521">
        <v>37.389771000000003</v>
      </c>
      <c r="CT521">
        <v>50</v>
      </c>
      <c r="CU521" t="s">
        <v>125</v>
      </c>
      <c r="CV521" t="s">
        <v>125</v>
      </c>
      <c r="CW521" t="s">
        <v>125</v>
      </c>
      <c r="CX521" t="s">
        <v>125</v>
      </c>
      <c r="CY521" t="s">
        <v>125</v>
      </c>
      <c r="CZ521" t="s">
        <v>125</v>
      </c>
      <c r="DA521">
        <v>15.314097</v>
      </c>
      <c r="DB521">
        <v>17.400950000000002</v>
      </c>
      <c r="DC521">
        <v>16.332519999999999</v>
      </c>
      <c r="DD521" t="s">
        <v>125</v>
      </c>
      <c r="DE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Q521" t="s">
        <v>126</v>
      </c>
    </row>
    <row r="522" spans="1:121" x14ac:dyDescent="0.15">
      <c r="A522">
        <v>2018</v>
      </c>
      <c r="B522" t="s">
        <v>287</v>
      </c>
      <c r="C522" t="str">
        <f t="shared" si="17"/>
        <v>0640011</v>
      </c>
      <c r="D522" t="s">
        <v>678</v>
      </c>
      <c r="E522" t="str">
        <f>"0641111"</f>
        <v>0641111</v>
      </c>
      <c r="F522" t="s">
        <v>328</v>
      </c>
      <c r="G522" t="s">
        <v>329</v>
      </c>
      <c r="H522">
        <v>12</v>
      </c>
      <c r="I522" t="s">
        <v>336</v>
      </c>
      <c r="J522" t="s">
        <v>331</v>
      </c>
      <c r="K522">
        <v>935.54402500000003</v>
      </c>
      <c r="L522">
        <v>1450</v>
      </c>
      <c r="M522">
        <v>64.520278000000005</v>
      </c>
      <c r="N522">
        <v>3</v>
      </c>
      <c r="O522">
        <v>0</v>
      </c>
      <c r="P522">
        <v>58.075564999999997</v>
      </c>
      <c r="Q522">
        <v>38.717042999999997</v>
      </c>
      <c r="R522">
        <v>50</v>
      </c>
      <c r="S522">
        <v>56.065941000000002</v>
      </c>
      <c r="T522">
        <v>67.806374000000005</v>
      </c>
      <c r="U522">
        <v>37.377293999999999</v>
      </c>
      <c r="V522">
        <v>50</v>
      </c>
      <c r="W522">
        <v>50.807555999999998</v>
      </c>
      <c r="X522">
        <v>33.871704000000001</v>
      </c>
      <c r="Y522">
        <v>50</v>
      </c>
      <c r="Z522">
        <v>62.595109999999998</v>
      </c>
      <c r="AA522">
        <v>48.366536000000004</v>
      </c>
      <c r="AB522">
        <v>32.244357999999998</v>
      </c>
      <c r="AC522">
        <v>50</v>
      </c>
      <c r="AD522">
        <v>54.121642999999999</v>
      </c>
      <c r="AE522">
        <v>36.081094999999998</v>
      </c>
      <c r="AF522">
        <v>50</v>
      </c>
      <c r="AG522">
        <v>51.926710999999997</v>
      </c>
      <c r="AH522">
        <v>67.554626999999996</v>
      </c>
      <c r="AI522">
        <v>34.617806999999999</v>
      </c>
      <c r="AJ522">
        <v>50</v>
      </c>
      <c r="AK522">
        <v>11.74</v>
      </c>
      <c r="AL522">
        <v>14.22</v>
      </c>
      <c r="AM522">
        <v>15.62</v>
      </c>
      <c r="AN522">
        <v>0.54826799999999998</v>
      </c>
      <c r="AO522">
        <v>54.826822</v>
      </c>
      <c r="AP522">
        <v>100</v>
      </c>
      <c r="AQ522">
        <v>0.472916</v>
      </c>
      <c r="AR522">
        <v>47.291592999999999</v>
      </c>
      <c r="AS522">
        <v>100</v>
      </c>
      <c r="AT522">
        <v>0.53895700000000002</v>
      </c>
      <c r="AU522">
        <v>0.60724</v>
      </c>
      <c r="AV522">
        <v>53.895695000000003</v>
      </c>
      <c r="AW522">
        <v>100</v>
      </c>
      <c r="AX522">
        <v>0.46505099999999999</v>
      </c>
      <c r="AY522">
        <v>0.522899</v>
      </c>
      <c r="AZ522">
        <v>46.505139999999997</v>
      </c>
      <c r="BA522">
        <v>100</v>
      </c>
      <c r="BB522">
        <v>0.58303899999999997</v>
      </c>
      <c r="BC522">
        <v>29.151975</v>
      </c>
      <c r="BD522">
        <v>50</v>
      </c>
      <c r="BE522">
        <v>0.45346199999999998</v>
      </c>
      <c r="BF522">
        <v>22.673075999999998</v>
      </c>
      <c r="BG522">
        <v>50</v>
      </c>
      <c r="BH522">
        <v>0</v>
      </c>
      <c r="BI522">
        <v>0.99776799999999999</v>
      </c>
      <c r="BJ522">
        <v>0.99731199999999998</v>
      </c>
      <c r="BK522">
        <v>1</v>
      </c>
      <c r="BL522">
        <v>0.99776299999999996</v>
      </c>
      <c r="BM522">
        <v>0.997305</v>
      </c>
      <c r="BN522">
        <v>1</v>
      </c>
      <c r="BO522">
        <v>0.98342499999999999</v>
      </c>
      <c r="BP522">
        <v>0.987097</v>
      </c>
      <c r="BQ522">
        <v>0.961538</v>
      </c>
      <c r="BR522">
        <v>0.14016200000000001</v>
      </c>
      <c r="BS522">
        <v>31.967655000000001</v>
      </c>
      <c r="BT522">
        <v>50</v>
      </c>
      <c r="BU522">
        <v>0.16176499999999999</v>
      </c>
      <c r="BV522">
        <v>27.647058999999999</v>
      </c>
      <c r="BW522">
        <v>50</v>
      </c>
      <c r="BX522">
        <v>3.8462000000000003E-2</v>
      </c>
      <c r="BY522">
        <v>2.5641029999999998</v>
      </c>
      <c r="BZ522">
        <v>50</v>
      </c>
      <c r="CA522">
        <v>8.9744000000000004E-2</v>
      </c>
      <c r="CB522">
        <v>5.9829059999999998</v>
      </c>
      <c r="CC522">
        <v>50</v>
      </c>
      <c r="CD522">
        <v>0.94642899999999996</v>
      </c>
      <c r="CE522">
        <v>50</v>
      </c>
      <c r="CF522">
        <v>50</v>
      </c>
      <c r="CG522">
        <v>1</v>
      </c>
      <c r="CH522">
        <v>100</v>
      </c>
      <c r="CI522">
        <v>100</v>
      </c>
      <c r="CJ522">
        <v>0</v>
      </c>
      <c r="CK522">
        <v>0.96969700000000003</v>
      </c>
      <c r="CL522">
        <v>100</v>
      </c>
      <c r="CM522">
        <v>100</v>
      </c>
      <c r="CN522">
        <v>0.62162200000000001</v>
      </c>
      <c r="CO522">
        <v>82.882883000000007</v>
      </c>
      <c r="CP522">
        <v>100</v>
      </c>
      <c r="CQ522">
        <v>0.258687</v>
      </c>
      <c r="CR522">
        <v>1.0443549999999999</v>
      </c>
      <c r="CS522">
        <v>17.245816999999999</v>
      </c>
      <c r="CT522">
        <v>50</v>
      </c>
      <c r="CU522">
        <v>0.98275900000000005</v>
      </c>
      <c r="CV522">
        <v>50</v>
      </c>
      <c r="CW522">
        <v>50</v>
      </c>
      <c r="CX522">
        <v>0.96969700000000003</v>
      </c>
      <c r="CY522" t="s">
        <v>125</v>
      </c>
      <c r="CZ522" t="s">
        <v>125</v>
      </c>
      <c r="DA522">
        <v>15.314097</v>
      </c>
      <c r="DB522">
        <v>17.400950000000002</v>
      </c>
      <c r="DC522">
        <v>16.332519999999999</v>
      </c>
      <c r="DD522">
        <v>7.9891730000000001</v>
      </c>
      <c r="DE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Q522" t="s">
        <v>126</v>
      </c>
    </row>
    <row r="523" spans="1:121" x14ac:dyDescent="0.15">
      <c r="A523">
        <v>2018</v>
      </c>
      <c r="B523" t="s">
        <v>287</v>
      </c>
      <c r="C523" t="str">
        <f t="shared" si="17"/>
        <v>0640011</v>
      </c>
      <c r="D523" t="s">
        <v>679</v>
      </c>
      <c r="E523" t="str">
        <f>"0640811"</f>
        <v>0640811</v>
      </c>
      <c r="F523" t="s">
        <v>328</v>
      </c>
      <c r="G523" t="s">
        <v>329</v>
      </c>
      <c r="H523">
        <v>8</v>
      </c>
      <c r="I523" t="s">
        <v>336</v>
      </c>
      <c r="J523" t="s">
        <v>331</v>
      </c>
      <c r="K523">
        <v>574.53725499999996</v>
      </c>
      <c r="L523">
        <v>1000</v>
      </c>
      <c r="M523">
        <v>57.453724999999999</v>
      </c>
      <c r="N523">
        <v>3</v>
      </c>
      <c r="O523">
        <v>0</v>
      </c>
      <c r="P523">
        <v>49.352896999999999</v>
      </c>
      <c r="Q523">
        <v>32.901930999999998</v>
      </c>
      <c r="R523">
        <v>50</v>
      </c>
      <c r="S523">
        <v>49.230265000000003</v>
      </c>
      <c r="T523" t="s">
        <v>125</v>
      </c>
      <c r="U523">
        <v>32.820175999999996</v>
      </c>
      <c r="V523">
        <v>50</v>
      </c>
      <c r="W523">
        <v>47.122504999999997</v>
      </c>
      <c r="X523">
        <v>31.415004</v>
      </c>
      <c r="Y523">
        <v>50</v>
      </c>
      <c r="Z523" t="s">
        <v>125</v>
      </c>
      <c r="AA523">
        <v>46.998092</v>
      </c>
      <c r="AB523">
        <v>31.332060999999999</v>
      </c>
      <c r="AC523">
        <v>50</v>
      </c>
      <c r="AD523">
        <v>48.450187999999997</v>
      </c>
      <c r="AE523">
        <v>32.300125999999999</v>
      </c>
      <c r="AF523">
        <v>50</v>
      </c>
      <c r="AG523">
        <v>48.029730000000001</v>
      </c>
      <c r="AH523" t="s">
        <v>125</v>
      </c>
      <c r="AI523">
        <v>32.019820000000003</v>
      </c>
      <c r="AJ523">
        <v>50</v>
      </c>
      <c r="AK523" t="s">
        <v>125</v>
      </c>
      <c r="AL523" t="s">
        <v>125</v>
      </c>
      <c r="AM523" t="s">
        <v>125</v>
      </c>
      <c r="AN523">
        <v>0.48902899999999999</v>
      </c>
      <c r="AO523">
        <v>48.902920000000002</v>
      </c>
      <c r="AP523">
        <v>100</v>
      </c>
      <c r="AQ523">
        <v>0.70419799999999999</v>
      </c>
      <c r="AR523">
        <v>70.419842000000003</v>
      </c>
      <c r="AS523">
        <v>100</v>
      </c>
      <c r="AT523">
        <v>0.48849399999999998</v>
      </c>
      <c r="AU523" t="s">
        <v>125</v>
      </c>
      <c r="AV523">
        <v>48.849437000000002</v>
      </c>
      <c r="AW523">
        <v>100</v>
      </c>
      <c r="AX523">
        <v>0.70225300000000002</v>
      </c>
      <c r="AY523" t="s">
        <v>125</v>
      </c>
      <c r="AZ523">
        <v>70.225302999999997</v>
      </c>
      <c r="BA523">
        <v>100</v>
      </c>
      <c r="BB523">
        <v>0.55623900000000004</v>
      </c>
      <c r="BC523">
        <v>27.811957</v>
      </c>
      <c r="BD523">
        <v>50</v>
      </c>
      <c r="BE523">
        <v>0.47883399999999998</v>
      </c>
      <c r="BF523">
        <v>23.941711999999999</v>
      </c>
      <c r="BG523">
        <v>50</v>
      </c>
      <c r="BH523">
        <v>0</v>
      </c>
      <c r="BI523">
        <v>0.99710100000000002</v>
      </c>
      <c r="BJ523">
        <v>0.99697899999999995</v>
      </c>
      <c r="BK523" t="s">
        <v>125</v>
      </c>
      <c r="BL523">
        <v>0.99416899999999997</v>
      </c>
      <c r="BM523">
        <v>0.99392100000000005</v>
      </c>
      <c r="BN523" t="s">
        <v>125</v>
      </c>
      <c r="BO523">
        <v>0.98130799999999996</v>
      </c>
      <c r="BP523">
        <v>0.98058299999999998</v>
      </c>
      <c r="BQ523" t="s">
        <v>125</v>
      </c>
      <c r="BR523">
        <v>0.26804099999999997</v>
      </c>
      <c r="BS523">
        <v>6.3917529999999996</v>
      </c>
      <c r="BT523">
        <v>50</v>
      </c>
      <c r="BU523">
        <v>0.26964300000000002</v>
      </c>
      <c r="BV523">
        <v>6.0714290000000002</v>
      </c>
      <c r="BW523">
        <v>50</v>
      </c>
      <c r="BX523" t="s">
        <v>125</v>
      </c>
      <c r="BY523" t="s">
        <v>125</v>
      </c>
      <c r="BZ523" t="s">
        <v>125</v>
      </c>
      <c r="CA523" t="s">
        <v>125</v>
      </c>
      <c r="CB523" t="s">
        <v>125</v>
      </c>
      <c r="CC523" t="s">
        <v>125</v>
      </c>
      <c r="CD523">
        <v>0.868421</v>
      </c>
      <c r="CE523">
        <v>46.192608999999997</v>
      </c>
      <c r="CF523">
        <v>50</v>
      </c>
      <c r="CG523" t="s">
        <v>125</v>
      </c>
      <c r="CH523" t="s">
        <v>125</v>
      </c>
      <c r="CI523" t="s">
        <v>125</v>
      </c>
      <c r="CJ523" t="s">
        <v>125</v>
      </c>
      <c r="CK523" t="s">
        <v>125</v>
      </c>
      <c r="CL523" t="s">
        <v>125</v>
      </c>
      <c r="CM523" t="s">
        <v>125</v>
      </c>
      <c r="CN523" t="s">
        <v>125</v>
      </c>
      <c r="CO523" t="s">
        <v>125</v>
      </c>
      <c r="CP523" t="s">
        <v>125</v>
      </c>
      <c r="CQ523">
        <v>0.494118</v>
      </c>
      <c r="CR523">
        <v>1.042945</v>
      </c>
      <c r="CS523">
        <v>32.941175999999999</v>
      </c>
      <c r="CT523">
        <v>50</v>
      </c>
      <c r="CU523" t="s">
        <v>125</v>
      </c>
      <c r="CV523" t="s">
        <v>125</v>
      </c>
      <c r="CW523" t="s">
        <v>125</v>
      </c>
      <c r="CX523" t="s">
        <v>125</v>
      </c>
      <c r="CY523" t="s">
        <v>125</v>
      </c>
      <c r="CZ523" t="s">
        <v>125</v>
      </c>
      <c r="DA523">
        <v>15.314097</v>
      </c>
      <c r="DB523">
        <v>17.400950000000002</v>
      </c>
      <c r="DC523">
        <v>16.332519999999999</v>
      </c>
      <c r="DD523" t="s">
        <v>125</v>
      </c>
      <c r="DE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Q523" t="s">
        <v>126</v>
      </c>
    </row>
    <row r="524" spans="1:121" x14ac:dyDescent="0.15">
      <c r="A524">
        <v>2018</v>
      </c>
      <c r="B524" t="s">
        <v>287</v>
      </c>
      <c r="C524" t="str">
        <f t="shared" si="17"/>
        <v>0640011</v>
      </c>
      <c r="D524" t="s">
        <v>680</v>
      </c>
      <c r="E524" t="str">
        <f>"0641611"</f>
        <v>0641611</v>
      </c>
      <c r="F524" t="s">
        <v>328</v>
      </c>
      <c r="G524">
        <v>6</v>
      </c>
      <c r="H524">
        <v>8</v>
      </c>
      <c r="I524" t="s">
        <v>336</v>
      </c>
      <c r="J524" t="s">
        <v>331</v>
      </c>
      <c r="K524">
        <v>454.86694199999999</v>
      </c>
      <c r="L524">
        <v>850</v>
      </c>
      <c r="M524">
        <v>53.513758000000003</v>
      </c>
      <c r="N524">
        <v>5</v>
      </c>
      <c r="O524">
        <v>0</v>
      </c>
      <c r="P524">
        <v>48.499692000000003</v>
      </c>
      <c r="Q524">
        <v>32.333128000000002</v>
      </c>
      <c r="R524">
        <v>50</v>
      </c>
      <c r="S524">
        <v>48.052227000000002</v>
      </c>
      <c r="T524" t="s">
        <v>125</v>
      </c>
      <c r="U524">
        <v>32.034818000000001</v>
      </c>
      <c r="V524">
        <v>50</v>
      </c>
      <c r="W524">
        <v>37.211013999999999</v>
      </c>
      <c r="X524">
        <v>24.807341999999998</v>
      </c>
      <c r="Y524">
        <v>50</v>
      </c>
      <c r="Z524" t="s">
        <v>125</v>
      </c>
      <c r="AA524">
        <v>36.607104999999997</v>
      </c>
      <c r="AB524">
        <v>24.404737000000001</v>
      </c>
      <c r="AC524">
        <v>50</v>
      </c>
      <c r="AD524">
        <v>52.499361</v>
      </c>
      <c r="AE524">
        <v>34.999574000000003</v>
      </c>
      <c r="AF524">
        <v>50</v>
      </c>
      <c r="AG524">
        <v>51.889654999999998</v>
      </c>
      <c r="AH524" t="s">
        <v>125</v>
      </c>
      <c r="AI524">
        <v>34.593102999999999</v>
      </c>
      <c r="AJ524">
        <v>50</v>
      </c>
      <c r="AK524" t="s">
        <v>125</v>
      </c>
      <c r="AL524" t="s">
        <v>125</v>
      </c>
      <c r="AM524" t="s">
        <v>125</v>
      </c>
      <c r="AN524">
        <v>0.55372100000000002</v>
      </c>
      <c r="AO524">
        <v>55.372118999999998</v>
      </c>
      <c r="AP524">
        <v>100</v>
      </c>
      <c r="AQ524">
        <v>0.35346100000000003</v>
      </c>
      <c r="AR524">
        <v>35.346055999999997</v>
      </c>
      <c r="AS524">
        <v>100</v>
      </c>
      <c r="AT524">
        <v>0.55281899999999995</v>
      </c>
      <c r="AU524" t="s">
        <v>125</v>
      </c>
      <c r="AV524">
        <v>55.281886999999998</v>
      </c>
      <c r="AW524">
        <v>100</v>
      </c>
      <c r="AX524">
        <v>0.35089300000000001</v>
      </c>
      <c r="AY524" t="s">
        <v>125</v>
      </c>
      <c r="AZ524">
        <v>35.089286999999999</v>
      </c>
      <c r="BA524">
        <v>100</v>
      </c>
      <c r="BB524" t="s">
        <v>125</v>
      </c>
      <c r="BC524" t="s">
        <v>125</v>
      </c>
      <c r="BD524" t="s">
        <v>125</v>
      </c>
      <c r="BE524" t="s">
        <v>125</v>
      </c>
      <c r="BF524" t="s">
        <v>125</v>
      </c>
      <c r="BG524" t="s">
        <v>125</v>
      </c>
      <c r="BH524">
        <v>0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 t="s">
        <v>125</v>
      </c>
      <c r="BR524">
        <v>0.19459499999999999</v>
      </c>
      <c r="BS524">
        <v>21.081081000000001</v>
      </c>
      <c r="BT524">
        <v>50</v>
      </c>
      <c r="BU524">
        <v>0.20238100000000001</v>
      </c>
      <c r="BV524">
        <v>19.523810000000001</v>
      </c>
      <c r="BW524">
        <v>50</v>
      </c>
      <c r="BX524" t="s">
        <v>125</v>
      </c>
      <c r="BY524" t="s">
        <v>125</v>
      </c>
      <c r="BZ524" t="s">
        <v>125</v>
      </c>
      <c r="CA524" t="s">
        <v>125</v>
      </c>
      <c r="CB524" t="s">
        <v>125</v>
      </c>
      <c r="CC524" t="s">
        <v>125</v>
      </c>
      <c r="CD524" t="s">
        <v>125</v>
      </c>
      <c r="CE524" t="s">
        <v>125</v>
      </c>
      <c r="CF524" t="s">
        <v>125</v>
      </c>
      <c r="CG524" t="s">
        <v>125</v>
      </c>
      <c r="CH524" t="s">
        <v>125</v>
      </c>
      <c r="CI524" t="s">
        <v>125</v>
      </c>
      <c r="CJ524" t="s">
        <v>125</v>
      </c>
      <c r="CK524" t="s">
        <v>125</v>
      </c>
      <c r="CL524" t="s">
        <v>125</v>
      </c>
      <c r="CM524" t="s">
        <v>125</v>
      </c>
      <c r="CN524" t="s">
        <v>125</v>
      </c>
      <c r="CO524" t="s">
        <v>125</v>
      </c>
      <c r="CP524" t="s">
        <v>125</v>
      </c>
      <c r="CQ524">
        <v>0.894737</v>
      </c>
      <c r="CR524">
        <v>1</v>
      </c>
      <c r="CS524">
        <v>50</v>
      </c>
      <c r="CT524">
        <v>50</v>
      </c>
      <c r="CU524" t="s">
        <v>125</v>
      </c>
      <c r="CV524" t="s">
        <v>125</v>
      </c>
      <c r="CW524" t="s">
        <v>125</v>
      </c>
      <c r="CX524" t="s">
        <v>125</v>
      </c>
      <c r="CY524" t="s">
        <v>125</v>
      </c>
      <c r="CZ524" t="s">
        <v>125</v>
      </c>
      <c r="DA524">
        <v>15.314097</v>
      </c>
      <c r="DB524">
        <v>17.400950000000002</v>
      </c>
      <c r="DC524">
        <v>16.332519999999999</v>
      </c>
      <c r="DD524" t="s">
        <v>125</v>
      </c>
      <c r="DE524">
        <v>0</v>
      </c>
      <c r="DF524" t="s">
        <v>376</v>
      </c>
      <c r="DG524" t="s">
        <v>377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Q524" t="s">
        <v>126</v>
      </c>
    </row>
    <row r="525" spans="1:121" x14ac:dyDescent="0.15">
      <c r="A525">
        <v>2018</v>
      </c>
      <c r="B525" t="s">
        <v>287</v>
      </c>
      <c r="C525" t="str">
        <f t="shared" si="17"/>
        <v>0640011</v>
      </c>
      <c r="D525" t="s">
        <v>681</v>
      </c>
      <c r="E525" t="str">
        <f>"0641211"</f>
        <v>0641211</v>
      </c>
      <c r="F525" t="s">
        <v>328</v>
      </c>
      <c r="G525">
        <v>6</v>
      </c>
      <c r="H525">
        <v>8</v>
      </c>
      <c r="I525" t="s">
        <v>336</v>
      </c>
      <c r="J525" t="s">
        <v>331</v>
      </c>
      <c r="K525">
        <v>477.34872000000001</v>
      </c>
      <c r="L525">
        <v>1000</v>
      </c>
      <c r="M525">
        <v>47.734872000000003</v>
      </c>
      <c r="N525">
        <v>5</v>
      </c>
      <c r="O525">
        <v>0</v>
      </c>
      <c r="P525">
        <v>47.839433</v>
      </c>
      <c r="Q525">
        <v>31.892955000000001</v>
      </c>
      <c r="R525">
        <v>50</v>
      </c>
      <c r="S525">
        <v>47.545760999999999</v>
      </c>
      <c r="T525" t="s">
        <v>125</v>
      </c>
      <c r="U525">
        <v>31.697174</v>
      </c>
      <c r="V525">
        <v>50</v>
      </c>
      <c r="W525">
        <v>37.888126999999997</v>
      </c>
      <c r="X525">
        <v>25.258752000000001</v>
      </c>
      <c r="Y525">
        <v>50</v>
      </c>
      <c r="Z525" t="s">
        <v>125</v>
      </c>
      <c r="AA525">
        <v>37.459100999999997</v>
      </c>
      <c r="AB525">
        <v>24.972733999999999</v>
      </c>
      <c r="AC525">
        <v>50</v>
      </c>
      <c r="AD525">
        <v>50.930608999999997</v>
      </c>
      <c r="AE525">
        <v>33.953738999999999</v>
      </c>
      <c r="AF525">
        <v>50</v>
      </c>
      <c r="AG525">
        <v>50.675862000000002</v>
      </c>
      <c r="AH525" t="s">
        <v>125</v>
      </c>
      <c r="AI525">
        <v>33.783907999999997</v>
      </c>
      <c r="AJ525">
        <v>50</v>
      </c>
      <c r="AK525" t="s">
        <v>125</v>
      </c>
      <c r="AL525" t="s">
        <v>125</v>
      </c>
      <c r="AM525" t="s">
        <v>125</v>
      </c>
      <c r="AN525">
        <v>0.47993599999999997</v>
      </c>
      <c r="AO525">
        <v>47.993591000000002</v>
      </c>
      <c r="AP525">
        <v>100</v>
      </c>
      <c r="AQ525">
        <v>0.35802</v>
      </c>
      <c r="AR525">
        <v>35.801952999999997</v>
      </c>
      <c r="AS525">
        <v>100</v>
      </c>
      <c r="AT525">
        <v>0.47590500000000002</v>
      </c>
      <c r="AU525" t="s">
        <v>125</v>
      </c>
      <c r="AV525">
        <v>47.590544000000001</v>
      </c>
      <c r="AW525">
        <v>100</v>
      </c>
      <c r="AX525">
        <v>0.35556500000000002</v>
      </c>
      <c r="AY525" t="s">
        <v>125</v>
      </c>
      <c r="AZ525">
        <v>35.556511</v>
      </c>
      <c r="BA525">
        <v>100</v>
      </c>
      <c r="BB525">
        <v>0.59350000000000003</v>
      </c>
      <c r="BC525">
        <v>29.675024000000001</v>
      </c>
      <c r="BD525">
        <v>50</v>
      </c>
      <c r="BE525">
        <v>0.44396000000000002</v>
      </c>
      <c r="BF525">
        <v>22.198018999999999</v>
      </c>
      <c r="BG525">
        <v>50</v>
      </c>
      <c r="BH525">
        <v>0</v>
      </c>
      <c r="BI525">
        <v>0.966777</v>
      </c>
      <c r="BJ525">
        <v>0.97857099999999997</v>
      </c>
      <c r="BK525">
        <v>0.80952400000000002</v>
      </c>
      <c r="BL525">
        <v>0.953488</v>
      </c>
      <c r="BM525">
        <v>0.96415799999999996</v>
      </c>
      <c r="BN525">
        <v>0.81818199999999996</v>
      </c>
      <c r="BO525">
        <v>0.97196300000000002</v>
      </c>
      <c r="BP525">
        <v>0.98969099999999999</v>
      </c>
      <c r="BQ525" t="s">
        <v>125</v>
      </c>
      <c r="BR525">
        <v>0.25418099999999999</v>
      </c>
      <c r="BS525">
        <v>9.1638800000000007</v>
      </c>
      <c r="BT525">
        <v>50</v>
      </c>
      <c r="BU525">
        <v>0.25613999999999998</v>
      </c>
      <c r="BV525">
        <v>8.7719299999999993</v>
      </c>
      <c r="BW525">
        <v>50</v>
      </c>
      <c r="BX525" t="s">
        <v>125</v>
      </c>
      <c r="BY525" t="s">
        <v>125</v>
      </c>
      <c r="BZ525" t="s">
        <v>125</v>
      </c>
      <c r="CA525" t="s">
        <v>125</v>
      </c>
      <c r="CB525" t="s">
        <v>125</v>
      </c>
      <c r="CC525" t="s">
        <v>125</v>
      </c>
      <c r="CD525">
        <v>0.75641000000000003</v>
      </c>
      <c r="CE525">
        <v>40.234588000000002</v>
      </c>
      <c r="CF525">
        <v>50</v>
      </c>
      <c r="CG525" t="s">
        <v>125</v>
      </c>
      <c r="CH525" t="s">
        <v>125</v>
      </c>
      <c r="CI525" t="s">
        <v>125</v>
      </c>
      <c r="CJ525" t="s">
        <v>125</v>
      </c>
      <c r="CK525" t="s">
        <v>125</v>
      </c>
      <c r="CL525" t="s">
        <v>125</v>
      </c>
      <c r="CM525" t="s">
        <v>125</v>
      </c>
      <c r="CN525" t="s">
        <v>125</v>
      </c>
      <c r="CO525" t="s">
        <v>125</v>
      </c>
      <c r="CP525" t="s">
        <v>125</v>
      </c>
      <c r="CQ525">
        <v>0.282051</v>
      </c>
      <c r="CR525">
        <v>0.96059099999999997</v>
      </c>
      <c r="CS525">
        <v>18.803419000000002</v>
      </c>
      <c r="CT525">
        <v>50</v>
      </c>
      <c r="CU525" t="s">
        <v>125</v>
      </c>
      <c r="CV525" t="s">
        <v>125</v>
      </c>
      <c r="CW525" t="s">
        <v>125</v>
      </c>
      <c r="CX525" t="s">
        <v>125</v>
      </c>
      <c r="CY525" t="s">
        <v>125</v>
      </c>
      <c r="CZ525" t="s">
        <v>125</v>
      </c>
      <c r="DA525">
        <v>15.314097</v>
      </c>
      <c r="DB525">
        <v>17.400950000000002</v>
      </c>
      <c r="DC525">
        <v>16.332519999999999</v>
      </c>
      <c r="DD525" t="s">
        <v>125</v>
      </c>
      <c r="DE525">
        <v>0</v>
      </c>
      <c r="DF525" t="s">
        <v>376</v>
      </c>
      <c r="DG525" t="s">
        <v>377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Q525" t="s">
        <v>126</v>
      </c>
    </row>
    <row r="526" spans="1:121" x14ac:dyDescent="0.15">
      <c r="A526">
        <v>2018</v>
      </c>
      <c r="B526" t="s">
        <v>287</v>
      </c>
      <c r="C526" t="str">
        <f t="shared" si="17"/>
        <v>0640011</v>
      </c>
      <c r="D526" t="s">
        <v>682</v>
      </c>
      <c r="E526" t="str">
        <f>"0641911"</f>
        <v>0641911</v>
      </c>
      <c r="F526" t="s">
        <v>328</v>
      </c>
      <c r="G526" t="s">
        <v>329</v>
      </c>
      <c r="H526">
        <v>8</v>
      </c>
      <c r="I526" t="s">
        <v>336</v>
      </c>
      <c r="J526" t="s">
        <v>331</v>
      </c>
      <c r="K526">
        <v>496.85789199999999</v>
      </c>
      <c r="L526">
        <v>1000</v>
      </c>
      <c r="M526">
        <v>49.685789</v>
      </c>
      <c r="N526">
        <v>5</v>
      </c>
      <c r="O526">
        <v>0</v>
      </c>
      <c r="P526">
        <v>46.033383999999998</v>
      </c>
      <c r="Q526">
        <v>30.688922999999999</v>
      </c>
      <c r="R526">
        <v>50</v>
      </c>
      <c r="S526">
        <v>45.678736999999998</v>
      </c>
      <c r="T526" t="s">
        <v>125</v>
      </c>
      <c r="U526">
        <v>30.452490999999998</v>
      </c>
      <c r="V526">
        <v>50</v>
      </c>
      <c r="W526">
        <v>37.395681000000003</v>
      </c>
      <c r="X526">
        <v>24.930454000000001</v>
      </c>
      <c r="Y526">
        <v>50</v>
      </c>
      <c r="Z526" t="s">
        <v>125</v>
      </c>
      <c r="AA526">
        <v>36.882424999999998</v>
      </c>
      <c r="AB526">
        <v>24.588283000000001</v>
      </c>
      <c r="AC526">
        <v>50</v>
      </c>
      <c r="AD526">
        <v>44.335782999999999</v>
      </c>
      <c r="AE526">
        <v>29.557189000000001</v>
      </c>
      <c r="AF526">
        <v>50</v>
      </c>
      <c r="AG526">
        <v>43.589373999999999</v>
      </c>
      <c r="AH526" t="s">
        <v>125</v>
      </c>
      <c r="AI526">
        <v>29.059583</v>
      </c>
      <c r="AJ526">
        <v>50</v>
      </c>
      <c r="AK526" t="s">
        <v>125</v>
      </c>
      <c r="AL526" t="s">
        <v>125</v>
      </c>
      <c r="AM526" t="s">
        <v>125</v>
      </c>
      <c r="AN526">
        <v>0.60743100000000005</v>
      </c>
      <c r="AO526">
        <v>60.743077</v>
      </c>
      <c r="AP526">
        <v>100</v>
      </c>
      <c r="AQ526">
        <v>0.492172</v>
      </c>
      <c r="AR526">
        <v>49.217168999999998</v>
      </c>
      <c r="AS526">
        <v>100</v>
      </c>
      <c r="AT526">
        <v>0.61520300000000006</v>
      </c>
      <c r="AU526" t="s">
        <v>125</v>
      </c>
      <c r="AV526">
        <v>61.520288999999998</v>
      </c>
      <c r="AW526">
        <v>100</v>
      </c>
      <c r="AX526">
        <v>0.49910399999999999</v>
      </c>
      <c r="AY526" t="s">
        <v>125</v>
      </c>
      <c r="AZ526">
        <v>49.910369000000003</v>
      </c>
      <c r="BA526">
        <v>100</v>
      </c>
      <c r="BB526">
        <v>0.26107399999999997</v>
      </c>
      <c r="BC526">
        <v>13.053687999999999</v>
      </c>
      <c r="BD526">
        <v>50</v>
      </c>
      <c r="BE526">
        <v>0.33175300000000002</v>
      </c>
      <c r="BF526">
        <v>16.587665000000001</v>
      </c>
      <c r="BG526">
        <v>50</v>
      </c>
      <c r="BH526">
        <v>0</v>
      </c>
      <c r="BI526">
        <v>0.99507400000000001</v>
      </c>
      <c r="BJ526">
        <v>0.99479200000000001</v>
      </c>
      <c r="BK526" t="s">
        <v>125</v>
      </c>
      <c r="BL526">
        <v>0.99014800000000003</v>
      </c>
      <c r="BM526">
        <v>0.98958299999999999</v>
      </c>
      <c r="BN526" t="s">
        <v>125</v>
      </c>
      <c r="BO526">
        <v>1</v>
      </c>
      <c r="BP526">
        <v>1</v>
      </c>
      <c r="BQ526" t="s">
        <v>125</v>
      </c>
      <c r="BR526">
        <v>0.37298999999999999</v>
      </c>
      <c r="BS526">
        <v>0</v>
      </c>
      <c r="BT526">
        <v>50</v>
      </c>
      <c r="BU526">
        <v>0.37748300000000001</v>
      </c>
      <c r="BV526">
        <v>0</v>
      </c>
      <c r="BW526">
        <v>50</v>
      </c>
      <c r="BX526" t="s">
        <v>125</v>
      </c>
      <c r="BY526" t="s">
        <v>125</v>
      </c>
      <c r="BZ526" t="s">
        <v>125</v>
      </c>
      <c r="CA526" t="s">
        <v>125</v>
      </c>
      <c r="CB526" t="s">
        <v>125</v>
      </c>
      <c r="CC526" t="s">
        <v>125</v>
      </c>
      <c r="CD526">
        <v>0.769231</v>
      </c>
      <c r="CE526">
        <v>40.916530000000002</v>
      </c>
      <c r="CF526">
        <v>50</v>
      </c>
      <c r="CG526" t="s">
        <v>125</v>
      </c>
      <c r="CH526" t="s">
        <v>125</v>
      </c>
      <c r="CI526" t="s">
        <v>125</v>
      </c>
      <c r="CJ526" t="s">
        <v>125</v>
      </c>
      <c r="CK526" t="s">
        <v>125</v>
      </c>
      <c r="CL526" t="s">
        <v>125</v>
      </c>
      <c r="CM526" t="s">
        <v>125</v>
      </c>
      <c r="CN526" t="s">
        <v>125</v>
      </c>
      <c r="CO526" t="s">
        <v>125</v>
      </c>
      <c r="CP526" t="s">
        <v>125</v>
      </c>
      <c r="CQ526">
        <v>0.53448300000000004</v>
      </c>
      <c r="CR526">
        <v>1.0265489999999999</v>
      </c>
      <c r="CS526">
        <v>35.632184000000002</v>
      </c>
      <c r="CT526">
        <v>50</v>
      </c>
      <c r="CU526" t="s">
        <v>125</v>
      </c>
      <c r="CV526" t="s">
        <v>125</v>
      </c>
      <c r="CW526" t="s">
        <v>125</v>
      </c>
      <c r="CX526" t="s">
        <v>125</v>
      </c>
      <c r="CY526" t="s">
        <v>125</v>
      </c>
      <c r="CZ526" t="s">
        <v>125</v>
      </c>
      <c r="DA526">
        <v>15.314097</v>
      </c>
      <c r="DB526">
        <v>17.400950000000002</v>
      </c>
      <c r="DC526">
        <v>16.332519999999999</v>
      </c>
      <c r="DD526" t="s">
        <v>125</v>
      </c>
      <c r="DE526">
        <v>0</v>
      </c>
      <c r="DF526" t="s">
        <v>376</v>
      </c>
      <c r="DG526" t="s">
        <v>377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Q526" t="s">
        <v>126</v>
      </c>
    </row>
    <row r="527" spans="1:121" x14ac:dyDescent="0.15">
      <c r="A527">
        <v>2018</v>
      </c>
      <c r="B527" t="s">
        <v>287</v>
      </c>
      <c r="C527" t="str">
        <f t="shared" si="17"/>
        <v>0640011</v>
      </c>
      <c r="D527" t="s">
        <v>683</v>
      </c>
      <c r="E527" t="str">
        <f>"0640511"</f>
        <v>0640511</v>
      </c>
      <c r="F527" t="s">
        <v>328</v>
      </c>
      <c r="G527" t="s">
        <v>329</v>
      </c>
      <c r="H527">
        <v>6</v>
      </c>
      <c r="I527" t="s">
        <v>336</v>
      </c>
      <c r="J527" t="s">
        <v>331</v>
      </c>
      <c r="K527">
        <v>542.40182300000004</v>
      </c>
      <c r="L527">
        <v>950</v>
      </c>
      <c r="M527">
        <v>57.094929</v>
      </c>
      <c r="N527">
        <v>3</v>
      </c>
      <c r="O527">
        <v>1</v>
      </c>
      <c r="P527">
        <v>59.740931000000003</v>
      </c>
      <c r="Q527">
        <v>39.827286999999998</v>
      </c>
      <c r="R527">
        <v>50</v>
      </c>
      <c r="S527">
        <v>54.515642999999997</v>
      </c>
      <c r="T527">
        <v>75</v>
      </c>
      <c r="U527">
        <v>36.343761999999998</v>
      </c>
      <c r="V527">
        <v>50</v>
      </c>
      <c r="W527">
        <v>53.380234999999999</v>
      </c>
      <c r="X527">
        <v>35.586824</v>
      </c>
      <c r="Y527">
        <v>50</v>
      </c>
      <c r="Z527">
        <v>70.659132</v>
      </c>
      <c r="AA527">
        <v>48.506700000000002</v>
      </c>
      <c r="AB527">
        <v>32.337800000000001</v>
      </c>
      <c r="AC527">
        <v>50</v>
      </c>
      <c r="AD527">
        <v>55.260215000000002</v>
      </c>
      <c r="AE527">
        <v>36.840142999999998</v>
      </c>
      <c r="AF527">
        <v>50</v>
      </c>
      <c r="AG527">
        <v>49.276297</v>
      </c>
      <c r="AH527" t="s">
        <v>125</v>
      </c>
      <c r="AI527">
        <v>32.850864999999999</v>
      </c>
      <c r="AJ527">
        <v>50</v>
      </c>
      <c r="AK527">
        <v>20.48</v>
      </c>
      <c r="AL527">
        <v>22.15</v>
      </c>
      <c r="AM527" t="s">
        <v>125</v>
      </c>
      <c r="AN527">
        <v>0.51304899999999998</v>
      </c>
      <c r="AO527">
        <v>51.304943000000002</v>
      </c>
      <c r="AP527">
        <v>100</v>
      </c>
      <c r="AQ527">
        <v>0.59652099999999997</v>
      </c>
      <c r="AR527">
        <v>59.652115000000002</v>
      </c>
      <c r="AS527">
        <v>100</v>
      </c>
      <c r="AT527">
        <v>0.47040799999999999</v>
      </c>
      <c r="AU527" t="s">
        <v>125</v>
      </c>
      <c r="AV527">
        <v>47.040793999999998</v>
      </c>
      <c r="AW527">
        <v>100</v>
      </c>
      <c r="AX527">
        <v>0.57253500000000002</v>
      </c>
      <c r="AY527" t="s">
        <v>125</v>
      </c>
      <c r="AZ527">
        <v>57.253540999999998</v>
      </c>
      <c r="BA527">
        <v>100</v>
      </c>
      <c r="BB527">
        <v>0.21410999999999999</v>
      </c>
      <c r="BC527">
        <v>10.705505</v>
      </c>
      <c r="BD527">
        <v>50</v>
      </c>
      <c r="BE527">
        <v>0.363869</v>
      </c>
      <c r="BF527">
        <v>18.193456000000001</v>
      </c>
      <c r="BG527">
        <v>50</v>
      </c>
      <c r="BH527">
        <v>0</v>
      </c>
      <c r="BI527">
        <v>0.99019599999999997</v>
      </c>
      <c r="BJ527">
        <v>0.98750000000000004</v>
      </c>
      <c r="BK527">
        <v>1</v>
      </c>
      <c r="BL527">
        <v>0.99019599999999997</v>
      </c>
      <c r="BM527">
        <v>0.98750000000000004</v>
      </c>
      <c r="BN527">
        <v>1</v>
      </c>
      <c r="BO527">
        <v>1</v>
      </c>
      <c r="BP527">
        <v>1</v>
      </c>
      <c r="BQ527" t="s">
        <v>125</v>
      </c>
      <c r="BR527">
        <v>0.17521400000000001</v>
      </c>
      <c r="BS527">
        <v>24.957265</v>
      </c>
      <c r="BT527">
        <v>50</v>
      </c>
      <c r="BU527">
        <v>0.21176500000000001</v>
      </c>
      <c r="BV527">
        <v>17.647058999999999</v>
      </c>
      <c r="BW527">
        <v>50</v>
      </c>
      <c r="BX527" t="s">
        <v>125</v>
      </c>
      <c r="BY527" t="s">
        <v>125</v>
      </c>
      <c r="BZ527" t="s">
        <v>125</v>
      </c>
      <c r="CA527" t="s">
        <v>125</v>
      </c>
      <c r="CB527" t="s">
        <v>125</v>
      </c>
      <c r="CC527" t="s">
        <v>125</v>
      </c>
      <c r="CD527" t="s">
        <v>125</v>
      </c>
      <c r="CE527" t="s">
        <v>125</v>
      </c>
      <c r="CF527" t="s">
        <v>125</v>
      </c>
      <c r="CG527" t="s">
        <v>125</v>
      </c>
      <c r="CH527" t="s">
        <v>125</v>
      </c>
      <c r="CI527" t="s">
        <v>125</v>
      </c>
      <c r="CJ527" t="s">
        <v>125</v>
      </c>
      <c r="CK527" t="s">
        <v>125</v>
      </c>
      <c r="CL527" t="s">
        <v>125</v>
      </c>
      <c r="CM527" t="s">
        <v>125</v>
      </c>
      <c r="CN527" t="s">
        <v>125</v>
      </c>
      <c r="CO527" t="s">
        <v>125</v>
      </c>
      <c r="CP527" t="s">
        <v>125</v>
      </c>
      <c r="CQ527">
        <v>0.62790699999999999</v>
      </c>
      <c r="CR527">
        <v>1</v>
      </c>
      <c r="CS527">
        <v>41.860464999999998</v>
      </c>
      <c r="CT527">
        <v>50</v>
      </c>
      <c r="CU527" t="s">
        <v>125</v>
      </c>
      <c r="CV527" t="s">
        <v>125</v>
      </c>
      <c r="CW527" t="s">
        <v>125</v>
      </c>
      <c r="CX527" t="s">
        <v>125</v>
      </c>
      <c r="CY527" t="s">
        <v>125</v>
      </c>
      <c r="CZ527" t="s">
        <v>125</v>
      </c>
      <c r="DA527">
        <v>15.314097</v>
      </c>
      <c r="DB527">
        <v>17.400950000000002</v>
      </c>
      <c r="DC527">
        <v>16.332519999999999</v>
      </c>
      <c r="DD527" t="s">
        <v>125</v>
      </c>
      <c r="DE527">
        <v>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Q527" t="s">
        <v>126</v>
      </c>
    </row>
    <row r="528" spans="1:121" x14ac:dyDescent="0.15">
      <c r="A528">
        <v>2018</v>
      </c>
      <c r="B528" t="s">
        <v>287</v>
      </c>
      <c r="C528" t="str">
        <f t="shared" si="17"/>
        <v>0640011</v>
      </c>
      <c r="D528" t="s">
        <v>684</v>
      </c>
      <c r="E528" t="str">
        <f>"0643711"</f>
        <v>0643711</v>
      </c>
      <c r="F528" t="s">
        <v>328</v>
      </c>
      <c r="G528" t="s">
        <v>329</v>
      </c>
      <c r="H528">
        <v>8</v>
      </c>
      <c r="I528" t="s">
        <v>336</v>
      </c>
      <c r="J528" t="s">
        <v>331</v>
      </c>
      <c r="K528">
        <v>683.14438800000005</v>
      </c>
      <c r="L528">
        <v>950</v>
      </c>
      <c r="M528">
        <v>71.909936000000002</v>
      </c>
      <c r="N528">
        <v>3</v>
      </c>
      <c r="O528">
        <v>1</v>
      </c>
      <c r="P528">
        <v>64.012939000000003</v>
      </c>
      <c r="Q528">
        <v>42.675293000000003</v>
      </c>
      <c r="R528">
        <v>50</v>
      </c>
      <c r="S528">
        <v>57.090560000000004</v>
      </c>
      <c r="T528">
        <v>74.396507</v>
      </c>
      <c r="U528">
        <v>38.060374000000003</v>
      </c>
      <c r="V528">
        <v>50</v>
      </c>
      <c r="W528">
        <v>58.374645000000001</v>
      </c>
      <c r="X528">
        <v>38.916429999999998</v>
      </c>
      <c r="Y528">
        <v>50</v>
      </c>
      <c r="Z528">
        <v>71.528374999999997</v>
      </c>
      <c r="AA528">
        <v>49.605491000000001</v>
      </c>
      <c r="AB528">
        <v>33.070326999999999</v>
      </c>
      <c r="AC528">
        <v>50</v>
      </c>
      <c r="AD528">
        <v>63.563907</v>
      </c>
      <c r="AE528">
        <v>42.375937999999998</v>
      </c>
      <c r="AF528">
        <v>50</v>
      </c>
      <c r="AG528">
        <v>51.549988999999997</v>
      </c>
      <c r="AH528" t="s">
        <v>125</v>
      </c>
      <c r="AI528">
        <v>34.366658999999999</v>
      </c>
      <c r="AJ528">
        <v>50</v>
      </c>
      <c r="AK528">
        <v>17.3</v>
      </c>
      <c r="AL528">
        <v>21.92</v>
      </c>
      <c r="AM528" t="s">
        <v>125</v>
      </c>
      <c r="AN528">
        <v>0.66835800000000001</v>
      </c>
      <c r="AO528">
        <v>66.835825</v>
      </c>
      <c r="AP528">
        <v>100</v>
      </c>
      <c r="AQ528">
        <v>0.69133699999999998</v>
      </c>
      <c r="AR528">
        <v>69.133709999999994</v>
      </c>
      <c r="AS528">
        <v>100</v>
      </c>
      <c r="AT528">
        <v>0.68213299999999999</v>
      </c>
      <c r="AU528">
        <v>0.64553099999999997</v>
      </c>
      <c r="AV528">
        <v>68.213342999999995</v>
      </c>
      <c r="AW528">
        <v>100</v>
      </c>
      <c r="AX528">
        <v>0.68596999999999997</v>
      </c>
      <c r="AY528">
        <v>0.69998400000000005</v>
      </c>
      <c r="AZ528">
        <v>68.596988999999994</v>
      </c>
      <c r="BA528">
        <v>100</v>
      </c>
      <c r="BB528">
        <v>0.58413199999999998</v>
      </c>
      <c r="BC528">
        <v>29.206620999999998</v>
      </c>
      <c r="BD528">
        <v>50</v>
      </c>
      <c r="BE528">
        <v>0.31200699999999998</v>
      </c>
      <c r="BF528">
        <v>15.600334</v>
      </c>
      <c r="BG528">
        <v>50</v>
      </c>
      <c r="BH528">
        <v>0</v>
      </c>
      <c r="BI528">
        <v>0.96</v>
      </c>
      <c r="BJ528">
        <v>0.96</v>
      </c>
      <c r="BK528">
        <v>0.96</v>
      </c>
      <c r="BL528">
        <v>0.96</v>
      </c>
      <c r="BM528">
        <v>0.96</v>
      </c>
      <c r="BN528">
        <v>0.96</v>
      </c>
      <c r="BO528">
        <v>0.97674399999999995</v>
      </c>
      <c r="BP528">
        <v>1</v>
      </c>
      <c r="BQ528" t="s">
        <v>125</v>
      </c>
      <c r="BR528">
        <v>5.0208999999999997E-2</v>
      </c>
      <c r="BS528">
        <v>49.958159000000002</v>
      </c>
      <c r="BT528">
        <v>50</v>
      </c>
      <c r="BU528">
        <v>7.1942000000000006E-2</v>
      </c>
      <c r="BV528">
        <v>45.611511</v>
      </c>
      <c r="BW528">
        <v>50</v>
      </c>
      <c r="BX528" t="s">
        <v>125</v>
      </c>
      <c r="BY528" t="s">
        <v>125</v>
      </c>
      <c r="BZ528" t="s">
        <v>125</v>
      </c>
      <c r="CA528" t="s">
        <v>125</v>
      </c>
      <c r="CB528" t="s">
        <v>125</v>
      </c>
      <c r="CC528" t="s">
        <v>125</v>
      </c>
      <c r="CD528" t="s">
        <v>125</v>
      </c>
      <c r="CE528" t="s">
        <v>125</v>
      </c>
      <c r="CF528" t="s">
        <v>125</v>
      </c>
      <c r="CG528" t="s">
        <v>125</v>
      </c>
      <c r="CH528" t="s">
        <v>125</v>
      </c>
      <c r="CI528" t="s">
        <v>125</v>
      </c>
      <c r="CJ528" t="s">
        <v>125</v>
      </c>
      <c r="CK528" t="s">
        <v>125</v>
      </c>
      <c r="CL528" t="s">
        <v>125</v>
      </c>
      <c r="CM528" t="s">
        <v>125</v>
      </c>
      <c r="CN528" t="s">
        <v>125</v>
      </c>
      <c r="CO528" t="s">
        <v>125</v>
      </c>
      <c r="CP528" t="s">
        <v>125</v>
      </c>
      <c r="CQ528">
        <v>0.60784300000000002</v>
      </c>
      <c r="CR528">
        <v>1</v>
      </c>
      <c r="CS528">
        <v>40.522875999999997</v>
      </c>
      <c r="CT528">
        <v>50</v>
      </c>
      <c r="CU528" t="s">
        <v>125</v>
      </c>
      <c r="CV528" t="s">
        <v>125</v>
      </c>
      <c r="CW528" t="s">
        <v>125</v>
      </c>
      <c r="CX528" t="s">
        <v>125</v>
      </c>
      <c r="CY528" t="s">
        <v>125</v>
      </c>
      <c r="CZ528" t="s">
        <v>125</v>
      </c>
      <c r="DA528">
        <v>15.314097</v>
      </c>
      <c r="DB528">
        <v>17.400950000000002</v>
      </c>
      <c r="DC528">
        <v>16.332519999999999</v>
      </c>
      <c r="DD528" t="s">
        <v>125</v>
      </c>
      <c r="DE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Q528" t="s">
        <v>126</v>
      </c>
    </row>
    <row r="529" spans="1:121" x14ac:dyDescent="0.15">
      <c r="A529">
        <v>2018</v>
      </c>
      <c r="B529" t="s">
        <v>287</v>
      </c>
      <c r="C529" t="str">
        <f t="shared" si="17"/>
        <v>0640011</v>
      </c>
      <c r="D529" t="s">
        <v>685</v>
      </c>
      <c r="E529" t="str">
        <f>"0641411"</f>
        <v>0641411</v>
      </c>
      <c r="F529" t="s">
        <v>328</v>
      </c>
      <c r="G529" t="s">
        <v>329</v>
      </c>
      <c r="H529">
        <v>8</v>
      </c>
      <c r="I529" t="s">
        <v>336</v>
      </c>
      <c r="J529" t="s">
        <v>331</v>
      </c>
      <c r="K529">
        <v>623.86559899999997</v>
      </c>
      <c r="L529">
        <v>1000</v>
      </c>
      <c r="M529">
        <v>62.386560000000003</v>
      </c>
      <c r="N529">
        <v>3</v>
      </c>
      <c r="O529">
        <v>0</v>
      </c>
      <c r="P529">
        <v>57.047235999999998</v>
      </c>
      <c r="Q529">
        <v>38.031491000000003</v>
      </c>
      <c r="R529">
        <v>50</v>
      </c>
      <c r="S529">
        <v>56.407604999999997</v>
      </c>
      <c r="T529" t="s">
        <v>125</v>
      </c>
      <c r="U529">
        <v>37.605069999999998</v>
      </c>
      <c r="V529">
        <v>50</v>
      </c>
      <c r="W529">
        <v>49.999141999999999</v>
      </c>
      <c r="X529">
        <v>33.332760999999998</v>
      </c>
      <c r="Y529">
        <v>50</v>
      </c>
      <c r="Z529" t="s">
        <v>125</v>
      </c>
      <c r="AA529">
        <v>49.020325</v>
      </c>
      <c r="AB529">
        <v>32.680216999999999</v>
      </c>
      <c r="AC529">
        <v>50</v>
      </c>
      <c r="AD529">
        <v>54.445531000000003</v>
      </c>
      <c r="AE529">
        <v>36.297021000000001</v>
      </c>
      <c r="AF529">
        <v>50</v>
      </c>
      <c r="AG529">
        <v>54.071120999999998</v>
      </c>
      <c r="AH529" t="s">
        <v>125</v>
      </c>
      <c r="AI529">
        <v>36.047414000000003</v>
      </c>
      <c r="AJ529">
        <v>50</v>
      </c>
      <c r="AK529" t="s">
        <v>125</v>
      </c>
      <c r="AL529" t="s">
        <v>125</v>
      </c>
      <c r="AM529" t="s">
        <v>125</v>
      </c>
      <c r="AN529">
        <v>0.54883899999999997</v>
      </c>
      <c r="AO529">
        <v>54.883938000000001</v>
      </c>
      <c r="AP529">
        <v>100</v>
      </c>
      <c r="AQ529">
        <v>0.57565599999999995</v>
      </c>
      <c r="AR529">
        <v>57.565576</v>
      </c>
      <c r="AS529">
        <v>100</v>
      </c>
      <c r="AT529">
        <v>0.54664500000000005</v>
      </c>
      <c r="AU529" t="s">
        <v>125</v>
      </c>
      <c r="AV529">
        <v>54.664490000000001</v>
      </c>
      <c r="AW529">
        <v>100</v>
      </c>
      <c r="AX529">
        <v>0.57618599999999998</v>
      </c>
      <c r="AY529" t="s">
        <v>125</v>
      </c>
      <c r="AZ529">
        <v>57.618575999999997</v>
      </c>
      <c r="BA529">
        <v>100</v>
      </c>
      <c r="BB529">
        <v>0.63103500000000001</v>
      </c>
      <c r="BC529">
        <v>31.551729999999999</v>
      </c>
      <c r="BD529">
        <v>50</v>
      </c>
      <c r="BE529">
        <v>0.46545900000000001</v>
      </c>
      <c r="BF529">
        <v>23.272950000000002</v>
      </c>
      <c r="BG529">
        <v>50</v>
      </c>
      <c r="BH529">
        <v>0</v>
      </c>
      <c r="BI529">
        <v>0.99117599999999995</v>
      </c>
      <c r="BJ529">
        <v>0.99082599999999998</v>
      </c>
      <c r="BK529" t="s">
        <v>125</v>
      </c>
      <c r="BL529">
        <v>0.97647099999999998</v>
      </c>
      <c r="BM529">
        <v>0.97553500000000004</v>
      </c>
      <c r="BN529" t="s">
        <v>125</v>
      </c>
      <c r="BO529">
        <v>0.98333300000000001</v>
      </c>
      <c r="BP529">
        <v>0.98290599999999995</v>
      </c>
      <c r="BQ529" t="s">
        <v>125</v>
      </c>
      <c r="BR529">
        <v>0.16089600000000001</v>
      </c>
      <c r="BS529">
        <v>27.820774</v>
      </c>
      <c r="BT529">
        <v>50</v>
      </c>
      <c r="BU529">
        <v>0.17025899999999999</v>
      </c>
      <c r="BV529">
        <v>25.948276</v>
      </c>
      <c r="BW529">
        <v>50</v>
      </c>
      <c r="BX529" t="s">
        <v>125</v>
      </c>
      <c r="BY529" t="s">
        <v>125</v>
      </c>
      <c r="BZ529" t="s">
        <v>125</v>
      </c>
      <c r="CA529" t="s">
        <v>125</v>
      </c>
      <c r="CB529" t="s">
        <v>125</v>
      </c>
      <c r="CC529" t="s">
        <v>125</v>
      </c>
      <c r="CD529">
        <v>0.81632700000000002</v>
      </c>
      <c r="CE529">
        <v>43.421624000000001</v>
      </c>
      <c r="CF529">
        <v>50</v>
      </c>
      <c r="CG529" t="s">
        <v>125</v>
      </c>
      <c r="CH529" t="s">
        <v>125</v>
      </c>
      <c r="CI529" t="s">
        <v>125</v>
      </c>
      <c r="CJ529" t="s">
        <v>125</v>
      </c>
      <c r="CK529" t="s">
        <v>125</v>
      </c>
      <c r="CL529" t="s">
        <v>125</v>
      </c>
      <c r="CM529" t="s">
        <v>125</v>
      </c>
      <c r="CN529" t="s">
        <v>125</v>
      </c>
      <c r="CO529" t="s">
        <v>125</v>
      </c>
      <c r="CP529" t="s">
        <v>125</v>
      </c>
      <c r="CQ529">
        <v>0.49685499999999999</v>
      </c>
      <c r="CR529">
        <v>0.97545999999999999</v>
      </c>
      <c r="CS529">
        <v>33.123690000000003</v>
      </c>
      <c r="CT529">
        <v>50</v>
      </c>
      <c r="CU529" t="s">
        <v>125</v>
      </c>
      <c r="CV529" t="s">
        <v>125</v>
      </c>
      <c r="CW529" t="s">
        <v>125</v>
      </c>
      <c r="CX529" t="s">
        <v>125</v>
      </c>
      <c r="CY529" t="s">
        <v>125</v>
      </c>
      <c r="CZ529" t="s">
        <v>125</v>
      </c>
      <c r="DA529">
        <v>15.314097</v>
      </c>
      <c r="DB529">
        <v>17.400950000000002</v>
      </c>
      <c r="DC529">
        <v>16.332519999999999</v>
      </c>
      <c r="DD529" t="s">
        <v>125</v>
      </c>
      <c r="DE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Q529" t="s">
        <v>126</v>
      </c>
    </row>
    <row r="530" spans="1:121" x14ac:dyDescent="0.15">
      <c r="A530">
        <v>2018</v>
      </c>
      <c r="B530" t="s">
        <v>287</v>
      </c>
      <c r="C530" t="str">
        <f t="shared" si="17"/>
        <v>0640011</v>
      </c>
      <c r="D530" t="s">
        <v>686</v>
      </c>
      <c r="E530" t="str">
        <f>"0641511"</f>
        <v>0641511</v>
      </c>
      <c r="F530" t="s">
        <v>328</v>
      </c>
      <c r="G530" t="s">
        <v>329</v>
      </c>
      <c r="H530">
        <v>5</v>
      </c>
      <c r="I530" t="s">
        <v>336</v>
      </c>
      <c r="J530" t="s">
        <v>331</v>
      </c>
      <c r="K530">
        <v>555.39058299999999</v>
      </c>
      <c r="L530">
        <v>950</v>
      </c>
      <c r="M530">
        <v>58.462167000000001</v>
      </c>
      <c r="N530">
        <v>5</v>
      </c>
      <c r="O530">
        <v>0</v>
      </c>
      <c r="P530">
        <v>51.351635999999999</v>
      </c>
      <c r="Q530">
        <v>34.234423999999997</v>
      </c>
      <c r="R530">
        <v>50</v>
      </c>
      <c r="S530">
        <v>50.824303</v>
      </c>
      <c r="T530" t="s">
        <v>125</v>
      </c>
      <c r="U530">
        <v>33.882868999999999</v>
      </c>
      <c r="V530">
        <v>50</v>
      </c>
      <c r="W530">
        <v>49.072485999999998</v>
      </c>
      <c r="X530">
        <v>32.71499</v>
      </c>
      <c r="Y530">
        <v>50</v>
      </c>
      <c r="Z530" t="s">
        <v>125</v>
      </c>
      <c r="AA530">
        <v>48.761572000000001</v>
      </c>
      <c r="AB530">
        <v>32.507714999999997</v>
      </c>
      <c r="AC530">
        <v>50</v>
      </c>
      <c r="AD530">
        <v>48.961289999999998</v>
      </c>
      <c r="AE530">
        <v>32.640860000000004</v>
      </c>
      <c r="AF530">
        <v>50</v>
      </c>
      <c r="AG530">
        <v>47.841811</v>
      </c>
      <c r="AH530" t="s">
        <v>125</v>
      </c>
      <c r="AI530">
        <v>31.894541</v>
      </c>
      <c r="AJ530">
        <v>50</v>
      </c>
      <c r="AK530" t="s">
        <v>125</v>
      </c>
      <c r="AL530" t="s">
        <v>125</v>
      </c>
      <c r="AM530" t="s">
        <v>125</v>
      </c>
      <c r="AN530">
        <v>0.60837200000000002</v>
      </c>
      <c r="AO530">
        <v>60.837217000000003</v>
      </c>
      <c r="AP530">
        <v>100</v>
      </c>
      <c r="AQ530">
        <v>0.52646199999999999</v>
      </c>
      <c r="AR530">
        <v>52.646214000000001</v>
      </c>
      <c r="AS530">
        <v>100</v>
      </c>
      <c r="AT530">
        <v>0.59347399999999995</v>
      </c>
      <c r="AU530" t="s">
        <v>125</v>
      </c>
      <c r="AV530">
        <v>59.347436000000002</v>
      </c>
      <c r="AW530">
        <v>100</v>
      </c>
      <c r="AX530">
        <v>0.53002400000000005</v>
      </c>
      <c r="AY530" t="s">
        <v>125</v>
      </c>
      <c r="AZ530">
        <v>53.002352000000002</v>
      </c>
      <c r="BA530">
        <v>100</v>
      </c>
      <c r="BB530">
        <v>0.53719300000000003</v>
      </c>
      <c r="BC530">
        <v>26.859646999999999</v>
      </c>
      <c r="BD530">
        <v>50</v>
      </c>
      <c r="BE530">
        <v>0.43815300000000001</v>
      </c>
      <c r="BF530">
        <v>21.907644000000001</v>
      </c>
      <c r="BG530">
        <v>50</v>
      </c>
      <c r="BH530">
        <v>0</v>
      </c>
      <c r="BI530">
        <v>0.99019599999999997</v>
      </c>
      <c r="BJ530">
        <v>0.98958299999999999</v>
      </c>
      <c r="BK530" t="s">
        <v>125</v>
      </c>
      <c r="BL530">
        <v>0.99019599999999997</v>
      </c>
      <c r="BM530">
        <v>0.98958299999999999</v>
      </c>
      <c r="BN530" t="s">
        <v>125</v>
      </c>
      <c r="BO530">
        <v>0.98412699999999997</v>
      </c>
      <c r="BP530">
        <v>0.98275900000000005</v>
      </c>
      <c r="BQ530" t="s">
        <v>125</v>
      </c>
      <c r="BR530">
        <v>0.182222</v>
      </c>
      <c r="BS530">
        <v>23.555555999999999</v>
      </c>
      <c r="BT530">
        <v>50</v>
      </c>
      <c r="BU530">
        <v>0.18309900000000001</v>
      </c>
      <c r="BV530">
        <v>23.380282000000001</v>
      </c>
      <c r="BW530">
        <v>50</v>
      </c>
      <c r="BX530" t="s">
        <v>125</v>
      </c>
      <c r="BY530" t="s">
        <v>125</v>
      </c>
      <c r="BZ530" t="s">
        <v>125</v>
      </c>
      <c r="CA530" t="s">
        <v>125</v>
      </c>
      <c r="CB530" t="s">
        <v>125</v>
      </c>
      <c r="CC530" t="s">
        <v>125</v>
      </c>
      <c r="CD530" t="s">
        <v>125</v>
      </c>
      <c r="CE530" t="s">
        <v>125</v>
      </c>
      <c r="CF530" t="s">
        <v>125</v>
      </c>
      <c r="CG530" t="s">
        <v>125</v>
      </c>
      <c r="CH530" t="s">
        <v>125</v>
      </c>
      <c r="CI530" t="s">
        <v>125</v>
      </c>
      <c r="CJ530" t="s">
        <v>125</v>
      </c>
      <c r="CK530" t="s">
        <v>125</v>
      </c>
      <c r="CL530" t="s">
        <v>125</v>
      </c>
      <c r="CM530" t="s">
        <v>125</v>
      </c>
      <c r="CN530" t="s">
        <v>125</v>
      </c>
      <c r="CO530" t="s">
        <v>125</v>
      </c>
      <c r="CP530" t="s">
        <v>125</v>
      </c>
      <c r="CQ530">
        <v>0.53968300000000002</v>
      </c>
      <c r="CR530">
        <v>0.95454499999999998</v>
      </c>
      <c r="CS530">
        <v>35.978836000000001</v>
      </c>
      <c r="CT530">
        <v>50</v>
      </c>
      <c r="CU530" t="s">
        <v>125</v>
      </c>
      <c r="CV530" t="s">
        <v>125</v>
      </c>
      <c r="CW530" t="s">
        <v>125</v>
      </c>
      <c r="CX530" t="s">
        <v>125</v>
      </c>
      <c r="CY530" t="s">
        <v>125</v>
      </c>
      <c r="CZ530" t="s">
        <v>125</v>
      </c>
      <c r="DA530">
        <v>15.314097</v>
      </c>
      <c r="DB530">
        <v>17.400950000000002</v>
      </c>
      <c r="DC530">
        <v>16.332519999999999</v>
      </c>
      <c r="DD530" t="s">
        <v>125</v>
      </c>
      <c r="DE530">
        <v>0</v>
      </c>
      <c r="DF530" t="s">
        <v>376</v>
      </c>
      <c r="DG530" t="s">
        <v>377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Q530" t="s">
        <v>126</v>
      </c>
    </row>
    <row r="531" spans="1:121" x14ac:dyDescent="0.15">
      <c r="A531">
        <v>2018</v>
      </c>
      <c r="B531" t="s">
        <v>287</v>
      </c>
      <c r="C531" t="str">
        <f t="shared" si="17"/>
        <v>0640011</v>
      </c>
      <c r="D531" t="s">
        <v>687</v>
      </c>
      <c r="E531" t="str">
        <f>"0646611"</f>
        <v>0646611</v>
      </c>
      <c r="F531" t="s">
        <v>328</v>
      </c>
      <c r="G531">
        <v>9</v>
      </c>
      <c r="H531">
        <v>12</v>
      </c>
      <c r="I531" t="s">
        <v>336</v>
      </c>
      <c r="J531" t="s">
        <v>331</v>
      </c>
      <c r="K531">
        <v>1023.434291</v>
      </c>
      <c r="L531">
        <v>1550</v>
      </c>
      <c r="M531">
        <v>66.028019</v>
      </c>
      <c r="N531">
        <v>3</v>
      </c>
      <c r="O531">
        <v>0</v>
      </c>
      <c r="P531">
        <v>52.168776000000001</v>
      </c>
      <c r="Q531">
        <v>104.337553</v>
      </c>
      <c r="R531">
        <v>150</v>
      </c>
      <c r="S531">
        <v>47.878205000000001</v>
      </c>
      <c r="T531">
        <v>60.432099000000001</v>
      </c>
      <c r="U531">
        <v>95.756410000000002</v>
      </c>
      <c r="V531">
        <v>150</v>
      </c>
      <c r="W531">
        <v>47.805906999999998</v>
      </c>
      <c r="X531">
        <v>95.611813999999995</v>
      </c>
      <c r="Y531">
        <v>150</v>
      </c>
      <c r="Z531">
        <v>56.561728000000002</v>
      </c>
      <c r="AA531">
        <v>43.259614999999997</v>
      </c>
      <c r="AB531">
        <v>86.519231000000005</v>
      </c>
      <c r="AC531">
        <v>150</v>
      </c>
      <c r="AD531">
        <v>45.817664000000001</v>
      </c>
      <c r="AE531">
        <v>61.090218</v>
      </c>
      <c r="AF531">
        <v>100</v>
      </c>
      <c r="AG531">
        <v>42.135328000000001</v>
      </c>
      <c r="AH531">
        <v>53.182335999999999</v>
      </c>
      <c r="AI531">
        <v>56.180436999999998</v>
      </c>
      <c r="AJ531">
        <v>100</v>
      </c>
      <c r="AK531">
        <v>12.55</v>
      </c>
      <c r="AL531">
        <v>13.3</v>
      </c>
      <c r="AM531">
        <v>11.04</v>
      </c>
      <c r="AN531" t="s">
        <v>125</v>
      </c>
      <c r="AO531" t="s">
        <v>125</v>
      </c>
      <c r="AP531" t="s">
        <v>125</v>
      </c>
      <c r="AQ531" t="s">
        <v>125</v>
      </c>
      <c r="AR531" t="s">
        <v>125</v>
      </c>
      <c r="AS531" t="s">
        <v>125</v>
      </c>
      <c r="AT531" t="s">
        <v>125</v>
      </c>
      <c r="AU531" t="s">
        <v>125</v>
      </c>
      <c r="AV531" t="s">
        <v>125</v>
      </c>
      <c r="AW531" t="s">
        <v>125</v>
      </c>
      <c r="AX531" t="s">
        <v>125</v>
      </c>
      <c r="AY531" t="s">
        <v>125</v>
      </c>
      <c r="AZ531" t="s">
        <v>125</v>
      </c>
      <c r="BA531" t="s">
        <v>125</v>
      </c>
      <c r="BB531">
        <v>0.27917599999999998</v>
      </c>
      <c r="BC531">
        <v>13.958819999999999</v>
      </c>
      <c r="BD531">
        <v>50</v>
      </c>
      <c r="BE531">
        <v>0.33995700000000001</v>
      </c>
      <c r="BF531">
        <v>16.997834999999998</v>
      </c>
      <c r="BG531">
        <v>50</v>
      </c>
      <c r="BH531">
        <v>1</v>
      </c>
      <c r="BI531">
        <v>0.95294100000000004</v>
      </c>
      <c r="BJ531">
        <v>0.93103400000000003</v>
      </c>
      <c r="BK531">
        <v>1</v>
      </c>
      <c r="BL531">
        <v>0.95294100000000004</v>
      </c>
      <c r="BM531">
        <v>0.93103400000000003</v>
      </c>
      <c r="BN531">
        <v>1</v>
      </c>
      <c r="BO531">
        <v>0.96428599999999998</v>
      </c>
      <c r="BP531">
        <v>0.94736799999999999</v>
      </c>
      <c r="BQ531">
        <v>1</v>
      </c>
      <c r="BR531">
        <v>0.20388300000000001</v>
      </c>
      <c r="BS531">
        <v>19.223300999999999</v>
      </c>
      <c r="BT531">
        <v>50</v>
      </c>
      <c r="BU531">
        <v>0.259494</v>
      </c>
      <c r="BV531">
        <v>8.1012660000000007</v>
      </c>
      <c r="BW531">
        <v>50</v>
      </c>
      <c r="BX531">
        <v>1</v>
      </c>
      <c r="BY531">
        <v>50</v>
      </c>
      <c r="BZ531">
        <v>50</v>
      </c>
      <c r="CA531">
        <v>0.32</v>
      </c>
      <c r="CB531">
        <v>21.333333</v>
      </c>
      <c r="CC531">
        <v>50</v>
      </c>
      <c r="CD531">
        <v>0.86466200000000004</v>
      </c>
      <c r="CE531">
        <v>45.992640999999999</v>
      </c>
      <c r="CF531">
        <v>50</v>
      </c>
      <c r="CG531">
        <v>0.92631600000000003</v>
      </c>
      <c r="CH531">
        <v>98.544233000000006</v>
      </c>
      <c r="CI531">
        <v>100</v>
      </c>
      <c r="CJ531">
        <v>0</v>
      </c>
      <c r="CK531">
        <v>0.96969700000000003</v>
      </c>
      <c r="CL531">
        <v>100</v>
      </c>
      <c r="CM531">
        <v>100</v>
      </c>
      <c r="CN531">
        <v>0.64044900000000005</v>
      </c>
      <c r="CO531">
        <v>85.393258000000003</v>
      </c>
      <c r="CP531">
        <v>100</v>
      </c>
      <c r="CQ531">
        <v>0.21590899999999999</v>
      </c>
      <c r="CR531">
        <v>1.614679</v>
      </c>
      <c r="CS531">
        <v>14.393939</v>
      </c>
      <c r="CT531">
        <v>50</v>
      </c>
      <c r="CU531">
        <v>0.83737899999999998</v>
      </c>
      <c r="CV531">
        <v>50</v>
      </c>
      <c r="CW531">
        <v>50</v>
      </c>
      <c r="CX531">
        <v>0.96969700000000003</v>
      </c>
      <c r="CY531">
        <v>0.94</v>
      </c>
      <c r="CZ531">
        <v>-2.9697000000000001E-2</v>
      </c>
      <c r="DA531">
        <v>15.314097</v>
      </c>
      <c r="DB531">
        <v>17.400950000000002</v>
      </c>
      <c r="DC531">
        <v>16.332519999999999</v>
      </c>
      <c r="DD531">
        <v>7.9891730000000001</v>
      </c>
      <c r="DE531">
        <v>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Q531" t="s">
        <v>126</v>
      </c>
    </row>
    <row r="532" spans="1:121" x14ac:dyDescent="0.15">
      <c r="A532">
        <v>2018</v>
      </c>
      <c r="B532" t="s">
        <v>287</v>
      </c>
      <c r="C532" t="str">
        <f t="shared" si="17"/>
        <v>0640011</v>
      </c>
      <c r="D532" t="s">
        <v>688</v>
      </c>
      <c r="E532" t="str">
        <f>"0641711"</f>
        <v>0641711</v>
      </c>
      <c r="F532" t="s">
        <v>328</v>
      </c>
      <c r="G532" t="s">
        <v>329</v>
      </c>
      <c r="H532">
        <v>5</v>
      </c>
      <c r="I532" t="s">
        <v>336</v>
      </c>
      <c r="J532" t="s">
        <v>331</v>
      </c>
      <c r="K532">
        <v>512.48545200000001</v>
      </c>
      <c r="L532">
        <v>1000</v>
      </c>
      <c r="M532">
        <v>51.248545</v>
      </c>
      <c r="N532">
        <v>3</v>
      </c>
      <c r="O532">
        <v>0</v>
      </c>
      <c r="P532">
        <v>53.746443999999997</v>
      </c>
      <c r="Q532">
        <v>35.830962999999997</v>
      </c>
      <c r="R532">
        <v>50</v>
      </c>
      <c r="S532">
        <v>53.288308000000001</v>
      </c>
      <c r="T532">
        <v>56.703507000000002</v>
      </c>
      <c r="U532">
        <v>35.525537999999997</v>
      </c>
      <c r="V532">
        <v>50</v>
      </c>
      <c r="W532">
        <v>47.488965</v>
      </c>
      <c r="X532">
        <v>31.659310000000001</v>
      </c>
      <c r="Y532">
        <v>50</v>
      </c>
      <c r="Z532">
        <v>50.292901999999998</v>
      </c>
      <c r="AA532">
        <v>47.048347</v>
      </c>
      <c r="AB532">
        <v>31.365565</v>
      </c>
      <c r="AC532">
        <v>50</v>
      </c>
      <c r="AD532">
        <v>55.941377000000003</v>
      </c>
      <c r="AE532">
        <v>37.294251000000003</v>
      </c>
      <c r="AF532">
        <v>50</v>
      </c>
      <c r="AG532">
        <v>55.925316000000002</v>
      </c>
      <c r="AH532" t="s">
        <v>125</v>
      </c>
      <c r="AI532">
        <v>37.283543999999999</v>
      </c>
      <c r="AJ532">
        <v>50</v>
      </c>
      <c r="AK532">
        <v>3.41</v>
      </c>
      <c r="AL532">
        <v>3.24</v>
      </c>
      <c r="AM532" t="s">
        <v>125</v>
      </c>
      <c r="AN532">
        <v>0.44845200000000002</v>
      </c>
      <c r="AO532">
        <v>44.845162000000002</v>
      </c>
      <c r="AP532">
        <v>100</v>
      </c>
      <c r="AQ532">
        <v>0.34918700000000003</v>
      </c>
      <c r="AR532">
        <v>34.918740999999997</v>
      </c>
      <c r="AS532">
        <v>100</v>
      </c>
      <c r="AT532">
        <v>0.44006200000000001</v>
      </c>
      <c r="AU532" t="s">
        <v>125</v>
      </c>
      <c r="AV532">
        <v>44.006242999999998</v>
      </c>
      <c r="AW532">
        <v>100</v>
      </c>
      <c r="AX532">
        <v>0.34229799999999999</v>
      </c>
      <c r="AY532" t="s">
        <v>125</v>
      </c>
      <c r="AZ532">
        <v>34.229807000000001</v>
      </c>
      <c r="BA532">
        <v>100</v>
      </c>
      <c r="BB532">
        <v>0.39618500000000001</v>
      </c>
      <c r="BC532">
        <v>19.809256999999999</v>
      </c>
      <c r="BD532">
        <v>50</v>
      </c>
      <c r="BE532">
        <v>0.35875200000000002</v>
      </c>
      <c r="BF532">
        <v>17.937621</v>
      </c>
      <c r="BG532">
        <v>50</v>
      </c>
      <c r="BH532">
        <v>0</v>
      </c>
      <c r="BI532">
        <v>0.99453599999999998</v>
      </c>
      <c r="BJ532">
        <v>0.993421</v>
      </c>
      <c r="BK532">
        <v>1</v>
      </c>
      <c r="BL532">
        <v>0.98901099999999997</v>
      </c>
      <c r="BM532">
        <v>0.98675500000000005</v>
      </c>
      <c r="BN532">
        <v>1</v>
      </c>
      <c r="BO532">
        <v>1</v>
      </c>
      <c r="BP532">
        <v>1</v>
      </c>
      <c r="BQ532" t="s">
        <v>125</v>
      </c>
      <c r="BR532">
        <v>0.21590899999999999</v>
      </c>
      <c r="BS532">
        <v>16.818182</v>
      </c>
      <c r="BT532">
        <v>50</v>
      </c>
      <c r="BU532">
        <v>0.233766</v>
      </c>
      <c r="BV532">
        <v>13.246753</v>
      </c>
      <c r="BW532">
        <v>50</v>
      </c>
      <c r="BX532" t="s">
        <v>125</v>
      </c>
      <c r="BY532" t="s">
        <v>125</v>
      </c>
      <c r="BZ532" t="s">
        <v>125</v>
      </c>
      <c r="CA532" t="s">
        <v>125</v>
      </c>
      <c r="CB532" t="s">
        <v>125</v>
      </c>
      <c r="CC532" t="s">
        <v>125</v>
      </c>
      <c r="CD532">
        <v>0.66666700000000001</v>
      </c>
      <c r="CE532">
        <v>35.460993000000002</v>
      </c>
      <c r="CF532">
        <v>50</v>
      </c>
      <c r="CG532" t="s">
        <v>125</v>
      </c>
      <c r="CH532" t="s">
        <v>125</v>
      </c>
      <c r="CI532" t="s">
        <v>125</v>
      </c>
      <c r="CJ532" t="s">
        <v>125</v>
      </c>
      <c r="CK532" t="s">
        <v>125</v>
      </c>
      <c r="CL532" t="s">
        <v>125</v>
      </c>
      <c r="CM532" t="s">
        <v>125</v>
      </c>
      <c r="CN532" t="s">
        <v>125</v>
      </c>
      <c r="CO532" t="s">
        <v>125</v>
      </c>
      <c r="CP532" t="s">
        <v>125</v>
      </c>
      <c r="CQ532">
        <v>0.63380300000000001</v>
      </c>
      <c r="CR532">
        <v>1.014286</v>
      </c>
      <c r="CS532">
        <v>42.253520999999999</v>
      </c>
      <c r="CT532">
        <v>50</v>
      </c>
      <c r="CU532" t="s">
        <v>125</v>
      </c>
      <c r="CV532" t="s">
        <v>125</v>
      </c>
      <c r="CW532" t="s">
        <v>125</v>
      </c>
      <c r="CX532" t="s">
        <v>125</v>
      </c>
      <c r="CY532" t="s">
        <v>125</v>
      </c>
      <c r="CZ532" t="s">
        <v>125</v>
      </c>
      <c r="DA532">
        <v>15.314097</v>
      </c>
      <c r="DB532">
        <v>17.400950000000002</v>
      </c>
      <c r="DC532">
        <v>16.332519999999999</v>
      </c>
      <c r="DD532" t="s">
        <v>125</v>
      </c>
      <c r="DE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Q532" t="s">
        <v>126</v>
      </c>
    </row>
    <row r="533" spans="1:121" x14ac:dyDescent="0.15">
      <c r="A533">
        <v>2018</v>
      </c>
      <c r="B533" t="s">
        <v>287</v>
      </c>
      <c r="C533" t="str">
        <f t="shared" si="17"/>
        <v>0640011</v>
      </c>
      <c r="D533" t="s">
        <v>689</v>
      </c>
      <c r="E533" t="str">
        <f>"0644011"</f>
        <v>0644011</v>
      </c>
      <c r="F533" t="s">
        <v>328</v>
      </c>
      <c r="G533">
        <v>4</v>
      </c>
      <c r="H533">
        <v>8</v>
      </c>
      <c r="I533" t="s">
        <v>336</v>
      </c>
      <c r="J533" t="s">
        <v>331</v>
      </c>
      <c r="K533">
        <v>674.14911700000005</v>
      </c>
      <c r="L533">
        <v>900</v>
      </c>
      <c r="M533">
        <v>74.905456999999998</v>
      </c>
      <c r="N533">
        <v>2</v>
      </c>
      <c r="O533">
        <v>0</v>
      </c>
      <c r="P533">
        <v>72.907262000000003</v>
      </c>
      <c r="Q533">
        <v>48.604841999999998</v>
      </c>
      <c r="R533">
        <v>50</v>
      </c>
      <c r="S533">
        <v>71.033224000000004</v>
      </c>
      <c r="T533" t="s">
        <v>125</v>
      </c>
      <c r="U533">
        <v>47.355483</v>
      </c>
      <c r="V533">
        <v>50</v>
      </c>
      <c r="W533">
        <v>65.912216999999998</v>
      </c>
      <c r="X533">
        <v>43.941477999999996</v>
      </c>
      <c r="Y533">
        <v>50</v>
      </c>
      <c r="Z533" t="s">
        <v>125</v>
      </c>
      <c r="AA533">
        <v>63.334313999999999</v>
      </c>
      <c r="AB533">
        <v>42.222875999999999</v>
      </c>
      <c r="AC533">
        <v>50</v>
      </c>
      <c r="AD533">
        <v>66.536814000000007</v>
      </c>
      <c r="AE533">
        <v>44.357875999999997</v>
      </c>
      <c r="AF533">
        <v>50</v>
      </c>
      <c r="AG533">
        <v>63.944383000000002</v>
      </c>
      <c r="AH533" t="s">
        <v>125</v>
      </c>
      <c r="AI533">
        <v>42.629587999999998</v>
      </c>
      <c r="AJ533">
        <v>50</v>
      </c>
      <c r="AK533" t="s">
        <v>125</v>
      </c>
      <c r="AL533" t="s">
        <v>125</v>
      </c>
      <c r="AM533" t="s">
        <v>125</v>
      </c>
      <c r="AN533">
        <v>0.59658699999999998</v>
      </c>
      <c r="AO533">
        <v>59.658718999999998</v>
      </c>
      <c r="AP533">
        <v>100</v>
      </c>
      <c r="AQ533">
        <v>0.54049999999999998</v>
      </c>
      <c r="AR533">
        <v>54.050038000000001</v>
      </c>
      <c r="AS533">
        <v>100</v>
      </c>
      <c r="AT533">
        <v>0.59689499999999995</v>
      </c>
      <c r="AU533">
        <v>0.59523999999999999</v>
      </c>
      <c r="AV533">
        <v>59.689481000000001</v>
      </c>
      <c r="AW533">
        <v>100</v>
      </c>
      <c r="AX533">
        <v>0.50363500000000005</v>
      </c>
      <c r="AY533">
        <v>0.70200600000000002</v>
      </c>
      <c r="AZ533">
        <v>50.363503999999999</v>
      </c>
      <c r="BA533">
        <v>100</v>
      </c>
      <c r="BB533" t="s">
        <v>125</v>
      </c>
      <c r="BC533" t="s">
        <v>125</v>
      </c>
      <c r="BD533" t="s">
        <v>125</v>
      </c>
      <c r="BE533" t="s">
        <v>125</v>
      </c>
      <c r="BF533" t="s">
        <v>125</v>
      </c>
      <c r="BG533" t="s">
        <v>125</v>
      </c>
      <c r="BH533">
        <v>0</v>
      </c>
      <c r="BI533">
        <v>0.99166699999999997</v>
      </c>
      <c r="BJ533">
        <v>1</v>
      </c>
      <c r="BK533">
        <v>0.95</v>
      </c>
      <c r="BL533">
        <v>0.99166699999999997</v>
      </c>
      <c r="BM533">
        <v>1</v>
      </c>
      <c r="BN533">
        <v>0.95</v>
      </c>
      <c r="BO533">
        <v>1</v>
      </c>
      <c r="BP533">
        <v>1</v>
      </c>
      <c r="BQ533" t="s">
        <v>125</v>
      </c>
      <c r="BR533">
        <v>0.10084</v>
      </c>
      <c r="BS533">
        <v>39.831932999999999</v>
      </c>
      <c r="BT533">
        <v>50</v>
      </c>
      <c r="BU533">
        <v>9.2784000000000005E-2</v>
      </c>
      <c r="BV533">
        <v>41.443299000000003</v>
      </c>
      <c r="BW533">
        <v>50</v>
      </c>
      <c r="BX533" t="s">
        <v>125</v>
      </c>
      <c r="BY533" t="s">
        <v>125</v>
      </c>
      <c r="BZ533" t="s">
        <v>125</v>
      </c>
      <c r="CA533" t="s">
        <v>125</v>
      </c>
      <c r="CB533" t="s">
        <v>125</v>
      </c>
      <c r="CC533" t="s">
        <v>125</v>
      </c>
      <c r="CD533">
        <v>0.95</v>
      </c>
      <c r="CE533">
        <v>50</v>
      </c>
      <c r="CF533">
        <v>50</v>
      </c>
      <c r="CG533" t="s">
        <v>125</v>
      </c>
      <c r="CH533" t="s">
        <v>125</v>
      </c>
      <c r="CI533" t="s">
        <v>125</v>
      </c>
      <c r="CJ533" t="s">
        <v>125</v>
      </c>
      <c r="CK533" t="s">
        <v>125</v>
      </c>
      <c r="CL533" t="s">
        <v>125</v>
      </c>
      <c r="CM533" t="s">
        <v>125</v>
      </c>
      <c r="CN533" t="s">
        <v>125</v>
      </c>
      <c r="CO533" t="s">
        <v>125</v>
      </c>
      <c r="CP533" t="s">
        <v>125</v>
      </c>
      <c r="CQ533">
        <v>0.84375</v>
      </c>
      <c r="CR533">
        <v>1</v>
      </c>
      <c r="CS533">
        <v>50</v>
      </c>
      <c r="CT533">
        <v>50</v>
      </c>
      <c r="CU533" t="s">
        <v>125</v>
      </c>
      <c r="CV533" t="s">
        <v>125</v>
      </c>
      <c r="CW533" t="s">
        <v>125</v>
      </c>
      <c r="CX533" t="s">
        <v>125</v>
      </c>
      <c r="CY533" t="s">
        <v>125</v>
      </c>
      <c r="CZ533" t="s">
        <v>125</v>
      </c>
      <c r="DA533">
        <v>15.314097</v>
      </c>
      <c r="DB533">
        <v>17.400950000000002</v>
      </c>
      <c r="DC533">
        <v>16.332519999999999</v>
      </c>
      <c r="DD533" t="s">
        <v>125</v>
      </c>
      <c r="DE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Q533" t="s">
        <v>126</v>
      </c>
    </row>
    <row r="534" spans="1:121" x14ac:dyDescent="0.15">
      <c r="A534">
        <v>2018</v>
      </c>
      <c r="B534" t="s">
        <v>287</v>
      </c>
      <c r="C534" t="str">
        <f t="shared" si="17"/>
        <v>0640011</v>
      </c>
      <c r="D534" t="s">
        <v>690</v>
      </c>
      <c r="E534" t="str">
        <f>"0640111"</f>
        <v>0640111</v>
      </c>
      <c r="F534" t="s">
        <v>328</v>
      </c>
      <c r="G534" t="s">
        <v>329</v>
      </c>
      <c r="H534">
        <v>8</v>
      </c>
      <c r="I534" t="s">
        <v>336</v>
      </c>
      <c r="J534" t="s">
        <v>331</v>
      </c>
      <c r="K534">
        <v>473.05312900000001</v>
      </c>
      <c r="L534">
        <v>950</v>
      </c>
      <c r="M534">
        <v>49.795065999999998</v>
      </c>
      <c r="N534">
        <v>5</v>
      </c>
      <c r="O534">
        <v>0</v>
      </c>
      <c r="P534">
        <v>45.601263000000003</v>
      </c>
      <c r="Q534">
        <v>30.400842000000001</v>
      </c>
      <c r="R534">
        <v>50</v>
      </c>
      <c r="S534">
        <v>45.377206000000001</v>
      </c>
      <c r="T534" t="s">
        <v>125</v>
      </c>
      <c r="U534">
        <v>30.251470999999999</v>
      </c>
      <c r="V534">
        <v>50</v>
      </c>
      <c r="W534">
        <v>38.838797999999997</v>
      </c>
      <c r="X534">
        <v>25.892531999999999</v>
      </c>
      <c r="Y534">
        <v>50</v>
      </c>
      <c r="Z534" t="s">
        <v>125</v>
      </c>
      <c r="AA534">
        <v>38.702601999999999</v>
      </c>
      <c r="AB534">
        <v>25.801734</v>
      </c>
      <c r="AC534">
        <v>50</v>
      </c>
      <c r="AD534">
        <v>50.701557000000001</v>
      </c>
      <c r="AE534">
        <v>33.801037999999998</v>
      </c>
      <c r="AF534">
        <v>50</v>
      </c>
      <c r="AG534">
        <v>50.519410000000001</v>
      </c>
      <c r="AH534" t="s">
        <v>125</v>
      </c>
      <c r="AI534">
        <v>33.679606</v>
      </c>
      <c r="AJ534">
        <v>50</v>
      </c>
      <c r="AK534" t="s">
        <v>125</v>
      </c>
      <c r="AL534" t="s">
        <v>125</v>
      </c>
      <c r="AM534" t="s">
        <v>125</v>
      </c>
      <c r="AN534">
        <v>0.43195499999999998</v>
      </c>
      <c r="AO534">
        <v>43.195540000000001</v>
      </c>
      <c r="AP534">
        <v>100</v>
      </c>
      <c r="AQ534">
        <v>0.35958499999999999</v>
      </c>
      <c r="AR534">
        <v>35.958472</v>
      </c>
      <c r="AS534">
        <v>100</v>
      </c>
      <c r="AT534">
        <v>0.43200100000000002</v>
      </c>
      <c r="AU534" t="s">
        <v>125</v>
      </c>
      <c r="AV534">
        <v>43.200082000000002</v>
      </c>
      <c r="AW534">
        <v>100</v>
      </c>
      <c r="AX534">
        <v>0.35200500000000001</v>
      </c>
      <c r="AY534" t="s">
        <v>125</v>
      </c>
      <c r="AZ534">
        <v>35.200457999999998</v>
      </c>
      <c r="BA534">
        <v>100</v>
      </c>
      <c r="BB534">
        <v>0.60546299999999997</v>
      </c>
      <c r="BC534">
        <v>30.273167000000001</v>
      </c>
      <c r="BD534">
        <v>50</v>
      </c>
      <c r="BE534">
        <v>0.42738700000000002</v>
      </c>
      <c r="BF534">
        <v>21.369365999999999</v>
      </c>
      <c r="BG534">
        <v>50</v>
      </c>
      <c r="BH534">
        <v>0</v>
      </c>
      <c r="BI534">
        <v>0.995726</v>
      </c>
      <c r="BJ534">
        <v>0.99551599999999996</v>
      </c>
      <c r="BK534" t="s">
        <v>125</v>
      </c>
      <c r="BL534">
        <v>0.995726</v>
      </c>
      <c r="BM534">
        <v>0.99551599999999996</v>
      </c>
      <c r="BN534" t="s">
        <v>125</v>
      </c>
      <c r="BO534">
        <v>0.98387100000000005</v>
      </c>
      <c r="BP534">
        <v>0.98360700000000001</v>
      </c>
      <c r="BQ534" t="s">
        <v>125</v>
      </c>
      <c r="BR534">
        <v>0.217391</v>
      </c>
      <c r="BS534">
        <v>16.521739</v>
      </c>
      <c r="BT534">
        <v>50</v>
      </c>
      <c r="BU534">
        <v>0.21246499999999999</v>
      </c>
      <c r="BV534">
        <v>17.507082</v>
      </c>
      <c r="BW534">
        <v>50</v>
      </c>
      <c r="BX534" t="s">
        <v>125</v>
      </c>
      <c r="BY534" t="s">
        <v>125</v>
      </c>
      <c r="BZ534" t="s">
        <v>125</v>
      </c>
      <c r="CA534" t="s">
        <v>125</v>
      </c>
      <c r="CB534" t="s">
        <v>125</v>
      </c>
      <c r="CC534" t="s">
        <v>125</v>
      </c>
      <c r="CD534" t="s">
        <v>125</v>
      </c>
      <c r="CE534" t="s">
        <v>125</v>
      </c>
      <c r="CF534" t="s">
        <v>125</v>
      </c>
      <c r="CG534" t="s">
        <v>125</v>
      </c>
      <c r="CH534" t="s">
        <v>125</v>
      </c>
      <c r="CI534" t="s">
        <v>125</v>
      </c>
      <c r="CJ534" t="s">
        <v>125</v>
      </c>
      <c r="CK534" t="s">
        <v>125</v>
      </c>
      <c r="CL534" t="s">
        <v>125</v>
      </c>
      <c r="CM534" t="s">
        <v>125</v>
      </c>
      <c r="CN534" t="s">
        <v>125</v>
      </c>
      <c r="CO534" t="s">
        <v>125</v>
      </c>
      <c r="CP534" t="s">
        <v>125</v>
      </c>
      <c r="CQ534">
        <v>0.78991599999999995</v>
      </c>
      <c r="CR534">
        <v>0.99166699999999997</v>
      </c>
      <c r="CS534">
        <v>50</v>
      </c>
      <c r="CT534">
        <v>50</v>
      </c>
      <c r="CU534" t="s">
        <v>125</v>
      </c>
      <c r="CV534" t="s">
        <v>125</v>
      </c>
      <c r="CW534" t="s">
        <v>125</v>
      </c>
      <c r="CX534" t="s">
        <v>125</v>
      </c>
      <c r="CY534" t="s">
        <v>125</v>
      </c>
      <c r="CZ534" t="s">
        <v>125</v>
      </c>
      <c r="DA534">
        <v>15.314097</v>
      </c>
      <c r="DB534">
        <v>17.400950000000002</v>
      </c>
      <c r="DC534">
        <v>16.332519999999999</v>
      </c>
      <c r="DD534" t="s">
        <v>125</v>
      </c>
      <c r="DE534">
        <v>0</v>
      </c>
      <c r="DF534" t="s">
        <v>376</v>
      </c>
      <c r="DG534" t="s">
        <v>377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Q534" t="s">
        <v>126</v>
      </c>
    </row>
    <row r="535" spans="1:121" x14ac:dyDescent="0.15">
      <c r="A535">
        <v>2018</v>
      </c>
      <c r="B535" t="s">
        <v>287</v>
      </c>
      <c r="C535" t="str">
        <f t="shared" si="17"/>
        <v>0640011</v>
      </c>
      <c r="D535" t="s">
        <v>691</v>
      </c>
      <c r="E535" t="str">
        <f>"0642511"</f>
        <v>0642511</v>
      </c>
      <c r="F535" t="s">
        <v>328</v>
      </c>
      <c r="G535" t="s">
        <v>339</v>
      </c>
      <c r="H535">
        <v>8</v>
      </c>
      <c r="I535" t="s">
        <v>336</v>
      </c>
      <c r="J535" t="s">
        <v>331</v>
      </c>
      <c r="K535">
        <v>791.61897499999998</v>
      </c>
      <c r="L535">
        <v>1000</v>
      </c>
      <c r="M535">
        <v>79.161896999999996</v>
      </c>
      <c r="N535">
        <v>3</v>
      </c>
      <c r="O535">
        <v>1</v>
      </c>
      <c r="P535">
        <v>71.167146000000002</v>
      </c>
      <c r="Q535">
        <v>47.444763999999999</v>
      </c>
      <c r="R535">
        <v>50</v>
      </c>
      <c r="S535">
        <v>63.112735999999998</v>
      </c>
      <c r="T535">
        <v>75</v>
      </c>
      <c r="U535">
        <v>42.075156999999997</v>
      </c>
      <c r="V535">
        <v>50</v>
      </c>
      <c r="W535">
        <v>65.768387000000004</v>
      </c>
      <c r="X535">
        <v>43.845590999999999</v>
      </c>
      <c r="Y535">
        <v>50</v>
      </c>
      <c r="Z535">
        <v>75</v>
      </c>
      <c r="AA535">
        <v>55.969355</v>
      </c>
      <c r="AB535">
        <v>37.312904000000003</v>
      </c>
      <c r="AC535">
        <v>50</v>
      </c>
      <c r="AD535">
        <v>69.130967999999996</v>
      </c>
      <c r="AE535">
        <v>46.087311999999997</v>
      </c>
      <c r="AF535">
        <v>50</v>
      </c>
      <c r="AG535">
        <v>62.251151</v>
      </c>
      <c r="AH535">
        <v>75</v>
      </c>
      <c r="AI535">
        <v>41.500768000000001</v>
      </c>
      <c r="AJ535">
        <v>50</v>
      </c>
      <c r="AK535">
        <v>11.88</v>
      </c>
      <c r="AL535">
        <v>19.03</v>
      </c>
      <c r="AM535">
        <v>12.74</v>
      </c>
      <c r="AN535">
        <v>0.73594300000000001</v>
      </c>
      <c r="AO535">
        <v>73.594251</v>
      </c>
      <c r="AP535">
        <v>100</v>
      </c>
      <c r="AQ535">
        <v>0.66023799999999999</v>
      </c>
      <c r="AR535">
        <v>66.023759999999996</v>
      </c>
      <c r="AS535">
        <v>100</v>
      </c>
      <c r="AT535">
        <v>0.72886799999999996</v>
      </c>
      <c r="AU535">
        <v>0.74460700000000002</v>
      </c>
      <c r="AV535">
        <v>72.886774000000003</v>
      </c>
      <c r="AW535">
        <v>100</v>
      </c>
      <c r="AX535">
        <v>0.59164300000000003</v>
      </c>
      <c r="AY535">
        <v>0.74520200000000003</v>
      </c>
      <c r="AZ535">
        <v>59.164270000000002</v>
      </c>
      <c r="BA535">
        <v>100</v>
      </c>
      <c r="BB535">
        <v>0.99200200000000005</v>
      </c>
      <c r="BC535">
        <v>49.600116999999997</v>
      </c>
      <c r="BD535">
        <v>50</v>
      </c>
      <c r="BE535">
        <v>0.61546699999999999</v>
      </c>
      <c r="BF535">
        <v>30.773343000000001</v>
      </c>
      <c r="BG535">
        <v>50</v>
      </c>
      <c r="BH535">
        <v>0</v>
      </c>
      <c r="BI535">
        <v>1</v>
      </c>
      <c r="BJ535">
        <v>1</v>
      </c>
      <c r="BK535">
        <v>1</v>
      </c>
      <c r="BL535">
        <v>0.99583299999999997</v>
      </c>
      <c r="BM535">
        <v>1</v>
      </c>
      <c r="BN535">
        <v>0.99065400000000003</v>
      </c>
      <c r="BO535">
        <v>1</v>
      </c>
      <c r="BP535">
        <v>1</v>
      </c>
      <c r="BQ535">
        <v>1</v>
      </c>
      <c r="BR535">
        <v>0.06</v>
      </c>
      <c r="BS535">
        <v>48</v>
      </c>
      <c r="BT535">
        <v>50</v>
      </c>
      <c r="BU535">
        <v>8.9108999999999994E-2</v>
      </c>
      <c r="BV535">
        <v>42.178218000000001</v>
      </c>
      <c r="BW535">
        <v>50</v>
      </c>
      <c r="BX535" t="s">
        <v>125</v>
      </c>
      <c r="BY535" t="s">
        <v>125</v>
      </c>
      <c r="BZ535" t="s">
        <v>125</v>
      </c>
      <c r="CA535" t="s">
        <v>125</v>
      </c>
      <c r="CB535" t="s">
        <v>125</v>
      </c>
      <c r="CC535" t="s">
        <v>125</v>
      </c>
      <c r="CD535">
        <v>0.91666700000000001</v>
      </c>
      <c r="CE535">
        <v>48.758865</v>
      </c>
      <c r="CF535">
        <v>50</v>
      </c>
      <c r="CG535" t="s">
        <v>125</v>
      </c>
      <c r="CH535" t="s">
        <v>125</v>
      </c>
      <c r="CI535" t="s">
        <v>125</v>
      </c>
      <c r="CJ535" t="s">
        <v>125</v>
      </c>
      <c r="CK535" t="s">
        <v>125</v>
      </c>
      <c r="CL535" t="s">
        <v>125</v>
      </c>
      <c r="CM535" t="s">
        <v>125</v>
      </c>
      <c r="CN535" t="s">
        <v>125</v>
      </c>
      <c r="CO535" t="s">
        <v>125</v>
      </c>
      <c r="CP535" t="s">
        <v>125</v>
      </c>
      <c r="CQ535">
        <v>0.63559299999999996</v>
      </c>
      <c r="CR535">
        <v>1</v>
      </c>
      <c r="CS535">
        <v>42.372881</v>
      </c>
      <c r="CT535">
        <v>50</v>
      </c>
      <c r="CU535" t="s">
        <v>125</v>
      </c>
      <c r="CV535" t="s">
        <v>125</v>
      </c>
      <c r="CW535" t="s">
        <v>125</v>
      </c>
      <c r="CX535" t="s">
        <v>125</v>
      </c>
      <c r="CY535" t="s">
        <v>125</v>
      </c>
      <c r="CZ535" t="s">
        <v>125</v>
      </c>
      <c r="DA535">
        <v>15.314097</v>
      </c>
      <c r="DB535">
        <v>17.400950000000002</v>
      </c>
      <c r="DC535">
        <v>16.332519999999999</v>
      </c>
      <c r="DD535" t="s">
        <v>125</v>
      </c>
      <c r="DE535">
        <v>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Q535" t="s">
        <v>126</v>
      </c>
    </row>
    <row r="536" spans="1:121" x14ac:dyDescent="0.15">
      <c r="A536">
        <v>2018</v>
      </c>
      <c r="B536" t="s">
        <v>287</v>
      </c>
      <c r="C536" t="str">
        <f t="shared" si="17"/>
        <v>0640011</v>
      </c>
      <c r="D536" t="s">
        <v>692</v>
      </c>
      <c r="E536" t="str">
        <f>"0643011"</f>
        <v>0643011</v>
      </c>
      <c r="F536" t="s">
        <v>328</v>
      </c>
      <c r="G536" t="s">
        <v>329</v>
      </c>
      <c r="H536">
        <v>5</v>
      </c>
      <c r="I536" t="s">
        <v>336</v>
      </c>
      <c r="J536" t="s">
        <v>331</v>
      </c>
      <c r="K536">
        <v>525.53542100000004</v>
      </c>
      <c r="L536">
        <v>950</v>
      </c>
      <c r="M536">
        <v>55.319518000000002</v>
      </c>
      <c r="N536">
        <v>3</v>
      </c>
      <c r="O536">
        <v>0</v>
      </c>
      <c r="P536">
        <v>50.529653000000003</v>
      </c>
      <c r="Q536">
        <v>33.686435000000003</v>
      </c>
      <c r="R536">
        <v>50</v>
      </c>
      <c r="S536">
        <v>50.503681</v>
      </c>
      <c r="T536" t="s">
        <v>125</v>
      </c>
      <c r="U536">
        <v>33.669120999999997</v>
      </c>
      <c r="V536">
        <v>50</v>
      </c>
      <c r="W536">
        <v>51.704526000000001</v>
      </c>
      <c r="X536">
        <v>34.469684000000001</v>
      </c>
      <c r="Y536">
        <v>50</v>
      </c>
      <c r="Z536" t="s">
        <v>125</v>
      </c>
      <c r="AA536">
        <v>51.647649000000001</v>
      </c>
      <c r="AB536">
        <v>34.431766000000003</v>
      </c>
      <c r="AC536">
        <v>50</v>
      </c>
      <c r="AD536">
        <v>47.326411</v>
      </c>
      <c r="AE536">
        <v>31.550941000000002</v>
      </c>
      <c r="AF536">
        <v>50</v>
      </c>
      <c r="AG536">
        <v>47.326411</v>
      </c>
      <c r="AH536" t="s">
        <v>125</v>
      </c>
      <c r="AI536">
        <v>31.550941000000002</v>
      </c>
      <c r="AJ536">
        <v>50</v>
      </c>
      <c r="AK536" t="s">
        <v>125</v>
      </c>
      <c r="AL536" t="s">
        <v>125</v>
      </c>
      <c r="AM536" t="s">
        <v>125</v>
      </c>
      <c r="AN536">
        <v>0.402557</v>
      </c>
      <c r="AO536">
        <v>40.255661000000003</v>
      </c>
      <c r="AP536">
        <v>100</v>
      </c>
      <c r="AQ536">
        <v>0.524733</v>
      </c>
      <c r="AR536">
        <v>52.473281999999998</v>
      </c>
      <c r="AS536">
        <v>100</v>
      </c>
      <c r="AT536">
        <v>0.402557</v>
      </c>
      <c r="AU536" t="s">
        <v>125</v>
      </c>
      <c r="AV536">
        <v>40.255661000000003</v>
      </c>
      <c r="AW536">
        <v>100</v>
      </c>
      <c r="AX536">
        <v>0.524733</v>
      </c>
      <c r="AY536" t="s">
        <v>125</v>
      </c>
      <c r="AZ536">
        <v>52.473281999999998</v>
      </c>
      <c r="BA536">
        <v>100</v>
      </c>
      <c r="BB536">
        <v>0.66463099999999997</v>
      </c>
      <c r="BC536">
        <v>33.231546999999999</v>
      </c>
      <c r="BD536">
        <v>50</v>
      </c>
      <c r="BE536">
        <v>0.455843</v>
      </c>
      <c r="BF536">
        <v>22.792162999999999</v>
      </c>
      <c r="BG536">
        <v>50</v>
      </c>
      <c r="BH536">
        <v>0</v>
      </c>
      <c r="BI536">
        <v>1</v>
      </c>
      <c r="BJ536">
        <v>1</v>
      </c>
      <c r="BK536" t="s">
        <v>125</v>
      </c>
      <c r="BL536">
        <v>1</v>
      </c>
      <c r="BM536">
        <v>1</v>
      </c>
      <c r="BN536" t="s">
        <v>125</v>
      </c>
      <c r="BO536">
        <v>1</v>
      </c>
      <c r="BP536">
        <v>1</v>
      </c>
      <c r="BQ536" t="s">
        <v>125</v>
      </c>
      <c r="BR536">
        <v>0.19841300000000001</v>
      </c>
      <c r="BS536">
        <v>20.317460000000001</v>
      </c>
      <c r="BT536">
        <v>50</v>
      </c>
      <c r="BU536">
        <v>0.202156</v>
      </c>
      <c r="BV536">
        <v>19.568733000000002</v>
      </c>
      <c r="BW536">
        <v>50</v>
      </c>
      <c r="BX536" t="s">
        <v>125</v>
      </c>
      <c r="BY536" t="s">
        <v>125</v>
      </c>
      <c r="BZ536" t="s">
        <v>125</v>
      </c>
      <c r="CA536" t="s">
        <v>125</v>
      </c>
      <c r="CB536" t="s">
        <v>125</v>
      </c>
      <c r="CC536" t="s">
        <v>125</v>
      </c>
      <c r="CD536" t="s">
        <v>125</v>
      </c>
      <c r="CE536" t="s">
        <v>125</v>
      </c>
      <c r="CF536" t="s">
        <v>125</v>
      </c>
      <c r="CG536" t="s">
        <v>125</v>
      </c>
      <c r="CH536" t="s">
        <v>125</v>
      </c>
      <c r="CI536" t="s">
        <v>125</v>
      </c>
      <c r="CJ536" t="s">
        <v>125</v>
      </c>
      <c r="CK536" t="s">
        <v>125</v>
      </c>
      <c r="CL536" t="s">
        <v>125</v>
      </c>
      <c r="CM536" t="s">
        <v>125</v>
      </c>
      <c r="CN536" t="s">
        <v>125</v>
      </c>
      <c r="CO536" t="s">
        <v>125</v>
      </c>
      <c r="CP536" t="s">
        <v>125</v>
      </c>
      <c r="CQ536">
        <v>0.67213100000000003</v>
      </c>
      <c r="CR536">
        <v>1</v>
      </c>
      <c r="CS536">
        <v>44.808743</v>
      </c>
      <c r="CT536">
        <v>50</v>
      </c>
      <c r="CU536" t="s">
        <v>125</v>
      </c>
      <c r="CV536" t="s">
        <v>125</v>
      </c>
      <c r="CW536" t="s">
        <v>125</v>
      </c>
      <c r="CX536" t="s">
        <v>125</v>
      </c>
      <c r="CY536" t="s">
        <v>125</v>
      </c>
      <c r="CZ536" t="s">
        <v>125</v>
      </c>
      <c r="DA536">
        <v>15.314097</v>
      </c>
      <c r="DB536">
        <v>17.400950000000002</v>
      </c>
      <c r="DC536">
        <v>16.332519999999999</v>
      </c>
      <c r="DD536" t="s">
        <v>125</v>
      </c>
      <c r="DE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Q536" t="s">
        <v>126</v>
      </c>
    </row>
    <row r="537" spans="1:121" x14ac:dyDescent="0.15">
      <c r="A537">
        <v>2018</v>
      </c>
      <c r="B537" t="s">
        <v>287</v>
      </c>
      <c r="C537" t="str">
        <f t="shared" si="17"/>
        <v>0640011</v>
      </c>
      <c r="D537" t="s">
        <v>693</v>
      </c>
      <c r="E537" t="str">
        <f>"0646511"</f>
        <v>0646511</v>
      </c>
      <c r="F537" t="s">
        <v>328</v>
      </c>
      <c r="G537">
        <v>6</v>
      </c>
      <c r="H537">
        <v>12</v>
      </c>
      <c r="I537" t="s">
        <v>336</v>
      </c>
      <c r="J537" t="s">
        <v>331</v>
      </c>
      <c r="K537">
        <v>949.75981000000002</v>
      </c>
      <c r="L537">
        <v>1450</v>
      </c>
      <c r="M537">
        <v>65.500676999999996</v>
      </c>
      <c r="N537">
        <v>4</v>
      </c>
      <c r="O537">
        <v>0</v>
      </c>
      <c r="P537">
        <v>51.489395000000002</v>
      </c>
      <c r="Q537">
        <v>34.326264000000002</v>
      </c>
      <c r="R537">
        <v>50</v>
      </c>
      <c r="S537">
        <v>49.373196999999998</v>
      </c>
      <c r="T537">
        <v>60.536909000000001</v>
      </c>
      <c r="U537">
        <v>32.915464999999998</v>
      </c>
      <c r="V537">
        <v>50</v>
      </c>
      <c r="W537">
        <v>47.855274999999999</v>
      </c>
      <c r="X537">
        <v>31.903517000000001</v>
      </c>
      <c r="Y537">
        <v>50</v>
      </c>
      <c r="Z537">
        <v>58.056491000000001</v>
      </c>
      <c r="AA537">
        <v>45.469228000000001</v>
      </c>
      <c r="AB537">
        <v>30.312818</v>
      </c>
      <c r="AC537">
        <v>50</v>
      </c>
      <c r="AD537">
        <v>53.846029000000001</v>
      </c>
      <c r="AE537">
        <v>35.897353000000003</v>
      </c>
      <c r="AF537">
        <v>50</v>
      </c>
      <c r="AG537">
        <v>51.292932999999998</v>
      </c>
      <c r="AH537">
        <v>65.225539999999995</v>
      </c>
      <c r="AI537">
        <v>34.195289000000002</v>
      </c>
      <c r="AJ537">
        <v>50</v>
      </c>
      <c r="AK537">
        <v>11.16</v>
      </c>
      <c r="AL537">
        <v>12.58</v>
      </c>
      <c r="AM537">
        <v>13.93</v>
      </c>
      <c r="AN537">
        <v>0.46663300000000002</v>
      </c>
      <c r="AO537">
        <v>46.663307000000003</v>
      </c>
      <c r="AP537">
        <v>100</v>
      </c>
      <c r="AQ537">
        <v>0.47738799999999998</v>
      </c>
      <c r="AR537">
        <v>47.738762000000001</v>
      </c>
      <c r="AS537">
        <v>100</v>
      </c>
      <c r="AT537">
        <v>0.48693399999999998</v>
      </c>
      <c r="AU537">
        <v>0.38933299999999998</v>
      </c>
      <c r="AV537">
        <v>48.693401000000001</v>
      </c>
      <c r="AW537">
        <v>100</v>
      </c>
      <c r="AX537">
        <v>0.45583299999999999</v>
      </c>
      <c r="AY537">
        <v>0.55904500000000001</v>
      </c>
      <c r="AZ537">
        <v>45.583342999999999</v>
      </c>
      <c r="BA537">
        <v>100</v>
      </c>
      <c r="BB537">
        <v>0.36185400000000001</v>
      </c>
      <c r="BC537">
        <v>18.092684999999999</v>
      </c>
      <c r="BD537">
        <v>50</v>
      </c>
      <c r="BE537">
        <v>0.32681300000000002</v>
      </c>
      <c r="BF537">
        <v>16.340627000000001</v>
      </c>
      <c r="BG537">
        <v>50</v>
      </c>
      <c r="BH537">
        <v>0</v>
      </c>
      <c r="BI537">
        <v>0.991892</v>
      </c>
      <c r="BJ537">
        <v>0.99003300000000005</v>
      </c>
      <c r="BK537">
        <v>1</v>
      </c>
      <c r="BL537">
        <v>0.991892</v>
      </c>
      <c r="BM537">
        <v>0.99003300000000005</v>
      </c>
      <c r="BN537">
        <v>1</v>
      </c>
      <c r="BO537">
        <v>0.98963699999999999</v>
      </c>
      <c r="BP537">
        <v>0.98734200000000005</v>
      </c>
      <c r="BQ537">
        <v>1</v>
      </c>
      <c r="BR537">
        <v>0.19849600000000001</v>
      </c>
      <c r="BS537">
        <v>20.300751999999999</v>
      </c>
      <c r="BT537">
        <v>50</v>
      </c>
      <c r="BU537">
        <v>0.227357</v>
      </c>
      <c r="BV537">
        <v>14.528651</v>
      </c>
      <c r="BW537">
        <v>50</v>
      </c>
      <c r="BX537">
        <v>0.82587100000000002</v>
      </c>
      <c r="BY537">
        <v>50</v>
      </c>
      <c r="BZ537">
        <v>50</v>
      </c>
      <c r="CA537">
        <v>0.283582</v>
      </c>
      <c r="CB537">
        <v>18.905473000000001</v>
      </c>
      <c r="CC537">
        <v>50</v>
      </c>
      <c r="CD537">
        <v>0.92972999999999995</v>
      </c>
      <c r="CE537">
        <v>49.453709000000003</v>
      </c>
      <c r="CF537">
        <v>50</v>
      </c>
      <c r="CG537">
        <v>0.94949499999999998</v>
      </c>
      <c r="CH537">
        <v>100</v>
      </c>
      <c r="CI537">
        <v>100</v>
      </c>
      <c r="CJ537">
        <v>0</v>
      </c>
      <c r="CK537">
        <v>0.98863599999999996</v>
      </c>
      <c r="CL537">
        <v>100</v>
      </c>
      <c r="CM537">
        <v>100</v>
      </c>
      <c r="CN537">
        <v>0.77319599999999999</v>
      </c>
      <c r="CO537">
        <v>100</v>
      </c>
      <c r="CP537">
        <v>100</v>
      </c>
      <c r="CQ537">
        <v>0.59925099999999998</v>
      </c>
      <c r="CR537">
        <v>1</v>
      </c>
      <c r="CS537">
        <v>39.950062000000003</v>
      </c>
      <c r="CT537">
        <v>50</v>
      </c>
      <c r="CU537">
        <v>0.40749999999999997</v>
      </c>
      <c r="CV537">
        <v>33.958333000000003</v>
      </c>
      <c r="CW537">
        <v>50</v>
      </c>
      <c r="CX537">
        <v>0.98863599999999996</v>
      </c>
      <c r="CY537" t="s">
        <v>125</v>
      </c>
      <c r="CZ537" t="s">
        <v>125</v>
      </c>
      <c r="DA537">
        <v>15.314097</v>
      </c>
      <c r="DB537">
        <v>17.400950000000002</v>
      </c>
      <c r="DC537">
        <v>16.332519999999999</v>
      </c>
      <c r="DD537">
        <v>7.9891730000000001</v>
      </c>
      <c r="DE537">
        <v>0</v>
      </c>
      <c r="DF537" t="s">
        <v>385</v>
      </c>
      <c r="DG537" t="s">
        <v>648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Q537" t="s">
        <v>126</v>
      </c>
    </row>
    <row r="538" spans="1:121" x14ac:dyDescent="0.15">
      <c r="A538">
        <v>2018</v>
      </c>
      <c r="B538" t="s">
        <v>287</v>
      </c>
      <c r="C538" t="str">
        <f t="shared" si="17"/>
        <v>0640011</v>
      </c>
      <c r="D538" t="s">
        <v>694</v>
      </c>
      <c r="E538" t="str">
        <f>"0646711"</f>
        <v>0646711</v>
      </c>
      <c r="F538" t="s">
        <v>328</v>
      </c>
      <c r="G538">
        <v>9</v>
      </c>
      <c r="H538">
        <v>12</v>
      </c>
      <c r="I538" t="s">
        <v>336</v>
      </c>
      <c r="J538" t="s">
        <v>331</v>
      </c>
      <c r="K538">
        <v>1180.7908500000001</v>
      </c>
      <c r="L538">
        <v>1450</v>
      </c>
      <c r="M538">
        <v>81.433852000000002</v>
      </c>
      <c r="N538">
        <v>3</v>
      </c>
      <c r="O538">
        <v>1</v>
      </c>
      <c r="P538">
        <v>63.215409000000001</v>
      </c>
      <c r="Q538">
        <v>126.430818</v>
      </c>
      <c r="R538">
        <v>150</v>
      </c>
      <c r="S538">
        <v>55.325268999999999</v>
      </c>
      <c r="T538">
        <v>74.333332999999996</v>
      </c>
      <c r="U538">
        <v>110.650538</v>
      </c>
      <c r="V538">
        <v>150</v>
      </c>
      <c r="W538">
        <v>65.429244999999995</v>
      </c>
      <c r="X538">
        <v>130.85849099999999</v>
      </c>
      <c r="Y538">
        <v>150</v>
      </c>
      <c r="Z538">
        <v>75</v>
      </c>
      <c r="AA538">
        <v>55.177419</v>
      </c>
      <c r="AB538">
        <v>110.354839</v>
      </c>
      <c r="AC538">
        <v>150</v>
      </c>
      <c r="AD538">
        <v>64.177515</v>
      </c>
      <c r="AE538">
        <v>85.57002</v>
      </c>
      <c r="AF538">
        <v>100</v>
      </c>
      <c r="AG538">
        <v>55.253846000000003</v>
      </c>
      <c r="AH538">
        <v>75</v>
      </c>
      <c r="AI538">
        <v>73.671795000000003</v>
      </c>
      <c r="AJ538">
        <v>100</v>
      </c>
      <c r="AK538">
        <v>19</v>
      </c>
      <c r="AL538">
        <v>19.82</v>
      </c>
      <c r="AM538">
        <v>19.739999999999998</v>
      </c>
      <c r="AN538" t="s">
        <v>125</v>
      </c>
      <c r="AO538" t="s">
        <v>125</v>
      </c>
      <c r="AP538" t="s">
        <v>125</v>
      </c>
      <c r="AQ538" t="s">
        <v>125</v>
      </c>
      <c r="AR538" t="s">
        <v>125</v>
      </c>
      <c r="AS538" t="s">
        <v>125</v>
      </c>
      <c r="AT538" t="s">
        <v>125</v>
      </c>
      <c r="AU538" t="s">
        <v>125</v>
      </c>
      <c r="AV538" t="s">
        <v>125</v>
      </c>
      <c r="AW538" t="s">
        <v>125</v>
      </c>
      <c r="AX538" t="s">
        <v>125</v>
      </c>
      <c r="AY538" t="s">
        <v>125</v>
      </c>
      <c r="AZ538" t="s">
        <v>125</v>
      </c>
      <c r="BA538" t="s">
        <v>125</v>
      </c>
      <c r="BB538" t="s">
        <v>125</v>
      </c>
      <c r="BC538" t="s">
        <v>125</v>
      </c>
      <c r="BD538" t="s">
        <v>125</v>
      </c>
      <c r="BE538" t="s">
        <v>125</v>
      </c>
      <c r="BF538" t="s">
        <v>125</v>
      </c>
      <c r="BG538" t="s">
        <v>125</v>
      </c>
      <c r="BH538">
        <v>1</v>
      </c>
      <c r="BI538">
        <v>0.97247700000000004</v>
      </c>
      <c r="BJ538">
        <v>0.95384599999999997</v>
      </c>
      <c r="BK538">
        <v>1</v>
      </c>
      <c r="BL538">
        <v>0.97247700000000004</v>
      </c>
      <c r="BM538">
        <v>0.95384599999999997</v>
      </c>
      <c r="BN538">
        <v>1</v>
      </c>
      <c r="BO538">
        <v>0.95412799999999998</v>
      </c>
      <c r="BP538">
        <v>0.92307700000000004</v>
      </c>
      <c r="BQ538">
        <v>1</v>
      </c>
      <c r="BR538">
        <v>0.14460799999999999</v>
      </c>
      <c r="BS538">
        <v>31.078430999999998</v>
      </c>
      <c r="BT538">
        <v>50</v>
      </c>
      <c r="BU538">
        <v>0.192913</v>
      </c>
      <c r="BV538">
        <v>21.417323</v>
      </c>
      <c r="BW538">
        <v>50</v>
      </c>
      <c r="BX538">
        <v>0.93877600000000005</v>
      </c>
      <c r="BY538">
        <v>50</v>
      </c>
      <c r="BZ538">
        <v>50</v>
      </c>
      <c r="CA538">
        <v>0.56122399999999995</v>
      </c>
      <c r="CB538">
        <v>37.414966</v>
      </c>
      <c r="CC538">
        <v>50</v>
      </c>
      <c r="CD538">
        <v>0.86111099999999996</v>
      </c>
      <c r="CE538">
        <v>45.803783000000003</v>
      </c>
      <c r="CF538">
        <v>50</v>
      </c>
      <c r="CG538">
        <v>0.91509399999999996</v>
      </c>
      <c r="CH538">
        <v>97.350461999999993</v>
      </c>
      <c r="CI538">
        <v>100</v>
      </c>
      <c r="CJ538">
        <v>0</v>
      </c>
      <c r="CK538">
        <v>0.92500000000000004</v>
      </c>
      <c r="CL538">
        <v>98.404255000000006</v>
      </c>
      <c r="CM538">
        <v>100</v>
      </c>
      <c r="CN538">
        <v>0.77777799999999997</v>
      </c>
      <c r="CO538">
        <v>100</v>
      </c>
      <c r="CP538">
        <v>100</v>
      </c>
      <c r="CQ538">
        <v>0.546875</v>
      </c>
      <c r="CR538">
        <v>1.8461540000000001</v>
      </c>
      <c r="CS538">
        <v>36.458333000000003</v>
      </c>
      <c r="CT538">
        <v>50</v>
      </c>
      <c r="CU538">
        <v>0.30392200000000003</v>
      </c>
      <c r="CV538">
        <v>25.326796999999999</v>
      </c>
      <c r="CW538">
        <v>50</v>
      </c>
      <c r="CX538">
        <v>0.92500000000000004</v>
      </c>
      <c r="CY538">
        <v>0.94</v>
      </c>
      <c r="CZ538">
        <v>1.4999999999999999E-2</v>
      </c>
      <c r="DA538">
        <v>15.314097</v>
      </c>
      <c r="DB538">
        <v>17.400950000000002</v>
      </c>
      <c r="DC538">
        <v>16.332519999999999</v>
      </c>
      <c r="DD538">
        <v>7.9891730000000001</v>
      </c>
      <c r="DE538">
        <v>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Q538" t="s">
        <v>126</v>
      </c>
    </row>
    <row r="539" spans="1:121" x14ac:dyDescent="0.15">
      <c r="A539">
        <v>2018</v>
      </c>
      <c r="B539" t="s">
        <v>287</v>
      </c>
      <c r="C539" t="str">
        <f t="shared" si="17"/>
        <v>0640011</v>
      </c>
      <c r="D539" t="s">
        <v>695</v>
      </c>
      <c r="E539" t="str">
        <f>"0642011"</f>
        <v>0642011</v>
      </c>
      <c r="F539" t="s">
        <v>328</v>
      </c>
      <c r="G539" t="s">
        <v>329</v>
      </c>
      <c r="H539">
        <v>8</v>
      </c>
      <c r="I539" t="s">
        <v>336</v>
      </c>
      <c r="J539" t="s">
        <v>331</v>
      </c>
      <c r="K539">
        <v>691.62448099999995</v>
      </c>
      <c r="L539">
        <v>1000</v>
      </c>
      <c r="M539">
        <v>69.162447999999998</v>
      </c>
      <c r="N539">
        <v>3</v>
      </c>
      <c r="O539">
        <v>0</v>
      </c>
      <c r="P539">
        <v>60.385117999999999</v>
      </c>
      <c r="Q539">
        <v>40.256745000000002</v>
      </c>
      <c r="R539">
        <v>50</v>
      </c>
      <c r="S539">
        <v>57.627912000000002</v>
      </c>
      <c r="T539">
        <v>70.777663000000004</v>
      </c>
      <c r="U539">
        <v>38.418607999999999</v>
      </c>
      <c r="V539">
        <v>50</v>
      </c>
      <c r="W539">
        <v>55.866489000000001</v>
      </c>
      <c r="X539">
        <v>37.244326000000001</v>
      </c>
      <c r="Y539">
        <v>50</v>
      </c>
      <c r="Z539">
        <v>66.572457999999997</v>
      </c>
      <c r="AA539">
        <v>53.014488999999998</v>
      </c>
      <c r="AB539">
        <v>35.342993</v>
      </c>
      <c r="AC539">
        <v>50</v>
      </c>
      <c r="AD539">
        <v>63.700817999999998</v>
      </c>
      <c r="AE539">
        <v>42.467212000000004</v>
      </c>
      <c r="AF539">
        <v>50</v>
      </c>
      <c r="AG539">
        <v>62.237485999999997</v>
      </c>
      <c r="AH539" t="s">
        <v>125</v>
      </c>
      <c r="AI539">
        <v>41.491656999999996</v>
      </c>
      <c r="AJ539">
        <v>50</v>
      </c>
      <c r="AK539">
        <v>13.14</v>
      </c>
      <c r="AL539">
        <v>13.55</v>
      </c>
      <c r="AM539" t="s">
        <v>125</v>
      </c>
      <c r="AN539">
        <v>0.599962</v>
      </c>
      <c r="AO539">
        <v>59.996197000000002</v>
      </c>
      <c r="AP539">
        <v>100</v>
      </c>
      <c r="AQ539">
        <v>0.55171300000000001</v>
      </c>
      <c r="AR539">
        <v>55.171295000000001</v>
      </c>
      <c r="AS539">
        <v>100</v>
      </c>
      <c r="AT539">
        <v>0.58294900000000005</v>
      </c>
      <c r="AU539">
        <v>0.68950599999999995</v>
      </c>
      <c r="AV539">
        <v>58.294862000000002</v>
      </c>
      <c r="AW539">
        <v>100</v>
      </c>
      <c r="AX539">
        <v>0.56450900000000004</v>
      </c>
      <c r="AY539">
        <v>0.48436499999999999</v>
      </c>
      <c r="AZ539">
        <v>56.450904999999999</v>
      </c>
      <c r="BA539">
        <v>100</v>
      </c>
      <c r="BB539">
        <v>0.54646799999999995</v>
      </c>
      <c r="BC539">
        <v>27.323415000000001</v>
      </c>
      <c r="BD539">
        <v>50</v>
      </c>
      <c r="BE539">
        <v>0.44209300000000001</v>
      </c>
      <c r="BF539">
        <v>22.104662999999999</v>
      </c>
      <c r="BG539">
        <v>50</v>
      </c>
      <c r="BH539">
        <v>0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 t="s">
        <v>125</v>
      </c>
      <c r="BR539">
        <v>6.8626999999999994E-2</v>
      </c>
      <c r="BS539">
        <v>46.274509999999999</v>
      </c>
      <c r="BT539">
        <v>50</v>
      </c>
      <c r="BU539">
        <v>7.9786999999999997E-2</v>
      </c>
      <c r="BV539">
        <v>44.042552999999998</v>
      </c>
      <c r="BW539">
        <v>50</v>
      </c>
      <c r="BX539" t="s">
        <v>125</v>
      </c>
      <c r="BY539" t="s">
        <v>125</v>
      </c>
      <c r="BZ539" t="s">
        <v>125</v>
      </c>
      <c r="CA539" t="s">
        <v>125</v>
      </c>
      <c r="CB539" t="s">
        <v>125</v>
      </c>
      <c r="CC539" t="s">
        <v>125</v>
      </c>
      <c r="CD539">
        <v>0.89189200000000002</v>
      </c>
      <c r="CE539">
        <v>47.441057999999998</v>
      </c>
      <c r="CF539">
        <v>50</v>
      </c>
      <c r="CG539" t="s">
        <v>125</v>
      </c>
      <c r="CH539" t="s">
        <v>125</v>
      </c>
      <c r="CI539" t="s">
        <v>125</v>
      </c>
      <c r="CJ539" t="s">
        <v>125</v>
      </c>
      <c r="CK539" t="s">
        <v>125</v>
      </c>
      <c r="CL539" t="s">
        <v>125</v>
      </c>
      <c r="CM539" t="s">
        <v>125</v>
      </c>
      <c r="CN539" t="s">
        <v>125</v>
      </c>
      <c r="CO539" t="s">
        <v>125</v>
      </c>
      <c r="CP539" t="s">
        <v>125</v>
      </c>
      <c r="CQ539">
        <v>0.58955199999999996</v>
      </c>
      <c r="CR539">
        <v>0.99259299999999995</v>
      </c>
      <c r="CS539">
        <v>39.303483</v>
      </c>
      <c r="CT539">
        <v>50</v>
      </c>
      <c r="CU539" t="s">
        <v>125</v>
      </c>
      <c r="CV539" t="s">
        <v>125</v>
      </c>
      <c r="CW539" t="s">
        <v>125</v>
      </c>
      <c r="CX539" t="s">
        <v>125</v>
      </c>
      <c r="CY539" t="s">
        <v>125</v>
      </c>
      <c r="CZ539" t="s">
        <v>125</v>
      </c>
      <c r="DA539">
        <v>15.314097</v>
      </c>
      <c r="DB539">
        <v>17.400950000000002</v>
      </c>
      <c r="DC539">
        <v>16.332519999999999</v>
      </c>
      <c r="DD539" t="s">
        <v>125</v>
      </c>
      <c r="DE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Q539" t="s">
        <v>126</v>
      </c>
    </row>
    <row r="540" spans="1:121" x14ac:dyDescent="0.15">
      <c r="A540">
        <v>2018</v>
      </c>
      <c r="B540" t="s">
        <v>287</v>
      </c>
      <c r="C540" t="str">
        <f t="shared" si="17"/>
        <v>0640011</v>
      </c>
      <c r="D540" t="s">
        <v>696</v>
      </c>
      <c r="E540" t="str">
        <f>"0642111"</f>
        <v>0642111</v>
      </c>
      <c r="F540" t="s">
        <v>328</v>
      </c>
      <c r="G540" t="s">
        <v>329</v>
      </c>
      <c r="H540">
        <v>8</v>
      </c>
      <c r="I540" t="s">
        <v>336</v>
      </c>
      <c r="J540" t="s">
        <v>331</v>
      </c>
      <c r="K540">
        <v>580.92703300000005</v>
      </c>
      <c r="L540">
        <v>1000</v>
      </c>
      <c r="M540">
        <v>58.092703</v>
      </c>
      <c r="N540">
        <v>3</v>
      </c>
      <c r="O540">
        <v>0</v>
      </c>
      <c r="P540">
        <v>51.637580999999997</v>
      </c>
      <c r="Q540">
        <v>34.425054000000003</v>
      </c>
      <c r="R540">
        <v>50</v>
      </c>
      <c r="S540">
        <v>51.157111999999998</v>
      </c>
      <c r="T540" t="s">
        <v>125</v>
      </c>
      <c r="U540">
        <v>34.104740999999997</v>
      </c>
      <c r="V540">
        <v>50</v>
      </c>
      <c r="W540">
        <v>46.937615999999998</v>
      </c>
      <c r="X540">
        <v>31.291744000000001</v>
      </c>
      <c r="Y540">
        <v>50</v>
      </c>
      <c r="Z540" t="s">
        <v>125</v>
      </c>
      <c r="AA540">
        <v>46.629350000000002</v>
      </c>
      <c r="AB540">
        <v>31.086234000000001</v>
      </c>
      <c r="AC540">
        <v>50</v>
      </c>
      <c r="AD540">
        <v>47.168734000000001</v>
      </c>
      <c r="AE540">
        <v>31.445822</v>
      </c>
      <c r="AF540">
        <v>50</v>
      </c>
      <c r="AG540">
        <v>47.028067999999998</v>
      </c>
      <c r="AH540" t="s">
        <v>125</v>
      </c>
      <c r="AI540">
        <v>31.352045</v>
      </c>
      <c r="AJ540">
        <v>50</v>
      </c>
      <c r="AK540" t="s">
        <v>125</v>
      </c>
      <c r="AL540" t="s">
        <v>125</v>
      </c>
      <c r="AM540" t="s">
        <v>125</v>
      </c>
      <c r="AN540">
        <v>0.48524400000000001</v>
      </c>
      <c r="AO540">
        <v>48.524431</v>
      </c>
      <c r="AP540">
        <v>100</v>
      </c>
      <c r="AQ540">
        <v>0.53492700000000004</v>
      </c>
      <c r="AR540">
        <v>53.492699999999999</v>
      </c>
      <c r="AS540">
        <v>100</v>
      </c>
      <c r="AT540">
        <v>0.479236</v>
      </c>
      <c r="AU540" t="s">
        <v>125</v>
      </c>
      <c r="AV540">
        <v>47.923616000000003</v>
      </c>
      <c r="AW540">
        <v>100</v>
      </c>
      <c r="AX540">
        <v>0.53712300000000002</v>
      </c>
      <c r="AY540" t="s">
        <v>125</v>
      </c>
      <c r="AZ540">
        <v>53.712299999999999</v>
      </c>
      <c r="BA540">
        <v>100</v>
      </c>
      <c r="BB540">
        <v>0.54848399999999997</v>
      </c>
      <c r="BC540">
        <v>27.424178000000001</v>
      </c>
      <c r="BD540">
        <v>50</v>
      </c>
      <c r="BE540">
        <v>0.45384200000000002</v>
      </c>
      <c r="BF540">
        <v>22.692087999999998</v>
      </c>
      <c r="BG540">
        <v>50</v>
      </c>
      <c r="BH540">
        <v>0</v>
      </c>
      <c r="BI540">
        <v>0.99705900000000003</v>
      </c>
      <c r="BJ540">
        <v>0.99683500000000003</v>
      </c>
      <c r="BK540">
        <v>1</v>
      </c>
      <c r="BL540">
        <v>0.99411799999999995</v>
      </c>
      <c r="BM540">
        <v>0.99367099999999997</v>
      </c>
      <c r="BN540">
        <v>1</v>
      </c>
      <c r="BO540">
        <v>0.99206300000000003</v>
      </c>
      <c r="BP540">
        <v>0.99152499999999999</v>
      </c>
      <c r="BQ540" t="s">
        <v>125</v>
      </c>
      <c r="BR540">
        <v>0.180258</v>
      </c>
      <c r="BS540">
        <v>23.948498000000001</v>
      </c>
      <c r="BT540">
        <v>50</v>
      </c>
      <c r="BU540">
        <v>0.17849000000000001</v>
      </c>
      <c r="BV540">
        <v>24.302059</v>
      </c>
      <c r="BW540">
        <v>50</v>
      </c>
      <c r="BX540" t="s">
        <v>125</v>
      </c>
      <c r="BY540" t="s">
        <v>125</v>
      </c>
      <c r="BZ540" t="s">
        <v>125</v>
      </c>
      <c r="CA540" t="s">
        <v>125</v>
      </c>
      <c r="CB540" t="s">
        <v>125</v>
      </c>
      <c r="CC540" t="s">
        <v>125</v>
      </c>
      <c r="CD540">
        <v>0.7</v>
      </c>
      <c r="CE540">
        <v>37.234043</v>
      </c>
      <c r="CF540">
        <v>50</v>
      </c>
      <c r="CG540" t="s">
        <v>125</v>
      </c>
      <c r="CH540" t="s">
        <v>125</v>
      </c>
      <c r="CI540" t="s">
        <v>125</v>
      </c>
      <c r="CJ540" t="s">
        <v>125</v>
      </c>
      <c r="CK540" t="s">
        <v>125</v>
      </c>
      <c r="CL540" t="s">
        <v>125</v>
      </c>
      <c r="CM540" t="s">
        <v>125</v>
      </c>
      <c r="CN540" t="s">
        <v>125</v>
      </c>
      <c r="CO540" t="s">
        <v>125</v>
      </c>
      <c r="CP540" t="s">
        <v>125</v>
      </c>
      <c r="CQ540">
        <v>0.71951200000000004</v>
      </c>
      <c r="CR540">
        <v>0.98795200000000005</v>
      </c>
      <c r="CS540">
        <v>47.967480000000002</v>
      </c>
      <c r="CT540">
        <v>50</v>
      </c>
      <c r="CU540" t="s">
        <v>125</v>
      </c>
      <c r="CV540" t="s">
        <v>125</v>
      </c>
      <c r="CW540" t="s">
        <v>125</v>
      </c>
      <c r="CX540" t="s">
        <v>125</v>
      </c>
      <c r="CY540" t="s">
        <v>125</v>
      </c>
      <c r="CZ540" t="s">
        <v>125</v>
      </c>
      <c r="DA540">
        <v>15.314097</v>
      </c>
      <c r="DB540">
        <v>17.400950000000002</v>
      </c>
      <c r="DC540">
        <v>16.332519999999999</v>
      </c>
      <c r="DD540" t="s">
        <v>125</v>
      </c>
      <c r="DE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Q540" t="s">
        <v>126</v>
      </c>
    </row>
    <row r="541" spans="1:121" x14ac:dyDescent="0.15">
      <c r="A541">
        <v>2018</v>
      </c>
      <c r="B541" t="s">
        <v>287</v>
      </c>
      <c r="C541" t="str">
        <f t="shared" si="17"/>
        <v>0640011</v>
      </c>
      <c r="D541" t="s">
        <v>697</v>
      </c>
      <c r="E541" t="str">
        <f>"0642211"</f>
        <v>0642211</v>
      </c>
      <c r="F541" t="s">
        <v>328</v>
      </c>
      <c r="G541" t="s">
        <v>329</v>
      </c>
      <c r="H541">
        <v>8</v>
      </c>
      <c r="I541" t="s">
        <v>336</v>
      </c>
      <c r="J541" t="s">
        <v>331</v>
      </c>
      <c r="K541">
        <v>421.913388</v>
      </c>
      <c r="L541">
        <v>1000</v>
      </c>
      <c r="M541">
        <v>42.191338999999999</v>
      </c>
      <c r="N541">
        <v>5</v>
      </c>
      <c r="O541">
        <v>0</v>
      </c>
      <c r="P541">
        <v>43.204861999999999</v>
      </c>
      <c r="Q541">
        <v>28.803241</v>
      </c>
      <c r="R541">
        <v>50</v>
      </c>
      <c r="S541">
        <v>42.919471999999999</v>
      </c>
      <c r="T541" t="s">
        <v>125</v>
      </c>
      <c r="U541">
        <v>28.612981000000001</v>
      </c>
      <c r="V541">
        <v>50</v>
      </c>
      <c r="W541">
        <v>37.527388999999999</v>
      </c>
      <c r="X541">
        <v>25.018259</v>
      </c>
      <c r="Y541">
        <v>50</v>
      </c>
      <c r="Z541" t="s">
        <v>125</v>
      </c>
      <c r="AA541">
        <v>37.313268999999998</v>
      </c>
      <c r="AB541">
        <v>24.875513000000002</v>
      </c>
      <c r="AC541">
        <v>50</v>
      </c>
      <c r="AD541">
        <v>42.241934999999998</v>
      </c>
      <c r="AE541">
        <v>28.161290000000001</v>
      </c>
      <c r="AF541">
        <v>50</v>
      </c>
      <c r="AG541">
        <v>41.523121000000003</v>
      </c>
      <c r="AH541" t="s">
        <v>125</v>
      </c>
      <c r="AI541">
        <v>27.682081</v>
      </c>
      <c r="AJ541">
        <v>50</v>
      </c>
      <c r="AK541" t="s">
        <v>125</v>
      </c>
      <c r="AL541" t="s">
        <v>125</v>
      </c>
      <c r="AM541" t="s">
        <v>125</v>
      </c>
      <c r="AN541">
        <v>0.40142499999999998</v>
      </c>
      <c r="AO541">
        <v>40.142515000000003</v>
      </c>
      <c r="AP541">
        <v>100</v>
      </c>
      <c r="AQ541">
        <v>0.42279600000000001</v>
      </c>
      <c r="AR541">
        <v>42.279578000000001</v>
      </c>
      <c r="AS541">
        <v>100</v>
      </c>
      <c r="AT541">
        <v>0.39760299999999998</v>
      </c>
      <c r="AU541" t="s">
        <v>125</v>
      </c>
      <c r="AV541">
        <v>39.760281999999997</v>
      </c>
      <c r="AW541">
        <v>100</v>
      </c>
      <c r="AX541">
        <v>0.41866100000000001</v>
      </c>
      <c r="AY541" t="s">
        <v>125</v>
      </c>
      <c r="AZ541">
        <v>41.866076999999997</v>
      </c>
      <c r="BA541">
        <v>100</v>
      </c>
      <c r="BB541">
        <v>0.52098599999999995</v>
      </c>
      <c r="BC541">
        <v>26.049295000000001</v>
      </c>
      <c r="BD541">
        <v>50</v>
      </c>
      <c r="BE541">
        <v>0.34497800000000001</v>
      </c>
      <c r="BF541">
        <v>17.24888</v>
      </c>
      <c r="BG541">
        <v>50</v>
      </c>
      <c r="BH541">
        <v>0</v>
      </c>
      <c r="BI541">
        <v>0.988506</v>
      </c>
      <c r="BJ541">
        <v>0.99695100000000003</v>
      </c>
      <c r="BK541">
        <v>0.85</v>
      </c>
      <c r="BL541">
        <v>0.97092999999999996</v>
      </c>
      <c r="BM541">
        <v>0.97222200000000003</v>
      </c>
      <c r="BN541">
        <v>0.95</v>
      </c>
      <c r="BO541">
        <v>0.97058800000000001</v>
      </c>
      <c r="BP541">
        <v>0.98936199999999996</v>
      </c>
      <c r="BQ541" t="s">
        <v>125</v>
      </c>
      <c r="BR541">
        <v>0.368421</v>
      </c>
      <c r="BS541">
        <v>0</v>
      </c>
      <c r="BT541">
        <v>50</v>
      </c>
      <c r="BU541">
        <v>0.37417899999999998</v>
      </c>
      <c r="BV541">
        <v>0</v>
      </c>
      <c r="BW541">
        <v>50</v>
      </c>
      <c r="BX541" t="s">
        <v>125</v>
      </c>
      <c r="BY541" t="s">
        <v>125</v>
      </c>
      <c r="BZ541" t="s">
        <v>125</v>
      </c>
      <c r="CA541" t="s">
        <v>125</v>
      </c>
      <c r="CB541" t="s">
        <v>125</v>
      </c>
      <c r="CC541" t="s">
        <v>125</v>
      </c>
      <c r="CD541">
        <v>0.709677</v>
      </c>
      <c r="CE541">
        <v>37.748798999999998</v>
      </c>
      <c r="CF541">
        <v>50</v>
      </c>
      <c r="CG541" t="s">
        <v>125</v>
      </c>
      <c r="CH541" t="s">
        <v>125</v>
      </c>
      <c r="CI541" t="s">
        <v>125</v>
      </c>
      <c r="CJ541" t="s">
        <v>125</v>
      </c>
      <c r="CK541" t="s">
        <v>125</v>
      </c>
      <c r="CL541" t="s">
        <v>125</v>
      </c>
      <c r="CM541" t="s">
        <v>125</v>
      </c>
      <c r="CN541" t="s">
        <v>125</v>
      </c>
      <c r="CO541" t="s">
        <v>125</v>
      </c>
      <c r="CP541" t="s">
        <v>125</v>
      </c>
      <c r="CQ541">
        <v>0.20496900000000001</v>
      </c>
      <c r="CR541">
        <v>0.95833299999999999</v>
      </c>
      <c r="CS541">
        <v>13.664596</v>
      </c>
      <c r="CT541">
        <v>50</v>
      </c>
      <c r="CU541" t="s">
        <v>125</v>
      </c>
      <c r="CV541" t="s">
        <v>125</v>
      </c>
      <c r="CW541" t="s">
        <v>125</v>
      </c>
      <c r="CX541" t="s">
        <v>125</v>
      </c>
      <c r="CY541" t="s">
        <v>125</v>
      </c>
      <c r="CZ541" t="s">
        <v>125</v>
      </c>
      <c r="DA541">
        <v>15.314097</v>
      </c>
      <c r="DB541">
        <v>17.400950000000002</v>
      </c>
      <c r="DC541">
        <v>16.332519999999999</v>
      </c>
      <c r="DD541" t="s">
        <v>125</v>
      </c>
      <c r="DE541">
        <v>0</v>
      </c>
      <c r="DF541" t="s">
        <v>376</v>
      </c>
      <c r="DG541" t="s">
        <v>377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Q541" t="s">
        <v>126</v>
      </c>
    </row>
    <row r="542" spans="1:121" x14ac:dyDescent="0.15">
      <c r="A542">
        <v>2018</v>
      </c>
      <c r="B542" t="s">
        <v>274</v>
      </c>
      <c r="C542" t="str">
        <f>"0650011"</f>
        <v>0650011</v>
      </c>
      <c r="D542" t="s">
        <v>698</v>
      </c>
      <c r="E542" t="str">
        <f>"0650111"</f>
        <v>0650111</v>
      </c>
      <c r="F542" t="s">
        <v>328</v>
      </c>
      <c r="G542" t="s">
        <v>329</v>
      </c>
      <c r="H542">
        <v>8</v>
      </c>
      <c r="I542" t="s">
        <v>330</v>
      </c>
      <c r="J542" t="s">
        <v>331</v>
      </c>
      <c r="K542">
        <v>742.01942499999996</v>
      </c>
      <c r="L542">
        <v>850</v>
      </c>
      <c r="M542">
        <v>87.296402999999998</v>
      </c>
      <c r="N542">
        <v>1</v>
      </c>
      <c r="O542">
        <v>0</v>
      </c>
      <c r="P542">
        <v>78.555666000000002</v>
      </c>
      <c r="Q542">
        <v>50</v>
      </c>
      <c r="R542">
        <v>50</v>
      </c>
      <c r="S542">
        <v>71.754232000000002</v>
      </c>
      <c r="T542">
        <v>75</v>
      </c>
      <c r="U542">
        <v>47.836154999999998</v>
      </c>
      <c r="V542">
        <v>50</v>
      </c>
      <c r="W542">
        <v>69.971546000000004</v>
      </c>
      <c r="X542">
        <v>46.647697000000001</v>
      </c>
      <c r="Y542">
        <v>50</v>
      </c>
      <c r="Z542">
        <v>73.162414999999996</v>
      </c>
      <c r="AA542">
        <v>63.178083999999998</v>
      </c>
      <c r="AB542">
        <v>42.118723000000003</v>
      </c>
      <c r="AC542">
        <v>50</v>
      </c>
      <c r="AD542">
        <v>79.492707999999993</v>
      </c>
      <c r="AE542">
        <v>50</v>
      </c>
      <c r="AF542">
        <v>50</v>
      </c>
      <c r="AG542" t="s">
        <v>125</v>
      </c>
      <c r="AH542">
        <v>75</v>
      </c>
      <c r="AI542" t="s">
        <v>125</v>
      </c>
      <c r="AJ542" t="s">
        <v>125</v>
      </c>
      <c r="AK542">
        <v>3.24</v>
      </c>
      <c r="AL542">
        <v>9.98</v>
      </c>
      <c r="AM542" t="s">
        <v>125</v>
      </c>
      <c r="AN542">
        <v>0.72462199999999999</v>
      </c>
      <c r="AO542">
        <v>72.462165999999996</v>
      </c>
      <c r="AP542">
        <v>100</v>
      </c>
      <c r="AQ542">
        <v>0.77302999999999999</v>
      </c>
      <c r="AR542">
        <v>77.303009000000003</v>
      </c>
      <c r="AS542">
        <v>100</v>
      </c>
      <c r="AT542">
        <v>0.71638400000000002</v>
      </c>
      <c r="AU542">
        <v>0.72786300000000004</v>
      </c>
      <c r="AV542">
        <v>71.638356999999999</v>
      </c>
      <c r="AW542">
        <v>100</v>
      </c>
      <c r="AX542">
        <v>0.84013300000000002</v>
      </c>
      <c r="AY542">
        <v>0.74662899999999999</v>
      </c>
      <c r="AZ542">
        <v>84.013317999999998</v>
      </c>
      <c r="BA542">
        <v>100</v>
      </c>
      <c r="BB542" t="s">
        <v>125</v>
      </c>
      <c r="BC542" t="s">
        <v>125</v>
      </c>
      <c r="BD542" t="s">
        <v>125</v>
      </c>
      <c r="BE542" t="s">
        <v>125</v>
      </c>
      <c r="BF542" t="s">
        <v>125</v>
      </c>
      <c r="BG542" t="s">
        <v>125</v>
      </c>
      <c r="BH542">
        <v>0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 t="s">
        <v>125</v>
      </c>
      <c r="BQ542">
        <v>1</v>
      </c>
      <c r="BR542">
        <v>1.3422999999999999E-2</v>
      </c>
      <c r="BS542">
        <v>50</v>
      </c>
      <c r="BT542">
        <v>50</v>
      </c>
      <c r="BU542">
        <v>1.8519000000000001E-2</v>
      </c>
      <c r="BV542">
        <v>50</v>
      </c>
      <c r="BW542">
        <v>50</v>
      </c>
      <c r="BX542" t="s">
        <v>125</v>
      </c>
      <c r="BY542" t="s">
        <v>125</v>
      </c>
      <c r="BZ542" t="s">
        <v>125</v>
      </c>
      <c r="CA542" t="s">
        <v>125</v>
      </c>
      <c r="CB542" t="s">
        <v>125</v>
      </c>
      <c r="CC542" t="s">
        <v>125</v>
      </c>
      <c r="CD542">
        <v>0.96875</v>
      </c>
      <c r="CE542">
        <v>50</v>
      </c>
      <c r="CF542">
        <v>50</v>
      </c>
      <c r="CG542" t="s">
        <v>125</v>
      </c>
      <c r="CH542" t="s">
        <v>125</v>
      </c>
      <c r="CI542" t="s">
        <v>125</v>
      </c>
      <c r="CJ542" t="s">
        <v>125</v>
      </c>
      <c r="CK542" t="s">
        <v>125</v>
      </c>
      <c r="CL542" t="s">
        <v>125</v>
      </c>
      <c r="CM542" t="s">
        <v>125</v>
      </c>
      <c r="CN542" t="s">
        <v>125</v>
      </c>
      <c r="CO542" t="s">
        <v>125</v>
      </c>
      <c r="CP542" t="s">
        <v>125</v>
      </c>
      <c r="CQ542">
        <v>0.94827600000000001</v>
      </c>
      <c r="CR542">
        <v>1</v>
      </c>
      <c r="CS542">
        <v>50</v>
      </c>
      <c r="CT542">
        <v>50</v>
      </c>
      <c r="CU542" t="s">
        <v>125</v>
      </c>
      <c r="CV542" t="s">
        <v>125</v>
      </c>
      <c r="CW542" t="s">
        <v>125</v>
      </c>
      <c r="CX542" t="s">
        <v>125</v>
      </c>
      <c r="CY542" t="s">
        <v>125</v>
      </c>
      <c r="CZ542" t="s">
        <v>125</v>
      </c>
      <c r="DA542">
        <v>15.314097</v>
      </c>
      <c r="DB542">
        <v>17.400950000000002</v>
      </c>
      <c r="DC542">
        <v>16.332519999999999</v>
      </c>
      <c r="DD542" t="s">
        <v>125</v>
      </c>
      <c r="DE542">
        <v>0</v>
      </c>
      <c r="DH542" t="s">
        <v>332</v>
      </c>
      <c r="DI542" t="s">
        <v>699</v>
      </c>
      <c r="DJ542">
        <v>1</v>
      </c>
      <c r="DK542">
        <v>0</v>
      </c>
      <c r="DL542">
        <v>0</v>
      </c>
      <c r="DM542">
        <v>1</v>
      </c>
      <c r="DN542">
        <v>1</v>
      </c>
      <c r="DO542">
        <v>0</v>
      </c>
      <c r="DQ542" t="s">
        <v>126</v>
      </c>
    </row>
    <row r="543" spans="1:121" x14ac:dyDescent="0.15">
      <c r="A543">
        <v>2018</v>
      </c>
      <c r="B543" t="s">
        <v>307</v>
      </c>
      <c r="C543" t="str">
        <f>"0670011"</f>
        <v>0670011</v>
      </c>
      <c r="D543" t="s">
        <v>700</v>
      </c>
      <c r="E543" t="str">
        <f>"0670211"</f>
        <v>0670211</v>
      </c>
      <c r="F543" t="s">
        <v>328</v>
      </c>
      <c r="G543" t="s">
        <v>329</v>
      </c>
      <c r="H543">
        <v>2</v>
      </c>
      <c r="I543" t="s">
        <v>330</v>
      </c>
      <c r="J543" t="s">
        <v>331</v>
      </c>
      <c r="K543">
        <v>100</v>
      </c>
      <c r="L543">
        <v>100</v>
      </c>
      <c r="M543">
        <v>100</v>
      </c>
      <c r="N543" t="s">
        <v>125</v>
      </c>
      <c r="O543" t="s">
        <v>125</v>
      </c>
      <c r="P543" t="s">
        <v>125</v>
      </c>
      <c r="Q543" t="s">
        <v>125</v>
      </c>
      <c r="R543" t="s">
        <v>125</v>
      </c>
      <c r="S543" t="s">
        <v>125</v>
      </c>
      <c r="T543" t="s">
        <v>125</v>
      </c>
      <c r="U543" t="s">
        <v>125</v>
      </c>
      <c r="V543" t="s">
        <v>125</v>
      </c>
      <c r="W543" t="s">
        <v>125</v>
      </c>
      <c r="X543" t="s">
        <v>125</v>
      </c>
      <c r="Y543" t="s">
        <v>125</v>
      </c>
      <c r="Z543" t="s">
        <v>125</v>
      </c>
      <c r="AA543" t="s">
        <v>125</v>
      </c>
      <c r="AB543" t="s">
        <v>125</v>
      </c>
      <c r="AC543" t="s">
        <v>125</v>
      </c>
      <c r="AD543" t="s">
        <v>125</v>
      </c>
      <c r="AE543" t="s">
        <v>125</v>
      </c>
      <c r="AF543" t="s">
        <v>125</v>
      </c>
      <c r="AG543" t="s">
        <v>125</v>
      </c>
      <c r="AH543" t="s">
        <v>125</v>
      </c>
      <c r="AI543" t="s">
        <v>125</v>
      </c>
      <c r="AJ543" t="s">
        <v>125</v>
      </c>
      <c r="AK543" t="s">
        <v>125</v>
      </c>
      <c r="AL543" t="s">
        <v>125</v>
      </c>
      <c r="AM543" t="s">
        <v>125</v>
      </c>
      <c r="AN543" t="s">
        <v>125</v>
      </c>
      <c r="AO543" t="s">
        <v>125</v>
      </c>
      <c r="AP543" t="s">
        <v>125</v>
      </c>
      <c r="AQ543" t="s">
        <v>125</v>
      </c>
      <c r="AR543" t="s">
        <v>125</v>
      </c>
      <c r="AS543" t="s">
        <v>125</v>
      </c>
      <c r="AT543" t="s">
        <v>125</v>
      </c>
      <c r="AU543" t="s">
        <v>125</v>
      </c>
      <c r="AV543" t="s">
        <v>125</v>
      </c>
      <c r="AW543" t="s">
        <v>125</v>
      </c>
      <c r="AX543" t="s">
        <v>125</v>
      </c>
      <c r="AY543" t="s">
        <v>125</v>
      </c>
      <c r="AZ543" t="s">
        <v>125</v>
      </c>
      <c r="BA543" t="s">
        <v>125</v>
      </c>
      <c r="BB543" t="s">
        <v>125</v>
      </c>
      <c r="BC543" t="s">
        <v>125</v>
      </c>
      <c r="BD543" t="s">
        <v>125</v>
      </c>
      <c r="BE543" t="s">
        <v>125</v>
      </c>
      <c r="BF543" t="s">
        <v>125</v>
      </c>
      <c r="BG543" t="s">
        <v>125</v>
      </c>
      <c r="BH543" t="s">
        <v>125</v>
      </c>
      <c r="BI543" t="s">
        <v>125</v>
      </c>
      <c r="BJ543" t="s">
        <v>125</v>
      </c>
      <c r="BK543" t="s">
        <v>125</v>
      </c>
      <c r="BL543" t="s">
        <v>125</v>
      </c>
      <c r="BM543" t="s">
        <v>125</v>
      </c>
      <c r="BN543" t="s">
        <v>125</v>
      </c>
      <c r="BO543" t="s">
        <v>125</v>
      </c>
      <c r="BP543" t="s">
        <v>125</v>
      </c>
      <c r="BQ543" t="s">
        <v>125</v>
      </c>
      <c r="BR543">
        <v>1.2711999999999999E-2</v>
      </c>
      <c r="BS543">
        <v>50</v>
      </c>
      <c r="BT543">
        <v>50</v>
      </c>
      <c r="BU543">
        <v>2.0833000000000001E-2</v>
      </c>
      <c r="BV543">
        <v>50</v>
      </c>
      <c r="BW543">
        <v>50</v>
      </c>
      <c r="BX543" t="s">
        <v>125</v>
      </c>
      <c r="BY543" t="s">
        <v>125</v>
      </c>
      <c r="BZ543" t="s">
        <v>125</v>
      </c>
      <c r="CA543" t="s">
        <v>125</v>
      </c>
      <c r="CB543" t="s">
        <v>125</v>
      </c>
      <c r="CC543" t="s">
        <v>125</v>
      </c>
      <c r="CD543" t="s">
        <v>125</v>
      </c>
      <c r="CE543" t="s">
        <v>125</v>
      </c>
      <c r="CF543" t="s">
        <v>125</v>
      </c>
      <c r="CG543" t="s">
        <v>125</v>
      </c>
      <c r="CH543" t="s">
        <v>125</v>
      </c>
      <c r="CI543" t="s">
        <v>125</v>
      </c>
      <c r="CJ543" t="s">
        <v>125</v>
      </c>
      <c r="CK543" t="s">
        <v>125</v>
      </c>
      <c r="CL543" t="s">
        <v>125</v>
      </c>
      <c r="CM543" t="s">
        <v>125</v>
      </c>
      <c r="CN543" t="s">
        <v>125</v>
      </c>
      <c r="CO543" t="s">
        <v>125</v>
      </c>
      <c r="CP543" t="s">
        <v>125</v>
      </c>
      <c r="CQ543" t="s">
        <v>125</v>
      </c>
      <c r="CR543" t="s">
        <v>125</v>
      </c>
      <c r="CS543" t="s">
        <v>125</v>
      </c>
      <c r="CT543" t="s">
        <v>125</v>
      </c>
      <c r="CU543" t="s">
        <v>125</v>
      </c>
      <c r="CV543" t="s">
        <v>125</v>
      </c>
      <c r="CW543" t="s">
        <v>125</v>
      </c>
      <c r="CX543" t="s">
        <v>125</v>
      </c>
      <c r="CY543" t="s">
        <v>125</v>
      </c>
      <c r="CZ543" t="s">
        <v>125</v>
      </c>
      <c r="DA543" t="s">
        <v>125</v>
      </c>
      <c r="DB543" t="s">
        <v>125</v>
      </c>
      <c r="DC543" t="s">
        <v>125</v>
      </c>
      <c r="DD543" t="s">
        <v>125</v>
      </c>
      <c r="DE543" t="s">
        <v>125</v>
      </c>
      <c r="DJ543" t="s">
        <v>125</v>
      </c>
      <c r="DK543" t="s">
        <v>125</v>
      </c>
      <c r="DL543" t="s">
        <v>125</v>
      </c>
      <c r="DM543" t="s">
        <v>125</v>
      </c>
      <c r="DN543" t="s">
        <v>125</v>
      </c>
      <c r="DO543" t="s">
        <v>125</v>
      </c>
      <c r="DQ543" t="s">
        <v>126</v>
      </c>
    </row>
    <row r="544" spans="1:121" x14ac:dyDescent="0.15">
      <c r="A544">
        <v>2018</v>
      </c>
      <c r="B544" t="s">
        <v>307</v>
      </c>
      <c r="C544" t="str">
        <f>"0670011"</f>
        <v>0670011</v>
      </c>
      <c r="D544" t="s">
        <v>701</v>
      </c>
      <c r="E544" t="str">
        <f>"0670111"</f>
        <v>0670111</v>
      </c>
      <c r="F544" t="s">
        <v>328</v>
      </c>
      <c r="G544">
        <v>3</v>
      </c>
      <c r="H544">
        <v>6</v>
      </c>
      <c r="I544" t="s">
        <v>330</v>
      </c>
      <c r="J544" t="s">
        <v>331</v>
      </c>
      <c r="K544">
        <v>622.48799599999995</v>
      </c>
      <c r="L544">
        <v>850</v>
      </c>
      <c r="M544">
        <v>73.233881999999994</v>
      </c>
      <c r="N544">
        <v>2</v>
      </c>
      <c r="O544">
        <v>0</v>
      </c>
      <c r="P544">
        <v>74.062211000000005</v>
      </c>
      <c r="Q544">
        <v>49.374806999999997</v>
      </c>
      <c r="R544">
        <v>50</v>
      </c>
      <c r="S544">
        <v>62.397460000000002</v>
      </c>
      <c r="T544">
        <v>75</v>
      </c>
      <c r="U544">
        <v>41.598306000000001</v>
      </c>
      <c r="V544">
        <v>50</v>
      </c>
      <c r="W544">
        <v>72.819040999999999</v>
      </c>
      <c r="X544">
        <v>48.546028</v>
      </c>
      <c r="Y544">
        <v>50</v>
      </c>
      <c r="Z544">
        <v>75</v>
      </c>
      <c r="AA544">
        <v>59.698532999999998</v>
      </c>
      <c r="AB544">
        <v>39.799022000000001</v>
      </c>
      <c r="AC544">
        <v>50</v>
      </c>
      <c r="AD544">
        <v>72.586444</v>
      </c>
      <c r="AE544">
        <v>48.390962999999999</v>
      </c>
      <c r="AF544">
        <v>50</v>
      </c>
      <c r="AG544">
        <v>63</v>
      </c>
      <c r="AH544">
        <v>75</v>
      </c>
      <c r="AI544">
        <v>42</v>
      </c>
      <c r="AJ544">
        <v>50</v>
      </c>
      <c r="AK544">
        <v>12.6</v>
      </c>
      <c r="AL544">
        <v>15.3</v>
      </c>
      <c r="AM544">
        <v>12</v>
      </c>
      <c r="AN544">
        <v>0.59662800000000005</v>
      </c>
      <c r="AO544">
        <v>59.662818000000001</v>
      </c>
      <c r="AP544">
        <v>100</v>
      </c>
      <c r="AQ544">
        <v>0.66219399999999995</v>
      </c>
      <c r="AR544">
        <v>66.219419000000002</v>
      </c>
      <c r="AS544">
        <v>100</v>
      </c>
      <c r="AT544">
        <v>0.44948199999999999</v>
      </c>
      <c r="AU544">
        <v>0.66147199999999995</v>
      </c>
      <c r="AV544">
        <v>44.948163999999998</v>
      </c>
      <c r="AW544">
        <v>100</v>
      </c>
      <c r="AX544">
        <v>0.575299</v>
      </c>
      <c r="AY544">
        <v>0.70048699999999997</v>
      </c>
      <c r="AZ544">
        <v>57.529864000000003</v>
      </c>
      <c r="BA544">
        <v>100</v>
      </c>
      <c r="BB544" t="s">
        <v>125</v>
      </c>
      <c r="BC544" t="s">
        <v>125</v>
      </c>
      <c r="BD544" t="s">
        <v>125</v>
      </c>
      <c r="BE544" t="s">
        <v>125</v>
      </c>
      <c r="BF544" t="s">
        <v>125</v>
      </c>
      <c r="BG544" t="s">
        <v>125</v>
      </c>
      <c r="BH544">
        <v>0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2.2727000000000001E-2</v>
      </c>
      <c r="BS544">
        <v>50</v>
      </c>
      <c r="BT544">
        <v>50</v>
      </c>
      <c r="BU544">
        <v>3.7383E-2</v>
      </c>
      <c r="BV544">
        <v>50</v>
      </c>
      <c r="BW544">
        <v>50</v>
      </c>
      <c r="BX544" t="s">
        <v>125</v>
      </c>
      <c r="BY544" t="s">
        <v>125</v>
      </c>
      <c r="BZ544" t="s">
        <v>125</v>
      </c>
      <c r="CA544" t="s">
        <v>125</v>
      </c>
      <c r="CB544" t="s">
        <v>125</v>
      </c>
      <c r="CC544" t="s">
        <v>125</v>
      </c>
      <c r="CD544" t="s">
        <v>125</v>
      </c>
      <c r="CE544" t="s">
        <v>125</v>
      </c>
      <c r="CF544" t="s">
        <v>125</v>
      </c>
      <c r="CG544" t="s">
        <v>125</v>
      </c>
      <c r="CH544" t="s">
        <v>125</v>
      </c>
      <c r="CI544" t="s">
        <v>125</v>
      </c>
      <c r="CJ544" t="s">
        <v>125</v>
      </c>
      <c r="CK544" t="s">
        <v>125</v>
      </c>
      <c r="CL544" t="s">
        <v>125</v>
      </c>
      <c r="CM544" t="s">
        <v>125</v>
      </c>
      <c r="CN544" t="s">
        <v>125</v>
      </c>
      <c r="CO544" t="s">
        <v>125</v>
      </c>
      <c r="CP544" t="s">
        <v>125</v>
      </c>
      <c r="CQ544">
        <v>0.36627900000000002</v>
      </c>
      <c r="CR544">
        <v>1.011765</v>
      </c>
      <c r="CS544">
        <v>24.418604999999999</v>
      </c>
      <c r="CT544">
        <v>50</v>
      </c>
      <c r="CU544" t="s">
        <v>125</v>
      </c>
      <c r="CV544" t="s">
        <v>125</v>
      </c>
      <c r="CW544" t="s">
        <v>125</v>
      </c>
      <c r="CX544" t="s">
        <v>125</v>
      </c>
      <c r="CY544" t="s">
        <v>125</v>
      </c>
      <c r="CZ544" t="s">
        <v>125</v>
      </c>
      <c r="DA544">
        <v>15.314097</v>
      </c>
      <c r="DB544">
        <v>17.400950000000002</v>
      </c>
      <c r="DC544">
        <v>16.332519999999999</v>
      </c>
      <c r="DD544" t="s">
        <v>125</v>
      </c>
      <c r="DE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Q544" t="s">
        <v>126</v>
      </c>
    </row>
    <row r="545" spans="1:121" x14ac:dyDescent="0.15">
      <c r="A545">
        <v>2018</v>
      </c>
      <c r="B545" t="s">
        <v>308</v>
      </c>
      <c r="C545" t="str">
        <f>"0680011"</f>
        <v>0680011</v>
      </c>
      <c r="D545" t="s">
        <v>702</v>
      </c>
      <c r="E545" t="str">
        <f>"0680111"</f>
        <v>0680111</v>
      </c>
      <c r="F545" t="s">
        <v>328</v>
      </c>
      <c r="G545" t="s">
        <v>329</v>
      </c>
      <c r="H545">
        <v>8</v>
      </c>
      <c r="I545" t="s">
        <v>330</v>
      </c>
      <c r="J545" t="s">
        <v>331</v>
      </c>
      <c r="K545">
        <v>639.53706</v>
      </c>
      <c r="L545">
        <v>800</v>
      </c>
      <c r="M545">
        <v>79.942132000000001</v>
      </c>
      <c r="N545">
        <v>2</v>
      </c>
      <c r="O545">
        <v>0</v>
      </c>
      <c r="P545">
        <v>85.088340000000002</v>
      </c>
      <c r="Q545">
        <v>50</v>
      </c>
      <c r="R545">
        <v>50</v>
      </c>
      <c r="S545">
        <v>72.490071</v>
      </c>
      <c r="T545">
        <v>75</v>
      </c>
      <c r="U545">
        <v>48.326714000000003</v>
      </c>
      <c r="V545">
        <v>50</v>
      </c>
      <c r="W545">
        <v>76.283510000000007</v>
      </c>
      <c r="X545">
        <v>50</v>
      </c>
      <c r="Y545">
        <v>50</v>
      </c>
      <c r="Z545">
        <v>75</v>
      </c>
      <c r="AA545">
        <v>66.952200000000005</v>
      </c>
      <c r="AB545">
        <v>44.634799999999998</v>
      </c>
      <c r="AC545">
        <v>50</v>
      </c>
      <c r="AD545">
        <v>83.709816000000004</v>
      </c>
      <c r="AE545">
        <v>50</v>
      </c>
      <c r="AF545">
        <v>50</v>
      </c>
      <c r="AG545" t="s">
        <v>125</v>
      </c>
      <c r="AH545">
        <v>75</v>
      </c>
      <c r="AI545" t="s">
        <v>125</v>
      </c>
      <c r="AJ545" t="s">
        <v>125</v>
      </c>
      <c r="AK545">
        <v>2.5</v>
      </c>
      <c r="AL545">
        <v>8.0399999999999991</v>
      </c>
      <c r="AM545" t="s">
        <v>125</v>
      </c>
      <c r="AN545">
        <v>0.72571399999999997</v>
      </c>
      <c r="AO545">
        <v>72.571365</v>
      </c>
      <c r="AP545">
        <v>100</v>
      </c>
      <c r="AQ545">
        <v>0.68511900000000003</v>
      </c>
      <c r="AR545">
        <v>68.511893999999998</v>
      </c>
      <c r="AS545">
        <v>100</v>
      </c>
      <c r="AT545">
        <v>0.55296000000000001</v>
      </c>
      <c r="AU545">
        <v>0.79907499999999998</v>
      </c>
      <c r="AV545">
        <v>55.296028999999997</v>
      </c>
      <c r="AW545">
        <v>100</v>
      </c>
      <c r="AX545">
        <v>0.62822500000000003</v>
      </c>
      <c r="AY545">
        <v>0.70927899999999999</v>
      </c>
      <c r="AZ545">
        <v>62.822519999999997</v>
      </c>
      <c r="BA545">
        <v>100</v>
      </c>
      <c r="BB545" t="s">
        <v>125</v>
      </c>
      <c r="BC545" t="s">
        <v>125</v>
      </c>
      <c r="BD545" t="s">
        <v>125</v>
      </c>
      <c r="BE545" t="s">
        <v>125</v>
      </c>
      <c r="BF545" t="s">
        <v>125</v>
      </c>
      <c r="BG545" t="s">
        <v>125</v>
      </c>
      <c r="BH545">
        <v>0</v>
      </c>
      <c r="BI545">
        <v>0.97080299999999997</v>
      </c>
      <c r="BJ545">
        <v>0.95121999999999995</v>
      </c>
      <c r="BK545">
        <v>0.97916700000000001</v>
      </c>
      <c r="BL545">
        <v>0.97080299999999997</v>
      </c>
      <c r="BM545">
        <v>0.95121999999999995</v>
      </c>
      <c r="BN545">
        <v>0.97916700000000001</v>
      </c>
      <c r="BO545">
        <v>0.98</v>
      </c>
      <c r="BP545" t="s">
        <v>125</v>
      </c>
      <c r="BQ545">
        <v>0.97297299999999998</v>
      </c>
      <c r="BR545">
        <v>2.6041999999999999E-2</v>
      </c>
      <c r="BS545">
        <v>50</v>
      </c>
      <c r="BT545">
        <v>50</v>
      </c>
      <c r="BU545">
        <v>3.5088000000000001E-2</v>
      </c>
      <c r="BV545">
        <v>50</v>
      </c>
      <c r="BW545">
        <v>50</v>
      </c>
      <c r="BX545" t="s">
        <v>125</v>
      </c>
      <c r="BY545" t="s">
        <v>125</v>
      </c>
      <c r="BZ545" t="s">
        <v>125</v>
      </c>
      <c r="CA545" t="s">
        <v>125</v>
      </c>
      <c r="CB545" t="s">
        <v>125</v>
      </c>
      <c r="CC545" t="s">
        <v>125</v>
      </c>
      <c r="CD545" t="s">
        <v>125</v>
      </c>
      <c r="CE545" t="s">
        <v>125</v>
      </c>
      <c r="CF545" t="s">
        <v>125</v>
      </c>
      <c r="CG545" t="s">
        <v>125</v>
      </c>
      <c r="CH545" t="s">
        <v>125</v>
      </c>
      <c r="CI545" t="s">
        <v>125</v>
      </c>
      <c r="CJ545" t="s">
        <v>125</v>
      </c>
      <c r="CK545" t="s">
        <v>125</v>
      </c>
      <c r="CL545" t="s">
        <v>125</v>
      </c>
      <c r="CM545" t="s">
        <v>125</v>
      </c>
      <c r="CN545" t="s">
        <v>125</v>
      </c>
      <c r="CO545" t="s">
        <v>125</v>
      </c>
      <c r="CP545" t="s">
        <v>125</v>
      </c>
      <c r="CQ545">
        <v>0.56060600000000005</v>
      </c>
      <c r="CR545">
        <v>0.97058800000000001</v>
      </c>
      <c r="CS545">
        <v>37.373736999999998</v>
      </c>
      <c r="CT545">
        <v>50</v>
      </c>
      <c r="CU545" t="s">
        <v>125</v>
      </c>
      <c r="CV545" t="s">
        <v>125</v>
      </c>
      <c r="CW545" t="s">
        <v>125</v>
      </c>
      <c r="CX545" t="s">
        <v>125</v>
      </c>
      <c r="CY545" t="s">
        <v>125</v>
      </c>
      <c r="CZ545" t="s">
        <v>125</v>
      </c>
      <c r="DA545">
        <v>15.314097</v>
      </c>
      <c r="DB545">
        <v>17.400950000000002</v>
      </c>
      <c r="DC545">
        <v>16.332519999999999</v>
      </c>
      <c r="DD545" t="s">
        <v>125</v>
      </c>
      <c r="DE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Q545" t="s">
        <v>126</v>
      </c>
    </row>
    <row r="546" spans="1:121" x14ac:dyDescent="0.15">
      <c r="A546">
        <v>2018</v>
      </c>
      <c r="B546" t="s">
        <v>251</v>
      </c>
      <c r="C546" t="str">
        <f>"0690011"</f>
        <v>0690011</v>
      </c>
      <c r="D546" t="s">
        <v>703</v>
      </c>
      <c r="E546" t="str">
        <f>"0690111"</f>
        <v>0690111</v>
      </c>
      <c r="F546" t="s">
        <v>328</v>
      </c>
      <c r="G546" t="s">
        <v>329</v>
      </c>
      <c r="H546">
        <v>1</v>
      </c>
      <c r="I546" t="s">
        <v>336</v>
      </c>
      <c r="J546" t="s">
        <v>331</v>
      </c>
      <c r="K546">
        <v>72.195214000000007</v>
      </c>
      <c r="L546">
        <v>100</v>
      </c>
      <c r="M546">
        <v>72.195214000000007</v>
      </c>
      <c r="N546" t="s">
        <v>125</v>
      </c>
      <c r="O546" t="s">
        <v>125</v>
      </c>
      <c r="P546" t="s">
        <v>125</v>
      </c>
      <c r="Q546" t="s">
        <v>125</v>
      </c>
      <c r="R546" t="s">
        <v>125</v>
      </c>
      <c r="S546" t="s">
        <v>125</v>
      </c>
      <c r="T546" t="s">
        <v>125</v>
      </c>
      <c r="U546" t="s">
        <v>125</v>
      </c>
      <c r="V546" t="s">
        <v>125</v>
      </c>
      <c r="W546" t="s">
        <v>125</v>
      </c>
      <c r="X546" t="s">
        <v>125</v>
      </c>
      <c r="Y546" t="s">
        <v>125</v>
      </c>
      <c r="Z546" t="s">
        <v>125</v>
      </c>
      <c r="AA546" t="s">
        <v>125</v>
      </c>
      <c r="AB546" t="s">
        <v>125</v>
      </c>
      <c r="AC546" t="s">
        <v>125</v>
      </c>
      <c r="AD546" t="s">
        <v>125</v>
      </c>
      <c r="AE546" t="s">
        <v>125</v>
      </c>
      <c r="AF546" t="s">
        <v>125</v>
      </c>
      <c r="AG546" t="s">
        <v>125</v>
      </c>
      <c r="AH546" t="s">
        <v>125</v>
      </c>
      <c r="AI546" t="s">
        <v>125</v>
      </c>
      <c r="AJ546" t="s">
        <v>125</v>
      </c>
      <c r="AK546" t="s">
        <v>125</v>
      </c>
      <c r="AL546" t="s">
        <v>125</v>
      </c>
      <c r="AM546" t="s">
        <v>125</v>
      </c>
      <c r="AN546" t="s">
        <v>125</v>
      </c>
      <c r="AO546" t="s">
        <v>125</v>
      </c>
      <c r="AP546" t="s">
        <v>125</v>
      </c>
      <c r="AQ546" t="s">
        <v>125</v>
      </c>
      <c r="AR546" t="s">
        <v>125</v>
      </c>
      <c r="AS546" t="s">
        <v>125</v>
      </c>
      <c r="AT546" t="s">
        <v>125</v>
      </c>
      <c r="AU546" t="s">
        <v>125</v>
      </c>
      <c r="AV546" t="s">
        <v>125</v>
      </c>
      <c r="AW546" t="s">
        <v>125</v>
      </c>
      <c r="AX546" t="s">
        <v>125</v>
      </c>
      <c r="AY546" t="s">
        <v>125</v>
      </c>
      <c r="AZ546" t="s">
        <v>125</v>
      </c>
      <c r="BA546" t="s">
        <v>125</v>
      </c>
      <c r="BB546" t="s">
        <v>125</v>
      </c>
      <c r="BC546" t="s">
        <v>125</v>
      </c>
      <c r="BD546" t="s">
        <v>125</v>
      </c>
      <c r="BE546" t="s">
        <v>125</v>
      </c>
      <c r="BF546" t="s">
        <v>125</v>
      </c>
      <c r="BG546" t="s">
        <v>125</v>
      </c>
      <c r="BH546" t="s">
        <v>125</v>
      </c>
      <c r="BI546" t="s">
        <v>125</v>
      </c>
      <c r="BJ546" t="s">
        <v>125</v>
      </c>
      <c r="BK546" t="s">
        <v>125</v>
      </c>
      <c r="BL546" t="s">
        <v>125</v>
      </c>
      <c r="BM546" t="s">
        <v>125</v>
      </c>
      <c r="BN546" t="s">
        <v>125</v>
      </c>
      <c r="BO546" t="s">
        <v>125</v>
      </c>
      <c r="BP546" t="s">
        <v>125</v>
      </c>
      <c r="BQ546" t="s">
        <v>125</v>
      </c>
      <c r="BR546">
        <v>0.101093</v>
      </c>
      <c r="BS546">
        <v>39.781421000000002</v>
      </c>
      <c r="BT546">
        <v>50</v>
      </c>
      <c r="BU546">
        <v>0.137931</v>
      </c>
      <c r="BV546">
        <v>32.413792999999998</v>
      </c>
      <c r="BW546">
        <v>50</v>
      </c>
      <c r="BX546" t="s">
        <v>125</v>
      </c>
      <c r="BY546" t="s">
        <v>125</v>
      </c>
      <c r="BZ546" t="s">
        <v>125</v>
      </c>
      <c r="CA546" t="s">
        <v>125</v>
      </c>
      <c r="CB546" t="s">
        <v>125</v>
      </c>
      <c r="CC546" t="s">
        <v>125</v>
      </c>
      <c r="CD546" t="s">
        <v>125</v>
      </c>
      <c r="CE546" t="s">
        <v>125</v>
      </c>
      <c r="CF546" t="s">
        <v>125</v>
      </c>
      <c r="CG546" t="s">
        <v>125</v>
      </c>
      <c r="CH546" t="s">
        <v>125</v>
      </c>
      <c r="CI546" t="s">
        <v>125</v>
      </c>
      <c r="CJ546" t="s">
        <v>125</v>
      </c>
      <c r="CK546" t="s">
        <v>125</v>
      </c>
      <c r="CL546" t="s">
        <v>125</v>
      </c>
      <c r="CM546" t="s">
        <v>125</v>
      </c>
      <c r="CN546" t="s">
        <v>125</v>
      </c>
      <c r="CO546" t="s">
        <v>125</v>
      </c>
      <c r="CP546" t="s">
        <v>125</v>
      </c>
      <c r="CQ546" t="s">
        <v>125</v>
      </c>
      <c r="CR546" t="s">
        <v>125</v>
      </c>
      <c r="CS546" t="s">
        <v>125</v>
      </c>
      <c r="CT546" t="s">
        <v>125</v>
      </c>
      <c r="CU546" t="s">
        <v>125</v>
      </c>
      <c r="CV546" t="s">
        <v>125</v>
      </c>
      <c r="CW546" t="s">
        <v>125</v>
      </c>
      <c r="CX546" t="s">
        <v>125</v>
      </c>
      <c r="CY546" t="s">
        <v>125</v>
      </c>
      <c r="CZ546" t="s">
        <v>125</v>
      </c>
      <c r="DA546" t="s">
        <v>125</v>
      </c>
      <c r="DB546" t="s">
        <v>125</v>
      </c>
      <c r="DC546" t="s">
        <v>125</v>
      </c>
      <c r="DD546" t="s">
        <v>125</v>
      </c>
      <c r="DE546" t="s">
        <v>125</v>
      </c>
      <c r="DJ546" t="s">
        <v>125</v>
      </c>
      <c r="DK546" t="s">
        <v>125</v>
      </c>
      <c r="DL546" t="s">
        <v>125</v>
      </c>
      <c r="DM546" t="s">
        <v>125</v>
      </c>
      <c r="DN546" t="s">
        <v>125</v>
      </c>
      <c r="DO546" t="s">
        <v>125</v>
      </c>
      <c r="DQ546" t="s">
        <v>126</v>
      </c>
    </row>
    <row r="547" spans="1:121" x14ac:dyDescent="0.15">
      <c r="A547">
        <v>2018</v>
      </c>
      <c r="B547" t="s">
        <v>251</v>
      </c>
      <c r="C547" t="str">
        <f>"0690011"</f>
        <v>0690011</v>
      </c>
      <c r="D547" t="s">
        <v>704</v>
      </c>
      <c r="E547" t="str">
        <f>"0696111"</f>
        <v>0696111</v>
      </c>
      <c r="F547" t="s">
        <v>328</v>
      </c>
      <c r="G547">
        <v>9</v>
      </c>
      <c r="H547">
        <v>12</v>
      </c>
      <c r="J547" t="s">
        <v>331</v>
      </c>
      <c r="K547">
        <v>1017.55141</v>
      </c>
      <c r="L547">
        <v>1450</v>
      </c>
      <c r="M547">
        <v>70.175959000000006</v>
      </c>
      <c r="N547">
        <v>3</v>
      </c>
      <c r="O547">
        <v>0</v>
      </c>
      <c r="P547">
        <v>55.103848999999997</v>
      </c>
      <c r="Q547">
        <v>110.20769799999999</v>
      </c>
      <c r="R547">
        <v>150</v>
      </c>
      <c r="S547">
        <v>51.525874999999999</v>
      </c>
      <c r="T547">
        <v>58.368749999999999</v>
      </c>
      <c r="U547">
        <v>103.05175</v>
      </c>
      <c r="V547">
        <v>150</v>
      </c>
      <c r="W547">
        <v>49.699710000000003</v>
      </c>
      <c r="X547">
        <v>99.399418999999995</v>
      </c>
      <c r="Y547">
        <v>150</v>
      </c>
      <c r="Z547">
        <v>54.197916999999997</v>
      </c>
      <c r="AA547">
        <v>44.770167000000001</v>
      </c>
      <c r="AB547">
        <v>89.540334999999999</v>
      </c>
      <c r="AC547">
        <v>150</v>
      </c>
      <c r="AD547">
        <v>55.176124000000002</v>
      </c>
      <c r="AE547">
        <v>73.568164999999993</v>
      </c>
      <c r="AF547">
        <v>100</v>
      </c>
      <c r="AG547">
        <v>50.127602000000003</v>
      </c>
      <c r="AH547">
        <v>60.161538</v>
      </c>
      <c r="AI547">
        <v>66.836803000000003</v>
      </c>
      <c r="AJ547">
        <v>100</v>
      </c>
      <c r="AK547">
        <v>6.84</v>
      </c>
      <c r="AL547">
        <v>9.42</v>
      </c>
      <c r="AM547">
        <v>10.029999999999999</v>
      </c>
      <c r="AN547" t="s">
        <v>125</v>
      </c>
      <c r="AO547" t="s">
        <v>125</v>
      </c>
      <c r="AP547" t="s">
        <v>125</v>
      </c>
      <c r="AQ547" t="s">
        <v>125</v>
      </c>
      <c r="AR547" t="s">
        <v>125</v>
      </c>
      <c r="AS547" t="s">
        <v>125</v>
      </c>
      <c r="AT547" t="s">
        <v>125</v>
      </c>
      <c r="AU547" t="s">
        <v>125</v>
      </c>
      <c r="AV547" t="s">
        <v>125</v>
      </c>
      <c r="AW547" t="s">
        <v>125</v>
      </c>
      <c r="AX547" t="s">
        <v>125</v>
      </c>
      <c r="AY547" t="s">
        <v>125</v>
      </c>
      <c r="AZ547" t="s">
        <v>125</v>
      </c>
      <c r="BA547" t="s">
        <v>125</v>
      </c>
      <c r="BB547" t="s">
        <v>125</v>
      </c>
      <c r="BC547" t="s">
        <v>125</v>
      </c>
      <c r="BD547" t="s">
        <v>125</v>
      </c>
      <c r="BE547" t="s">
        <v>125</v>
      </c>
      <c r="BF547" t="s">
        <v>125</v>
      </c>
      <c r="BG547" t="s">
        <v>125</v>
      </c>
      <c r="BH547">
        <v>1</v>
      </c>
      <c r="BI547">
        <v>0.93939399999999995</v>
      </c>
      <c r="BJ547">
        <v>0.89285700000000001</v>
      </c>
      <c r="BK547">
        <v>0.98765400000000003</v>
      </c>
      <c r="BL547">
        <v>0.93939399999999995</v>
      </c>
      <c r="BM547">
        <v>0.89285700000000001</v>
      </c>
      <c r="BN547">
        <v>0.98765400000000003</v>
      </c>
      <c r="BO547">
        <v>0.97575800000000001</v>
      </c>
      <c r="BP547">
        <v>0.96428599999999998</v>
      </c>
      <c r="BQ547">
        <v>0.98765400000000003</v>
      </c>
      <c r="BR547">
        <v>0.17774899999999999</v>
      </c>
      <c r="BS547">
        <v>24.450127999999999</v>
      </c>
      <c r="BT547">
        <v>50</v>
      </c>
      <c r="BU547">
        <v>0.26098199999999999</v>
      </c>
      <c r="BV547">
        <v>7.8036180000000002</v>
      </c>
      <c r="BW547">
        <v>50</v>
      </c>
      <c r="BX547">
        <v>0.93370200000000003</v>
      </c>
      <c r="BY547">
        <v>50</v>
      </c>
      <c r="BZ547">
        <v>50</v>
      </c>
      <c r="CA547">
        <v>0.28176800000000002</v>
      </c>
      <c r="CB547">
        <v>18.78453</v>
      </c>
      <c r="CC547">
        <v>50</v>
      </c>
      <c r="CD547">
        <v>0.85909100000000005</v>
      </c>
      <c r="CE547">
        <v>45.696325000000002</v>
      </c>
      <c r="CF547">
        <v>50</v>
      </c>
      <c r="CG547">
        <v>0.86979200000000001</v>
      </c>
      <c r="CH547">
        <v>92.531028000000006</v>
      </c>
      <c r="CI547">
        <v>100</v>
      </c>
      <c r="CJ547">
        <v>1</v>
      </c>
      <c r="CK547">
        <v>0.82828299999999999</v>
      </c>
      <c r="CL547">
        <v>88.115194000000002</v>
      </c>
      <c r="CM547">
        <v>100</v>
      </c>
      <c r="CN547">
        <v>0.57714299999999996</v>
      </c>
      <c r="CO547">
        <v>76.952381000000003</v>
      </c>
      <c r="CP547">
        <v>100</v>
      </c>
      <c r="CQ547">
        <v>0.618421</v>
      </c>
      <c r="CR547">
        <v>0.75621899999999997</v>
      </c>
      <c r="CS547">
        <v>20.614035000000001</v>
      </c>
      <c r="CT547">
        <v>50</v>
      </c>
      <c r="CU547">
        <v>0.61636800000000003</v>
      </c>
      <c r="CV547">
        <v>50</v>
      </c>
      <c r="CW547">
        <v>50</v>
      </c>
      <c r="CX547">
        <v>0.82828299999999999</v>
      </c>
      <c r="CY547">
        <v>0.94</v>
      </c>
      <c r="CZ547">
        <v>0.111717</v>
      </c>
      <c r="DA547">
        <v>15.314097</v>
      </c>
      <c r="DB547">
        <v>17.400950000000002</v>
      </c>
      <c r="DC547">
        <v>16.332519999999999</v>
      </c>
      <c r="DD547">
        <v>7.9891730000000001</v>
      </c>
      <c r="DE547">
        <v>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Q547" t="s">
        <v>126</v>
      </c>
    </row>
    <row r="548" spans="1:121" x14ac:dyDescent="0.15">
      <c r="A548">
        <v>2018</v>
      </c>
      <c r="B548" t="s">
        <v>251</v>
      </c>
      <c r="C548" t="str">
        <f>"0690011"</f>
        <v>0690011</v>
      </c>
      <c r="D548" t="s">
        <v>705</v>
      </c>
      <c r="E548" t="str">
        <f>"0695211"</f>
        <v>0695211</v>
      </c>
      <c r="F548" t="s">
        <v>328</v>
      </c>
      <c r="G548">
        <v>5</v>
      </c>
      <c r="H548">
        <v>8</v>
      </c>
      <c r="I548" t="s">
        <v>336</v>
      </c>
      <c r="J548" t="s">
        <v>331</v>
      </c>
      <c r="K548">
        <v>626.87974899999995</v>
      </c>
      <c r="L548">
        <v>900</v>
      </c>
      <c r="M548">
        <v>69.653305000000003</v>
      </c>
      <c r="N548">
        <v>3</v>
      </c>
      <c r="O548">
        <v>0</v>
      </c>
      <c r="P548">
        <v>71.008731999999995</v>
      </c>
      <c r="Q548">
        <v>47.339154999999998</v>
      </c>
      <c r="R548">
        <v>50</v>
      </c>
      <c r="S548">
        <v>66.726201000000003</v>
      </c>
      <c r="T548">
        <v>75</v>
      </c>
      <c r="U548">
        <v>44.484133999999997</v>
      </c>
      <c r="V548">
        <v>50</v>
      </c>
      <c r="W548">
        <v>60.606740000000002</v>
      </c>
      <c r="X548">
        <v>40.404493000000002</v>
      </c>
      <c r="Y548">
        <v>50</v>
      </c>
      <c r="Z548">
        <v>66.294751000000005</v>
      </c>
      <c r="AA548">
        <v>56.773848000000001</v>
      </c>
      <c r="AB548">
        <v>37.849232000000001</v>
      </c>
      <c r="AC548">
        <v>50</v>
      </c>
      <c r="AD548">
        <v>65.777186999999998</v>
      </c>
      <c r="AE548">
        <v>43.851458000000001</v>
      </c>
      <c r="AF548">
        <v>50</v>
      </c>
      <c r="AG548">
        <v>61.026482999999999</v>
      </c>
      <c r="AH548">
        <v>71.929177999999993</v>
      </c>
      <c r="AI548">
        <v>40.684322000000002</v>
      </c>
      <c r="AJ548">
        <v>50</v>
      </c>
      <c r="AK548">
        <v>8.27</v>
      </c>
      <c r="AL548">
        <v>9.52</v>
      </c>
      <c r="AM548">
        <v>10.9</v>
      </c>
      <c r="AN548">
        <v>0.65700499999999995</v>
      </c>
      <c r="AO548">
        <v>65.700475999999995</v>
      </c>
      <c r="AP548">
        <v>100</v>
      </c>
      <c r="AQ548">
        <v>0.54081100000000004</v>
      </c>
      <c r="AR548">
        <v>54.081114999999997</v>
      </c>
      <c r="AS548">
        <v>100</v>
      </c>
      <c r="AT548">
        <v>0.63599300000000003</v>
      </c>
      <c r="AU548">
        <v>0.68592600000000004</v>
      </c>
      <c r="AV548">
        <v>63.599333000000001</v>
      </c>
      <c r="AW548">
        <v>100</v>
      </c>
      <c r="AX548">
        <v>0.57985399999999998</v>
      </c>
      <c r="AY548">
        <v>0.48658499999999999</v>
      </c>
      <c r="AZ548">
        <v>57.985377</v>
      </c>
      <c r="BA548">
        <v>100</v>
      </c>
      <c r="BB548" t="s">
        <v>125</v>
      </c>
      <c r="BC548" t="s">
        <v>125</v>
      </c>
      <c r="BD548" t="s">
        <v>125</v>
      </c>
      <c r="BE548" t="s">
        <v>125</v>
      </c>
      <c r="BF548" t="s">
        <v>125</v>
      </c>
      <c r="BG548" t="s">
        <v>125</v>
      </c>
      <c r="BH548">
        <v>0</v>
      </c>
      <c r="BI548">
        <v>0.987842</v>
      </c>
      <c r="BJ548">
        <v>0.98241199999999995</v>
      </c>
      <c r="BK548">
        <v>0.99615399999999998</v>
      </c>
      <c r="BL548">
        <v>0.98325700000000005</v>
      </c>
      <c r="BM548">
        <v>0.98236800000000002</v>
      </c>
      <c r="BN548">
        <v>0.98461500000000002</v>
      </c>
      <c r="BO548">
        <v>0.99107100000000004</v>
      </c>
      <c r="BP548">
        <v>0.98461500000000002</v>
      </c>
      <c r="BQ548">
        <v>1</v>
      </c>
      <c r="BR548">
        <v>0.12042700000000001</v>
      </c>
      <c r="BS548">
        <v>35.914634</v>
      </c>
      <c r="BT548">
        <v>50</v>
      </c>
      <c r="BU548">
        <v>0.176623</v>
      </c>
      <c r="BV548">
        <v>24.675325000000001</v>
      </c>
      <c r="BW548">
        <v>50</v>
      </c>
      <c r="BX548" t="s">
        <v>125</v>
      </c>
      <c r="BY548" t="s">
        <v>125</v>
      </c>
      <c r="BZ548" t="s">
        <v>125</v>
      </c>
      <c r="CA548" t="s">
        <v>125</v>
      </c>
      <c r="CB548" t="s">
        <v>125</v>
      </c>
      <c r="CC548" t="s">
        <v>125</v>
      </c>
      <c r="CD548">
        <v>0.91715999999999998</v>
      </c>
      <c r="CE548">
        <v>48.785094000000001</v>
      </c>
      <c r="CF548">
        <v>50</v>
      </c>
      <c r="CG548" t="s">
        <v>125</v>
      </c>
      <c r="CH548" t="s">
        <v>125</v>
      </c>
      <c r="CI548" t="s">
        <v>125</v>
      </c>
      <c r="CJ548" t="s">
        <v>125</v>
      </c>
      <c r="CK548" t="s">
        <v>125</v>
      </c>
      <c r="CL548" t="s">
        <v>125</v>
      </c>
      <c r="CM548" t="s">
        <v>125</v>
      </c>
      <c r="CN548" t="s">
        <v>125</v>
      </c>
      <c r="CO548" t="s">
        <v>125</v>
      </c>
      <c r="CP548" t="s">
        <v>125</v>
      </c>
      <c r="CQ548">
        <v>0.322884</v>
      </c>
      <c r="CR548">
        <v>0.96666700000000005</v>
      </c>
      <c r="CS548">
        <v>21.525601000000002</v>
      </c>
      <c r="CT548">
        <v>50</v>
      </c>
      <c r="CU548" t="s">
        <v>125</v>
      </c>
      <c r="CV548" t="s">
        <v>125</v>
      </c>
      <c r="CW548" t="s">
        <v>125</v>
      </c>
      <c r="CX548" t="s">
        <v>125</v>
      </c>
      <c r="CY548" t="s">
        <v>125</v>
      </c>
      <c r="CZ548" t="s">
        <v>125</v>
      </c>
      <c r="DA548">
        <v>15.314097</v>
      </c>
      <c r="DB548">
        <v>17.400950000000002</v>
      </c>
      <c r="DC548">
        <v>16.332519999999999</v>
      </c>
      <c r="DD548" t="s">
        <v>125</v>
      </c>
      <c r="DE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Q548" t="s">
        <v>126</v>
      </c>
    </row>
    <row r="549" spans="1:121" x14ac:dyDescent="0.15">
      <c r="A549">
        <v>2018</v>
      </c>
      <c r="B549" t="s">
        <v>251</v>
      </c>
      <c r="C549" t="str">
        <f>"0690011"</f>
        <v>0690011</v>
      </c>
      <c r="D549" t="s">
        <v>706</v>
      </c>
      <c r="E549" t="str">
        <f>"0690311"</f>
        <v>0690311</v>
      </c>
      <c r="F549" t="s">
        <v>328</v>
      </c>
      <c r="G549">
        <v>2</v>
      </c>
      <c r="H549">
        <v>4</v>
      </c>
      <c r="I549" t="s">
        <v>336</v>
      </c>
      <c r="J549" t="s">
        <v>331</v>
      </c>
      <c r="K549">
        <v>533.97296900000003</v>
      </c>
      <c r="L549">
        <v>850</v>
      </c>
      <c r="M549">
        <v>62.820349</v>
      </c>
      <c r="N549">
        <v>3</v>
      </c>
      <c r="O549">
        <v>0</v>
      </c>
      <c r="P549">
        <v>68.642391000000003</v>
      </c>
      <c r="Q549">
        <v>45.761594000000002</v>
      </c>
      <c r="R549">
        <v>50</v>
      </c>
      <c r="S549">
        <v>64.076874000000004</v>
      </c>
      <c r="T549">
        <v>75</v>
      </c>
      <c r="U549">
        <v>42.717916000000002</v>
      </c>
      <c r="V549">
        <v>50</v>
      </c>
      <c r="W549">
        <v>67.084064999999995</v>
      </c>
      <c r="X549">
        <v>44.722709999999999</v>
      </c>
      <c r="Y549">
        <v>50</v>
      </c>
      <c r="Z549">
        <v>75</v>
      </c>
      <c r="AA549">
        <v>61.898097999999997</v>
      </c>
      <c r="AB549">
        <v>41.265399000000002</v>
      </c>
      <c r="AC549">
        <v>50</v>
      </c>
      <c r="AD549" t="s">
        <v>125</v>
      </c>
      <c r="AE549" t="s">
        <v>125</v>
      </c>
      <c r="AF549" t="s">
        <v>125</v>
      </c>
      <c r="AG549" t="s">
        <v>125</v>
      </c>
      <c r="AH549" t="s">
        <v>125</v>
      </c>
      <c r="AI549" t="s">
        <v>125</v>
      </c>
      <c r="AJ549" t="s">
        <v>125</v>
      </c>
      <c r="AK549">
        <v>10.92</v>
      </c>
      <c r="AL549">
        <v>13.1</v>
      </c>
      <c r="AM549" t="s">
        <v>125</v>
      </c>
      <c r="AN549">
        <v>0.51617000000000002</v>
      </c>
      <c r="AO549">
        <v>51.617049999999999</v>
      </c>
      <c r="AP549">
        <v>100</v>
      </c>
      <c r="AQ549">
        <v>0.64072200000000001</v>
      </c>
      <c r="AR549">
        <v>64.072185000000005</v>
      </c>
      <c r="AS549">
        <v>100</v>
      </c>
      <c r="AT549">
        <v>0.47849399999999997</v>
      </c>
      <c r="AU549">
        <v>0.577233</v>
      </c>
      <c r="AV549">
        <v>47.849386000000003</v>
      </c>
      <c r="AW549">
        <v>100</v>
      </c>
      <c r="AX549">
        <v>0.61517200000000005</v>
      </c>
      <c r="AY549">
        <v>0.68213000000000001</v>
      </c>
      <c r="AZ549">
        <v>61.517212999999998</v>
      </c>
      <c r="BA549">
        <v>100</v>
      </c>
      <c r="BB549">
        <v>0.57841500000000001</v>
      </c>
      <c r="BC549">
        <v>28.920745</v>
      </c>
      <c r="BD549">
        <v>50</v>
      </c>
      <c r="BE549">
        <v>0.18649199999999999</v>
      </c>
      <c r="BF549">
        <v>9.3246210000000005</v>
      </c>
      <c r="BG549">
        <v>50</v>
      </c>
      <c r="BH549">
        <v>0</v>
      </c>
      <c r="BI549">
        <v>0.99698799999999999</v>
      </c>
      <c r="BJ549">
        <v>0.99504999999999999</v>
      </c>
      <c r="BK549">
        <v>1</v>
      </c>
      <c r="BL549">
        <v>0.99697899999999995</v>
      </c>
      <c r="BM549">
        <v>0.99502500000000005</v>
      </c>
      <c r="BN549">
        <v>1</v>
      </c>
      <c r="BO549" t="s">
        <v>125</v>
      </c>
      <c r="BP549" t="s">
        <v>125</v>
      </c>
      <c r="BQ549" t="s">
        <v>125</v>
      </c>
      <c r="BR549">
        <v>7.4297000000000002E-2</v>
      </c>
      <c r="BS549">
        <v>45.140562000000003</v>
      </c>
      <c r="BT549">
        <v>50</v>
      </c>
      <c r="BU549">
        <v>0.105085</v>
      </c>
      <c r="BV549">
        <v>38.983051000000003</v>
      </c>
      <c r="BW549">
        <v>50</v>
      </c>
      <c r="BX549" t="s">
        <v>125</v>
      </c>
      <c r="BY549" t="s">
        <v>125</v>
      </c>
      <c r="BZ549" t="s">
        <v>125</v>
      </c>
      <c r="CA549" t="s">
        <v>125</v>
      </c>
      <c r="CB549" t="s">
        <v>125</v>
      </c>
      <c r="CC549" t="s">
        <v>125</v>
      </c>
      <c r="CD549" t="s">
        <v>125</v>
      </c>
      <c r="CE549" t="s">
        <v>125</v>
      </c>
      <c r="CF549" t="s">
        <v>125</v>
      </c>
      <c r="CG549" t="s">
        <v>125</v>
      </c>
      <c r="CH549" t="s">
        <v>125</v>
      </c>
      <c r="CI549" t="s">
        <v>125</v>
      </c>
      <c r="CJ549" t="s">
        <v>125</v>
      </c>
      <c r="CK549" t="s">
        <v>125</v>
      </c>
      <c r="CL549" t="s">
        <v>125</v>
      </c>
      <c r="CM549" t="s">
        <v>125</v>
      </c>
      <c r="CN549" t="s">
        <v>125</v>
      </c>
      <c r="CO549" t="s">
        <v>125</v>
      </c>
      <c r="CP549" t="s">
        <v>125</v>
      </c>
      <c r="CQ549">
        <v>0.18120800000000001</v>
      </c>
      <c r="CR549">
        <v>0.94303800000000004</v>
      </c>
      <c r="CS549">
        <v>12.080537</v>
      </c>
      <c r="CT549">
        <v>50</v>
      </c>
      <c r="CU549" t="s">
        <v>125</v>
      </c>
      <c r="CV549" t="s">
        <v>125</v>
      </c>
      <c r="CW549" t="s">
        <v>125</v>
      </c>
      <c r="CX549" t="s">
        <v>125</v>
      </c>
      <c r="CY549" t="s">
        <v>125</v>
      </c>
      <c r="CZ549" t="s">
        <v>125</v>
      </c>
      <c r="DA549">
        <v>15.314097</v>
      </c>
      <c r="DB549">
        <v>17.400950000000002</v>
      </c>
      <c r="DC549">
        <v>16.332519999999999</v>
      </c>
      <c r="DD549" t="s">
        <v>125</v>
      </c>
      <c r="DE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Q549" t="s">
        <v>126</v>
      </c>
    </row>
    <row r="550" spans="1:121" x14ac:dyDescent="0.15">
      <c r="A550">
        <v>2018</v>
      </c>
      <c r="B550" t="s">
        <v>252</v>
      </c>
      <c r="C550" t="str">
        <f>"0710011"</f>
        <v>0710011</v>
      </c>
      <c r="D550" t="s">
        <v>707</v>
      </c>
      <c r="E550" t="str">
        <f>"0710111"</f>
        <v>0710111</v>
      </c>
      <c r="F550" t="s">
        <v>328</v>
      </c>
      <c r="G550" t="s">
        <v>329</v>
      </c>
      <c r="H550">
        <v>4</v>
      </c>
      <c r="I550" t="s">
        <v>330</v>
      </c>
      <c r="J550" t="s">
        <v>331</v>
      </c>
      <c r="K550">
        <v>569.20466899999997</v>
      </c>
      <c r="L550">
        <v>750</v>
      </c>
      <c r="M550">
        <v>75.893956000000003</v>
      </c>
      <c r="N550">
        <v>2</v>
      </c>
      <c r="O550">
        <v>0</v>
      </c>
      <c r="P550">
        <v>77.539692000000002</v>
      </c>
      <c r="Q550">
        <v>50</v>
      </c>
      <c r="R550">
        <v>50</v>
      </c>
      <c r="S550">
        <v>67.498633999999996</v>
      </c>
      <c r="T550">
        <v>75</v>
      </c>
      <c r="U550">
        <v>44.999088999999998</v>
      </c>
      <c r="V550">
        <v>50</v>
      </c>
      <c r="W550">
        <v>70.054829999999995</v>
      </c>
      <c r="X550">
        <v>46.703220000000002</v>
      </c>
      <c r="Y550">
        <v>50</v>
      </c>
      <c r="Z550">
        <v>75</v>
      </c>
      <c r="AA550">
        <v>60.064473999999997</v>
      </c>
      <c r="AB550">
        <v>40.042983</v>
      </c>
      <c r="AC550">
        <v>50</v>
      </c>
      <c r="AD550" t="s">
        <v>125</v>
      </c>
      <c r="AE550" t="s">
        <v>125</v>
      </c>
      <c r="AF550" t="s">
        <v>125</v>
      </c>
      <c r="AG550" t="s">
        <v>125</v>
      </c>
      <c r="AH550" t="s">
        <v>125</v>
      </c>
      <c r="AI550" t="s">
        <v>125</v>
      </c>
      <c r="AJ550" t="s">
        <v>125</v>
      </c>
      <c r="AK550">
        <v>7.5</v>
      </c>
      <c r="AL550">
        <v>14.93</v>
      </c>
      <c r="AM550" t="s">
        <v>125</v>
      </c>
      <c r="AN550">
        <v>0.68806100000000003</v>
      </c>
      <c r="AO550">
        <v>68.806090999999995</v>
      </c>
      <c r="AP550">
        <v>100</v>
      </c>
      <c r="AQ550">
        <v>0.70977999999999997</v>
      </c>
      <c r="AR550">
        <v>70.978043</v>
      </c>
      <c r="AS550">
        <v>100</v>
      </c>
      <c r="AT550">
        <v>0.60180900000000004</v>
      </c>
      <c r="AU550">
        <v>0.74556299999999998</v>
      </c>
      <c r="AV550">
        <v>60.180852000000002</v>
      </c>
      <c r="AW550">
        <v>100</v>
      </c>
      <c r="AX550">
        <v>0.58027899999999999</v>
      </c>
      <c r="AY550">
        <v>0.79611500000000002</v>
      </c>
      <c r="AZ550">
        <v>58.027856999999997</v>
      </c>
      <c r="BA550">
        <v>100</v>
      </c>
      <c r="BB550" t="s">
        <v>125</v>
      </c>
      <c r="BC550" t="s">
        <v>125</v>
      </c>
      <c r="BD550" t="s">
        <v>125</v>
      </c>
      <c r="BE550" t="s">
        <v>125</v>
      </c>
      <c r="BF550" t="s">
        <v>125</v>
      </c>
      <c r="BG550" t="s">
        <v>125</v>
      </c>
      <c r="BH550">
        <v>0</v>
      </c>
      <c r="BI550">
        <v>0.98550700000000002</v>
      </c>
      <c r="BJ550">
        <v>1</v>
      </c>
      <c r="BK550">
        <v>0.97590399999999999</v>
      </c>
      <c r="BL550">
        <v>0.98550700000000002</v>
      </c>
      <c r="BM550">
        <v>1</v>
      </c>
      <c r="BN550">
        <v>0.97590399999999999</v>
      </c>
      <c r="BO550" t="s">
        <v>125</v>
      </c>
      <c r="BP550" t="s">
        <v>125</v>
      </c>
      <c r="BQ550" t="s">
        <v>125</v>
      </c>
      <c r="BR550">
        <v>5.0955E-2</v>
      </c>
      <c r="BS550">
        <v>49.808917000000001</v>
      </c>
      <c r="BT550">
        <v>50</v>
      </c>
      <c r="BU550">
        <v>7.0865999999999998E-2</v>
      </c>
      <c r="BV550">
        <v>45.826771999999998</v>
      </c>
      <c r="BW550">
        <v>50</v>
      </c>
      <c r="BX550" t="s">
        <v>125</v>
      </c>
      <c r="BY550" t="s">
        <v>125</v>
      </c>
      <c r="BZ550" t="s">
        <v>125</v>
      </c>
      <c r="CA550" t="s">
        <v>125</v>
      </c>
      <c r="CB550" t="s">
        <v>125</v>
      </c>
      <c r="CC550" t="s">
        <v>125</v>
      </c>
      <c r="CD550" t="s">
        <v>125</v>
      </c>
      <c r="CE550" t="s">
        <v>125</v>
      </c>
      <c r="CF550" t="s">
        <v>125</v>
      </c>
      <c r="CG550" t="s">
        <v>125</v>
      </c>
      <c r="CH550" t="s">
        <v>125</v>
      </c>
      <c r="CI550" t="s">
        <v>125</v>
      </c>
      <c r="CJ550" t="s">
        <v>125</v>
      </c>
      <c r="CK550" t="s">
        <v>125</v>
      </c>
      <c r="CL550" t="s">
        <v>125</v>
      </c>
      <c r="CM550" t="s">
        <v>125</v>
      </c>
      <c r="CN550" t="s">
        <v>125</v>
      </c>
      <c r="CO550" t="s">
        <v>125</v>
      </c>
      <c r="CP550" t="s">
        <v>125</v>
      </c>
      <c r="CQ550">
        <v>0.507463</v>
      </c>
      <c r="CR550">
        <v>1</v>
      </c>
      <c r="CS550">
        <v>33.830846000000001</v>
      </c>
      <c r="CT550">
        <v>50</v>
      </c>
      <c r="CU550" t="s">
        <v>125</v>
      </c>
      <c r="CV550" t="s">
        <v>125</v>
      </c>
      <c r="CW550" t="s">
        <v>125</v>
      </c>
      <c r="CX550" t="s">
        <v>125</v>
      </c>
      <c r="CY550" t="s">
        <v>125</v>
      </c>
      <c r="CZ550" t="s">
        <v>125</v>
      </c>
      <c r="DA550">
        <v>15.314097</v>
      </c>
      <c r="DB550">
        <v>17.400950000000002</v>
      </c>
      <c r="DC550">
        <v>16.332519999999999</v>
      </c>
      <c r="DD550" t="s">
        <v>125</v>
      </c>
      <c r="DE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Q550" t="s">
        <v>126</v>
      </c>
    </row>
    <row r="551" spans="1:121" x14ac:dyDescent="0.15">
      <c r="A551">
        <v>2018</v>
      </c>
      <c r="B551" t="s">
        <v>252</v>
      </c>
      <c r="C551" t="str">
        <f>"0710011"</f>
        <v>0710011</v>
      </c>
      <c r="D551" t="s">
        <v>708</v>
      </c>
      <c r="E551" t="str">
        <f>"0715111"</f>
        <v>0715111</v>
      </c>
      <c r="F551" t="s">
        <v>328</v>
      </c>
      <c r="G551">
        <v>5</v>
      </c>
      <c r="H551">
        <v>8</v>
      </c>
      <c r="I551" t="s">
        <v>330</v>
      </c>
      <c r="J551" t="s">
        <v>331</v>
      </c>
      <c r="K551">
        <v>687.273146</v>
      </c>
      <c r="L551">
        <v>900</v>
      </c>
      <c r="M551">
        <v>76.363682999999995</v>
      </c>
      <c r="N551">
        <v>2</v>
      </c>
      <c r="O551">
        <v>0</v>
      </c>
      <c r="P551">
        <v>69.987594999999999</v>
      </c>
      <c r="Q551">
        <v>46.658397000000001</v>
      </c>
      <c r="R551">
        <v>50</v>
      </c>
      <c r="S551">
        <v>64.036439999999999</v>
      </c>
      <c r="T551">
        <v>73.978369000000001</v>
      </c>
      <c r="U551">
        <v>42.690959999999997</v>
      </c>
      <c r="V551">
        <v>50</v>
      </c>
      <c r="W551">
        <v>67.313342000000006</v>
      </c>
      <c r="X551">
        <v>44.875560999999998</v>
      </c>
      <c r="Y551">
        <v>50</v>
      </c>
      <c r="Z551">
        <v>71.388024000000001</v>
      </c>
      <c r="AA551">
        <v>61.237062000000002</v>
      </c>
      <c r="AB551">
        <v>40.824708000000001</v>
      </c>
      <c r="AC551">
        <v>50</v>
      </c>
      <c r="AD551">
        <v>67.887118000000001</v>
      </c>
      <c r="AE551">
        <v>45.258079000000002</v>
      </c>
      <c r="AF551">
        <v>50</v>
      </c>
      <c r="AG551">
        <v>69.247801999999993</v>
      </c>
      <c r="AH551">
        <v>66.962551000000005</v>
      </c>
      <c r="AI551">
        <v>46.165201000000003</v>
      </c>
      <c r="AJ551">
        <v>50</v>
      </c>
      <c r="AK551">
        <v>9.94</v>
      </c>
      <c r="AL551">
        <v>10.15</v>
      </c>
      <c r="AM551">
        <v>-2.2799999999999998</v>
      </c>
      <c r="AN551">
        <v>0.47585499999999997</v>
      </c>
      <c r="AO551">
        <v>47.585462</v>
      </c>
      <c r="AP551">
        <v>100</v>
      </c>
      <c r="AQ551">
        <v>0.62988900000000003</v>
      </c>
      <c r="AR551">
        <v>62.988916000000003</v>
      </c>
      <c r="AS551">
        <v>100</v>
      </c>
      <c r="AT551">
        <v>0.49385499999999999</v>
      </c>
      <c r="AU551">
        <v>0.46363199999999999</v>
      </c>
      <c r="AV551">
        <v>49.385522999999999</v>
      </c>
      <c r="AW551">
        <v>100</v>
      </c>
      <c r="AX551">
        <v>0.61951500000000004</v>
      </c>
      <c r="AY551">
        <v>0.63680599999999998</v>
      </c>
      <c r="AZ551">
        <v>61.951450000000001</v>
      </c>
      <c r="BA551">
        <v>100</v>
      </c>
      <c r="BB551" t="s">
        <v>125</v>
      </c>
      <c r="BC551" t="s">
        <v>125</v>
      </c>
      <c r="BD551" t="s">
        <v>125</v>
      </c>
      <c r="BE551" t="s">
        <v>125</v>
      </c>
      <c r="BF551" t="s">
        <v>125</v>
      </c>
      <c r="BG551" t="s">
        <v>125</v>
      </c>
      <c r="BH551">
        <v>0</v>
      </c>
      <c r="BI551">
        <v>0.96</v>
      </c>
      <c r="BJ551">
        <v>0.95161300000000004</v>
      </c>
      <c r="BK551">
        <v>0.96590900000000002</v>
      </c>
      <c r="BL551">
        <v>0.96</v>
      </c>
      <c r="BM551">
        <v>0.95161300000000004</v>
      </c>
      <c r="BN551">
        <v>0.96590900000000002</v>
      </c>
      <c r="BO551">
        <v>0.97080299999999997</v>
      </c>
      <c r="BP551">
        <v>0.96491199999999999</v>
      </c>
      <c r="BQ551">
        <v>0.97499999999999998</v>
      </c>
      <c r="BR551">
        <v>4.6667E-2</v>
      </c>
      <c r="BS551">
        <v>50</v>
      </c>
      <c r="BT551">
        <v>50</v>
      </c>
      <c r="BU551">
        <v>5.5556000000000001E-2</v>
      </c>
      <c r="BV551">
        <v>48.888888999999999</v>
      </c>
      <c r="BW551">
        <v>50</v>
      </c>
      <c r="BX551" t="s">
        <v>125</v>
      </c>
      <c r="BY551" t="s">
        <v>125</v>
      </c>
      <c r="BZ551" t="s">
        <v>125</v>
      </c>
      <c r="CA551" t="s">
        <v>125</v>
      </c>
      <c r="CB551" t="s">
        <v>125</v>
      </c>
      <c r="CC551" t="s">
        <v>125</v>
      </c>
      <c r="CD551">
        <v>0.98734200000000005</v>
      </c>
      <c r="CE551">
        <v>50</v>
      </c>
      <c r="CF551">
        <v>50</v>
      </c>
      <c r="CG551" t="s">
        <v>125</v>
      </c>
      <c r="CH551" t="s">
        <v>125</v>
      </c>
      <c r="CI551" t="s">
        <v>125</v>
      </c>
      <c r="CJ551" t="s">
        <v>125</v>
      </c>
      <c r="CK551" t="s">
        <v>125</v>
      </c>
      <c r="CL551" t="s">
        <v>125</v>
      </c>
      <c r="CM551" t="s">
        <v>125</v>
      </c>
      <c r="CN551" t="s">
        <v>125</v>
      </c>
      <c r="CO551" t="s">
        <v>125</v>
      </c>
      <c r="CP551" t="s">
        <v>125</v>
      </c>
      <c r="CQ551">
        <v>0.81410300000000002</v>
      </c>
      <c r="CR551">
        <v>0.96894400000000003</v>
      </c>
      <c r="CS551">
        <v>50</v>
      </c>
      <c r="CT551">
        <v>50</v>
      </c>
      <c r="CU551" t="s">
        <v>125</v>
      </c>
      <c r="CV551" t="s">
        <v>125</v>
      </c>
      <c r="CW551" t="s">
        <v>125</v>
      </c>
      <c r="CX551" t="s">
        <v>125</v>
      </c>
      <c r="CY551" t="s">
        <v>125</v>
      </c>
      <c r="CZ551" t="s">
        <v>125</v>
      </c>
      <c r="DA551">
        <v>15.314097</v>
      </c>
      <c r="DB551">
        <v>17.400950000000002</v>
      </c>
      <c r="DC551">
        <v>16.332519999999999</v>
      </c>
      <c r="DD551" t="s">
        <v>125</v>
      </c>
      <c r="DE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Q551" t="s">
        <v>126</v>
      </c>
    </row>
    <row r="552" spans="1:121" x14ac:dyDescent="0.15">
      <c r="A552">
        <v>2018</v>
      </c>
      <c r="B552" t="s">
        <v>252</v>
      </c>
      <c r="C552" t="str">
        <f>"0710011"</f>
        <v>0710011</v>
      </c>
      <c r="D552" t="s">
        <v>709</v>
      </c>
      <c r="E552" t="str">
        <f>"0716211"</f>
        <v>0716211</v>
      </c>
      <c r="F552" t="s">
        <v>328</v>
      </c>
      <c r="G552">
        <v>9</v>
      </c>
      <c r="H552">
        <v>12</v>
      </c>
      <c r="J552" t="s">
        <v>331</v>
      </c>
      <c r="K552">
        <v>1099.6924309999999</v>
      </c>
      <c r="L552">
        <v>1450</v>
      </c>
      <c r="M552">
        <v>75.840857</v>
      </c>
      <c r="N552">
        <v>3</v>
      </c>
      <c r="O552">
        <v>1</v>
      </c>
      <c r="P552">
        <v>58.763157999999997</v>
      </c>
      <c r="Q552">
        <v>117.52631599999999</v>
      </c>
      <c r="R552">
        <v>150</v>
      </c>
      <c r="S552">
        <v>48.386904999999999</v>
      </c>
      <c r="T552">
        <v>64.815972000000002</v>
      </c>
      <c r="U552">
        <v>96.773809999999997</v>
      </c>
      <c r="V552">
        <v>150</v>
      </c>
      <c r="W552">
        <v>56.640351000000003</v>
      </c>
      <c r="X552">
        <v>113.28070200000001</v>
      </c>
      <c r="Y552">
        <v>150</v>
      </c>
      <c r="Z552">
        <v>65.006944000000004</v>
      </c>
      <c r="AA552">
        <v>42.297618999999997</v>
      </c>
      <c r="AB552">
        <v>84.595237999999995</v>
      </c>
      <c r="AC552">
        <v>150</v>
      </c>
      <c r="AD552">
        <v>63.89011</v>
      </c>
      <c r="AE552">
        <v>85.186813000000001</v>
      </c>
      <c r="AF552">
        <v>100</v>
      </c>
      <c r="AG552">
        <v>50.039788000000001</v>
      </c>
      <c r="AH552">
        <v>72.258013000000005</v>
      </c>
      <c r="AI552">
        <v>66.719717000000003</v>
      </c>
      <c r="AJ552">
        <v>100</v>
      </c>
      <c r="AK552">
        <v>16.420000000000002</v>
      </c>
      <c r="AL552">
        <v>22.7</v>
      </c>
      <c r="AM552">
        <v>22.21</v>
      </c>
      <c r="AN552" t="s">
        <v>125</v>
      </c>
      <c r="AO552" t="s">
        <v>125</v>
      </c>
      <c r="AP552" t="s">
        <v>125</v>
      </c>
      <c r="AQ552" t="s">
        <v>125</v>
      </c>
      <c r="AR552" t="s">
        <v>125</v>
      </c>
      <c r="AS552" t="s">
        <v>125</v>
      </c>
      <c r="AT552" t="s">
        <v>125</v>
      </c>
      <c r="AU552" t="s">
        <v>125</v>
      </c>
      <c r="AV552" t="s">
        <v>125</v>
      </c>
      <c r="AW552" t="s">
        <v>125</v>
      </c>
      <c r="AX552" t="s">
        <v>125</v>
      </c>
      <c r="AY552" t="s">
        <v>125</v>
      </c>
      <c r="AZ552" t="s">
        <v>125</v>
      </c>
      <c r="BA552" t="s">
        <v>125</v>
      </c>
      <c r="BB552" t="s">
        <v>125</v>
      </c>
      <c r="BC552" t="s">
        <v>125</v>
      </c>
      <c r="BD552" t="s">
        <v>125</v>
      </c>
      <c r="BE552" t="s">
        <v>125</v>
      </c>
      <c r="BF552" t="s">
        <v>125</v>
      </c>
      <c r="BG552" t="s">
        <v>125</v>
      </c>
      <c r="BH552">
        <v>0</v>
      </c>
      <c r="BI552">
        <v>0.98717900000000003</v>
      </c>
      <c r="BJ552">
        <v>1</v>
      </c>
      <c r="BK552">
        <v>0.97959200000000002</v>
      </c>
      <c r="BL552">
        <v>0.98717900000000003</v>
      </c>
      <c r="BM552">
        <v>1</v>
      </c>
      <c r="BN552">
        <v>0.97959200000000002</v>
      </c>
      <c r="BO552">
        <v>0.98717900000000003</v>
      </c>
      <c r="BP552">
        <v>1</v>
      </c>
      <c r="BQ552">
        <v>0.97959200000000002</v>
      </c>
      <c r="BR552">
        <v>0.10625</v>
      </c>
      <c r="BS552">
        <v>38.75</v>
      </c>
      <c r="BT552">
        <v>50</v>
      </c>
      <c r="BU552">
        <v>0.21621599999999999</v>
      </c>
      <c r="BV552">
        <v>16.756757</v>
      </c>
      <c r="BW552">
        <v>50</v>
      </c>
      <c r="BX552">
        <v>0.90853700000000004</v>
      </c>
      <c r="BY552">
        <v>50</v>
      </c>
      <c r="BZ552">
        <v>50</v>
      </c>
      <c r="CA552">
        <v>0.481707</v>
      </c>
      <c r="CB552">
        <v>32.113821000000002</v>
      </c>
      <c r="CC552">
        <v>50</v>
      </c>
      <c r="CD552">
        <v>0.97402599999999995</v>
      </c>
      <c r="CE552">
        <v>50</v>
      </c>
      <c r="CF552">
        <v>50</v>
      </c>
      <c r="CG552">
        <v>0.97619</v>
      </c>
      <c r="CH552">
        <v>100</v>
      </c>
      <c r="CI552">
        <v>100</v>
      </c>
      <c r="CJ552">
        <v>0</v>
      </c>
      <c r="CK552">
        <v>0.88888900000000004</v>
      </c>
      <c r="CL552">
        <v>94.562647999999996</v>
      </c>
      <c r="CM552">
        <v>100</v>
      </c>
      <c r="CN552">
        <v>0.62650600000000001</v>
      </c>
      <c r="CO552">
        <v>83.534137000000001</v>
      </c>
      <c r="CP552">
        <v>100</v>
      </c>
      <c r="CQ552">
        <v>0.59677400000000003</v>
      </c>
      <c r="CR552">
        <v>0.78481000000000001</v>
      </c>
      <c r="CS552">
        <v>19.892472999999999</v>
      </c>
      <c r="CT552">
        <v>50</v>
      </c>
      <c r="CU552">
        <v>0.609375</v>
      </c>
      <c r="CV552">
        <v>50</v>
      </c>
      <c r="CW552">
        <v>50</v>
      </c>
      <c r="CX552">
        <v>0.88888900000000004</v>
      </c>
      <c r="CY552">
        <v>0.94</v>
      </c>
      <c r="CZ552">
        <v>5.1110999999999997E-2</v>
      </c>
      <c r="DA552">
        <v>15.314097</v>
      </c>
      <c r="DB552">
        <v>17.400950000000002</v>
      </c>
      <c r="DC552">
        <v>16.332519999999999</v>
      </c>
      <c r="DD552">
        <v>7.9891730000000001</v>
      </c>
      <c r="DE552">
        <v>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Q552" t="s">
        <v>126</v>
      </c>
    </row>
    <row r="553" spans="1:121" x14ac:dyDescent="0.15">
      <c r="A553">
        <v>2018</v>
      </c>
      <c r="B553" t="s">
        <v>253</v>
      </c>
      <c r="C553" t="str">
        <f t="shared" ref="C553:C558" si="18">"0720011"</f>
        <v>0720011</v>
      </c>
      <c r="D553" t="s">
        <v>710</v>
      </c>
      <c r="E553" t="str">
        <f>"0720211"</f>
        <v>0720211</v>
      </c>
      <c r="F553" t="s">
        <v>328</v>
      </c>
      <c r="G553" t="s">
        <v>329</v>
      </c>
      <c r="H553">
        <v>2</v>
      </c>
      <c r="I553" t="s">
        <v>330</v>
      </c>
      <c r="J553" t="s">
        <v>331</v>
      </c>
      <c r="K553">
        <v>100</v>
      </c>
      <c r="L553">
        <v>100</v>
      </c>
      <c r="M553">
        <v>100</v>
      </c>
      <c r="N553" t="s">
        <v>125</v>
      </c>
      <c r="O553" t="s">
        <v>125</v>
      </c>
      <c r="P553" t="s">
        <v>125</v>
      </c>
      <c r="Q553" t="s">
        <v>125</v>
      </c>
      <c r="R553" t="s">
        <v>125</v>
      </c>
      <c r="S553" t="s">
        <v>125</v>
      </c>
      <c r="T553" t="s">
        <v>125</v>
      </c>
      <c r="U553" t="s">
        <v>125</v>
      </c>
      <c r="V553" t="s">
        <v>125</v>
      </c>
      <c r="W553" t="s">
        <v>125</v>
      </c>
      <c r="X553" t="s">
        <v>125</v>
      </c>
      <c r="Y553" t="s">
        <v>125</v>
      </c>
      <c r="Z553" t="s">
        <v>125</v>
      </c>
      <c r="AA553" t="s">
        <v>125</v>
      </c>
      <c r="AB553" t="s">
        <v>125</v>
      </c>
      <c r="AC553" t="s">
        <v>125</v>
      </c>
      <c r="AD553" t="s">
        <v>125</v>
      </c>
      <c r="AE553" t="s">
        <v>125</v>
      </c>
      <c r="AF553" t="s">
        <v>125</v>
      </c>
      <c r="AG553" t="s">
        <v>125</v>
      </c>
      <c r="AH553" t="s">
        <v>125</v>
      </c>
      <c r="AI553" t="s">
        <v>125</v>
      </c>
      <c r="AJ553" t="s">
        <v>125</v>
      </c>
      <c r="AK553" t="s">
        <v>125</v>
      </c>
      <c r="AL553" t="s">
        <v>125</v>
      </c>
      <c r="AM553" t="s">
        <v>125</v>
      </c>
      <c r="AN553" t="s">
        <v>125</v>
      </c>
      <c r="AO553" t="s">
        <v>125</v>
      </c>
      <c r="AP553" t="s">
        <v>125</v>
      </c>
      <c r="AQ553" t="s">
        <v>125</v>
      </c>
      <c r="AR553" t="s">
        <v>125</v>
      </c>
      <c r="AS553" t="s">
        <v>125</v>
      </c>
      <c r="AT553" t="s">
        <v>125</v>
      </c>
      <c r="AU553" t="s">
        <v>125</v>
      </c>
      <c r="AV553" t="s">
        <v>125</v>
      </c>
      <c r="AW553" t="s">
        <v>125</v>
      </c>
      <c r="AX553" t="s">
        <v>125</v>
      </c>
      <c r="AY553" t="s">
        <v>125</v>
      </c>
      <c r="AZ553" t="s">
        <v>125</v>
      </c>
      <c r="BA553" t="s">
        <v>125</v>
      </c>
      <c r="BB553" t="s">
        <v>125</v>
      </c>
      <c r="BC553" t="s">
        <v>125</v>
      </c>
      <c r="BD553" t="s">
        <v>125</v>
      </c>
      <c r="BE553" t="s">
        <v>125</v>
      </c>
      <c r="BF553" t="s">
        <v>125</v>
      </c>
      <c r="BG553" t="s">
        <v>125</v>
      </c>
      <c r="BH553" t="s">
        <v>125</v>
      </c>
      <c r="BI553" t="s">
        <v>125</v>
      </c>
      <c r="BJ553" t="s">
        <v>125</v>
      </c>
      <c r="BK553" t="s">
        <v>125</v>
      </c>
      <c r="BL553" t="s">
        <v>125</v>
      </c>
      <c r="BM553" t="s">
        <v>125</v>
      </c>
      <c r="BN553" t="s">
        <v>125</v>
      </c>
      <c r="BO553" t="s">
        <v>125</v>
      </c>
      <c r="BP553" t="s">
        <v>125</v>
      </c>
      <c r="BQ553" t="s">
        <v>125</v>
      </c>
      <c r="BR553">
        <v>2.9267999999999999E-2</v>
      </c>
      <c r="BS553">
        <v>50</v>
      </c>
      <c r="BT553">
        <v>50</v>
      </c>
      <c r="BU553">
        <v>2.7026999999999999E-2</v>
      </c>
      <c r="BV553">
        <v>50</v>
      </c>
      <c r="BW553">
        <v>50</v>
      </c>
      <c r="BX553" t="s">
        <v>125</v>
      </c>
      <c r="BY553" t="s">
        <v>125</v>
      </c>
      <c r="BZ553" t="s">
        <v>125</v>
      </c>
      <c r="CA553" t="s">
        <v>125</v>
      </c>
      <c r="CB553" t="s">
        <v>125</v>
      </c>
      <c r="CC553" t="s">
        <v>125</v>
      </c>
      <c r="CD553" t="s">
        <v>125</v>
      </c>
      <c r="CE553" t="s">
        <v>125</v>
      </c>
      <c r="CF553" t="s">
        <v>125</v>
      </c>
      <c r="CG553" t="s">
        <v>125</v>
      </c>
      <c r="CH553" t="s">
        <v>125</v>
      </c>
      <c r="CI553" t="s">
        <v>125</v>
      </c>
      <c r="CJ553" t="s">
        <v>125</v>
      </c>
      <c r="CK553" t="s">
        <v>125</v>
      </c>
      <c r="CL553" t="s">
        <v>125</v>
      </c>
      <c r="CM553" t="s">
        <v>125</v>
      </c>
      <c r="CN553" t="s">
        <v>125</v>
      </c>
      <c r="CO553" t="s">
        <v>125</v>
      </c>
      <c r="CP553" t="s">
        <v>125</v>
      </c>
      <c r="CQ553" t="s">
        <v>125</v>
      </c>
      <c r="CR553" t="s">
        <v>125</v>
      </c>
      <c r="CS553" t="s">
        <v>125</v>
      </c>
      <c r="CT553" t="s">
        <v>125</v>
      </c>
      <c r="CU553" t="s">
        <v>125</v>
      </c>
      <c r="CV553" t="s">
        <v>125</v>
      </c>
      <c r="CW553" t="s">
        <v>125</v>
      </c>
      <c r="CX553" t="s">
        <v>125</v>
      </c>
      <c r="CY553" t="s">
        <v>125</v>
      </c>
      <c r="CZ553" t="s">
        <v>125</v>
      </c>
      <c r="DA553" t="s">
        <v>125</v>
      </c>
      <c r="DB553" t="s">
        <v>125</v>
      </c>
      <c r="DC553" t="s">
        <v>125</v>
      </c>
      <c r="DD553" t="s">
        <v>125</v>
      </c>
      <c r="DE553" t="s">
        <v>125</v>
      </c>
      <c r="DJ553" t="s">
        <v>125</v>
      </c>
      <c r="DK553" t="s">
        <v>125</v>
      </c>
      <c r="DL553" t="s">
        <v>125</v>
      </c>
      <c r="DM553" t="s">
        <v>125</v>
      </c>
      <c r="DN553" t="s">
        <v>125</v>
      </c>
      <c r="DO553" t="s">
        <v>125</v>
      </c>
      <c r="DQ553" t="s">
        <v>126</v>
      </c>
    </row>
    <row r="554" spans="1:121" x14ac:dyDescent="0.15">
      <c r="A554">
        <v>2018</v>
      </c>
      <c r="B554" t="s">
        <v>253</v>
      </c>
      <c r="C554" t="str">
        <f t="shared" si="18"/>
        <v>0720011</v>
      </c>
      <c r="D554" t="s">
        <v>711</v>
      </c>
      <c r="E554" t="str">
        <f>"0720411"</f>
        <v>0720411</v>
      </c>
      <c r="F554" t="s">
        <v>328</v>
      </c>
      <c r="G554" t="s">
        <v>329</v>
      </c>
      <c r="H554">
        <v>6</v>
      </c>
      <c r="I554" t="s">
        <v>330</v>
      </c>
      <c r="J554" t="s">
        <v>331</v>
      </c>
      <c r="K554">
        <v>540.26617399999998</v>
      </c>
      <c r="L554">
        <v>800</v>
      </c>
      <c r="M554">
        <v>67.533271999999997</v>
      </c>
      <c r="N554">
        <v>3</v>
      </c>
      <c r="O554">
        <v>1</v>
      </c>
      <c r="P554">
        <v>65.827600000000004</v>
      </c>
      <c r="Q554">
        <v>43.885066999999999</v>
      </c>
      <c r="R554">
        <v>50</v>
      </c>
      <c r="S554">
        <v>59.046999</v>
      </c>
      <c r="T554">
        <v>74.281336999999994</v>
      </c>
      <c r="U554">
        <v>39.364666</v>
      </c>
      <c r="V554">
        <v>50</v>
      </c>
      <c r="W554">
        <v>61.029654999999998</v>
      </c>
      <c r="X554">
        <v>40.686436999999998</v>
      </c>
      <c r="Y554">
        <v>50</v>
      </c>
      <c r="Z554">
        <v>70.841864000000001</v>
      </c>
      <c r="AA554">
        <v>53.159447</v>
      </c>
      <c r="AB554">
        <v>35.439630999999999</v>
      </c>
      <c r="AC554">
        <v>50</v>
      </c>
      <c r="AD554">
        <v>63.834574000000003</v>
      </c>
      <c r="AE554">
        <v>42.556382999999997</v>
      </c>
      <c r="AF554">
        <v>50</v>
      </c>
      <c r="AG554" t="s">
        <v>125</v>
      </c>
      <c r="AH554">
        <v>70.580645000000004</v>
      </c>
      <c r="AI554" t="s">
        <v>125</v>
      </c>
      <c r="AJ554" t="s">
        <v>125</v>
      </c>
      <c r="AK554">
        <v>15.23</v>
      </c>
      <c r="AL554">
        <v>17.68</v>
      </c>
      <c r="AM554" t="s">
        <v>125</v>
      </c>
      <c r="AN554">
        <v>0.51886500000000002</v>
      </c>
      <c r="AO554">
        <v>51.886462000000002</v>
      </c>
      <c r="AP554">
        <v>100</v>
      </c>
      <c r="AQ554">
        <v>0.62900599999999995</v>
      </c>
      <c r="AR554">
        <v>62.900637000000003</v>
      </c>
      <c r="AS554">
        <v>100</v>
      </c>
      <c r="AT554">
        <v>0.44930900000000001</v>
      </c>
      <c r="AU554">
        <v>0.57720199999999999</v>
      </c>
      <c r="AV554">
        <v>44.930869999999999</v>
      </c>
      <c r="AW554">
        <v>100</v>
      </c>
      <c r="AX554">
        <v>0.59338900000000006</v>
      </c>
      <c r="AY554">
        <v>0.65887899999999999</v>
      </c>
      <c r="AZ554">
        <v>59.338912999999998</v>
      </c>
      <c r="BA554">
        <v>100</v>
      </c>
      <c r="BB554" t="s">
        <v>125</v>
      </c>
      <c r="BC554" t="s">
        <v>125</v>
      </c>
      <c r="BD554" t="s">
        <v>125</v>
      </c>
      <c r="BE554" t="s">
        <v>125</v>
      </c>
      <c r="BF554" t="s">
        <v>125</v>
      </c>
      <c r="BG554" t="s">
        <v>125</v>
      </c>
      <c r="BH554">
        <v>0</v>
      </c>
      <c r="BI554">
        <v>0.99438199999999999</v>
      </c>
      <c r="BJ554">
        <v>0.98969099999999999</v>
      </c>
      <c r="BK554">
        <v>1</v>
      </c>
      <c r="BL554">
        <v>0.99438199999999999</v>
      </c>
      <c r="BM554">
        <v>0.98969099999999999</v>
      </c>
      <c r="BN554">
        <v>1</v>
      </c>
      <c r="BO554">
        <v>0.97499999999999998</v>
      </c>
      <c r="BP554" t="s">
        <v>125</v>
      </c>
      <c r="BQ554">
        <v>1</v>
      </c>
      <c r="BR554">
        <v>3.2467999999999997E-2</v>
      </c>
      <c r="BS554">
        <v>50</v>
      </c>
      <c r="BT554">
        <v>50</v>
      </c>
      <c r="BU554">
        <v>2.4389999999999998E-2</v>
      </c>
      <c r="BV554">
        <v>50</v>
      </c>
      <c r="BW554">
        <v>50</v>
      </c>
      <c r="BX554" t="s">
        <v>125</v>
      </c>
      <c r="BY554" t="s">
        <v>125</v>
      </c>
      <c r="BZ554" t="s">
        <v>125</v>
      </c>
      <c r="CA554" t="s">
        <v>125</v>
      </c>
      <c r="CB554" t="s">
        <v>125</v>
      </c>
      <c r="CC554" t="s">
        <v>125</v>
      </c>
      <c r="CD554" t="s">
        <v>125</v>
      </c>
      <c r="CE554" t="s">
        <v>125</v>
      </c>
      <c r="CF554" t="s">
        <v>125</v>
      </c>
      <c r="CG554" t="s">
        <v>125</v>
      </c>
      <c r="CH554" t="s">
        <v>125</v>
      </c>
      <c r="CI554" t="s">
        <v>125</v>
      </c>
      <c r="CJ554" t="s">
        <v>125</v>
      </c>
      <c r="CK554" t="s">
        <v>125</v>
      </c>
      <c r="CL554" t="s">
        <v>125</v>
      </c>
      <c r="CM554" t="s">
        <v>125</v>
      </c>
      <c r="CN554" t="s">
        <v>125</v>
      </c>
      <c r="CO554" t="s">
        <v>125</v>
      </c>
      <c r="CP554" t="s">
        <v>125</v>
      </c>
      <c r="CQ554">
        <v>0.289157</v>
      </c>
      <c r="CR554">
        <v>1.012195</v>
      </c>
      <c r="CS554">
        <v>19.277107999999998</v>
      </c>
      <c r="CT554">
        <v>50</v>
      </c>
      <c r="CU554" t="s">
        <v>125</v>
      </c>
      <c r="CV554" t="s">
        <v>125</v>
      </c>
      <c r="CW554" t="s">
        <v>125</v>
      </c>
      <c r="CX554" t="s">
        <v>125</v>
      </c>
      <c r="CY554" t="s">
        <v>125</v>
      </c>
      <c r="CZ554" t="s">
        <v>125</v>
      </c>
      <c r="DA554">
        <v>15.314097</v>
      </c>
      <c r="DB554">
        <v>17.400950000000002</v>
      </c>
      <c r="DC554">
        <v>16.332519999999999</v>
      </c>
      <c r="DD554" t="s">
        <v>125</v>
      </c>
      <c r="DE554">
        <v>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Q554" t="s">
        <v>126</v>
      </c>
    </row>
    <row r="555" spans="1:121" x14ac:dyDescent="0.15">
      <c r="A555">
        <v>2018</v>
      </c>
      <c r="B555" t="s">
        <v>253</v>
      </c>
      <c r="C555" t="str">
        <f t="shared" si="18"/>
        <v>0720011</v>
      </c>
      <c r="D555" t="s">
        <v>712</v>
      </c>
      <c r="E555" t="str">
        <f>"0720311"</f>
        <v>0720311</v>
      </c>
      <c r="F555" t="s">
        <v>328</v>
      </c>
      <c r="G555">
        <v>3</v>
      </c>
      <c r="H555">
        <v>6</v>
      </c>
      <c r="I555" t="s">
        <v>330</v>
      </c>
      <c r="J555" t="s">
        <v>331</v>
      </c>
      <c r="K555">
        <v>616.01030000000003</v>
      </c>
      <c r="L555">
        <v>850</v>
      </c>
      <c r="M555">
        <v>72.471800000000002</v>
      </c>
      <c r="N555">
        <v>3</v>
      </c>
      <c r="O555">
        <v>1</v>
      </c>
      <c r="P555">
        <v>69.113159999999993</v>
      </c>
      <c r="Q555">
        <v>46.07544</v>
      </c>
      <c r="R555">
        <v>50</v>
      </c>
      <c r="S555">
        <v>58.669730999999999</v>
      </c>
      <c r="T555">
        <v>75</v>
      </c>
      <c r="U555">
        <v>39.113154000000002</v>
      </c>
      <c r="V555">
        <v>50</v>
      </c>
      <c r="W555">
        <v>66.424001000000004</v>
      </c>
      <c r="X555">
        <v>44.282666999999996</v>
      </c>
      <c r="Y555">
        <v>50</v>
      </c>
      <c r="Z555">
        <v>73.733534000000006</v>
      </c>
      <c r="AA555">
        <v>56.775418000000002</v>
      </c>
      <c r="AB555">
        <v>37.850279</v>
      </c>
      <c r="AC555">
        <v>50</v>
      </c>
      <c r="AD555">
        <v>68.474412999999998</v>
      </c>
      <c r="AE555">
        <v>45.649608000000001</v>
      </c>
      <c r="AF555">
        <v>50</v>
      </c>
      <c r="AG555">
        <v>61.615737000000003</v>
      </c>
      <c r="AH555">
        <v>74.241934999999998</v>
      </c>
      <c r="AI555">
        <v>41.077157999999997</v>
      </c>
      <c r="AJ555">
        <v>50</v>
      </c>
      <c r="AK555">
        <v>16.329999999999998</v>
      </c>
      <c r="AL555">
        <v>16.95</v>
      </c>
      <c r="AM555">
        <v>12.62</v>
      </c>
      <c r="AN555">
        <v>0.53356000000000003</v>
      </c>
      <c r="AO555">
        <v>53.355995</v>
      </c>
      <c r="AP555">
        <v>100</v>
      </c>
      <c r="AQ555">
        <v>0.58479400000000004</v>
      </c>
      <c r="AR555">
        <v>58.479408999999997</v>
      </c>
      <c r="AS555">
        <v>100</v>
      </c>
      <c r="AT555">
        <v>0.45513999999999999</v>
      </c>
      <c r="AU555">
        <v>0.59288600000000002</v>
      </c>
      <c r="AV555">
        <v>45.514023000000002</v>
      </c>
      <c r="AW555">
        <v>100</v>
      </c>
      <c r="AX555">
        <v>0.556917</v>
      </c>
      <c r="AY555">
        <v>0.60588399999999998</v>
      </c>
      <c r="AZ555">
        <v>55.691704000000001</v>
      </c>
      <c r="BA555">
        <v>100</v>
      </c>
      <c r="BB555" t="s">
        <v>125</v>
      </c>
      <c r="BC555" t="s">
        <v>125</v>
      </c>
      <c r="BD555" t="s">
        <v>125</v>
      </c>
      <c r="BE555" t="s">
        <v>125</v>
      </c>
      <c r="BF555" t="s">
        <v>125</v>
      </c>
      <c r="BG555" t="s">
        <v>125</v>
      </c>
      <c r="BH555">
        <v>0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0.98795200000000005</v>
      </c>
      <c r="BP555">
        <v>1</v>
      </c>
      <c r="BQ555">
        <v>0.97777800000000004</v>
      </c>
      <c r="BR555">
        <v>2.6936000000000002E-2</v>
      </c>
      <c r="BS555">
        <v>50</v>
      </c>
      <c r="BT555">
        <v>50</v>
      </c>
      <c r="BU555">
        <v>3.9370000000000002E-2</v>
      </c>
      <c r="BV555">
        <v>50</v>
      </c>
      <c r="BW555">
        <v>50</v>
      </c>
      <c r="BX555" t="s">
        <v>125</v>
      </c>
      <c r="BY555" t="s">
        <v>125</v>
      </c>
      <c r="BZ555" t="s">
        <v>125</v>
      </c>
      <c r="CA555" t="s">
        <v>125</v>
      </c>
      <c r="CB555" t="s">
        <v>125</v>
      </c>
      <c r="CC555" t="s">
        <v>125</v>
      </c>
      <c r="CD555" t="s">
        <v>125</v>
      </c>
      <c r="CE555" t="s">
        <v>125</v>
      </c>
      <c r="CF555" t="s">
        <v>125</v>
      </c>
      <c r="CG555" t="s">
        <v>125</v>
      </c>
      <c r="CH555" t="s">
        <v>125</v>
      </c>
      <c r="CI555" t="s">
        <v>125</v>
      </c>
      <c r="CJ555" t="s">
        <v>125</v>
      </c>
      <c r="CK555" t="s">
        <v>125</v>
      </c>
      <c r="CL555" t="s">
        <v>125</v>
      </c>
      <c r="CM555" t="s">
        <v>125</v>
      </c>
      <c r="CN555" t="s">
        <v>125</v>
      </c>
      <c r="CO555" t="s">
        <v>125</v>
      </c>
      <c r="CP555" t="s">
        <v>125</v>
      </c>
      <c r="CQ555">
        <v>0.73381300000000005</v>
      </c>
      <c r="CR555">
        <v>0.972028</v>
      </c>
      <c r="CS555">
        <v>48.920862999999997</v>
      </c>
      <c r="CT555">
        <v>50</v>
      </c>
      <c r="CU555" t="s">
        <v>125</v>
      </c>
      <c r="CV555" t="s">
        <v>125</v>
      </c>
      <c r="CW555" t="s">
        <v>125</v>
      </c>
      <c r="CX555" t="s">
        <v>125</v>
      </c>
      <c r="CY555" t="s">
        <v>125</v>
      </c>
      <c r="CZ555" t="s">
        <v>125</v>
      </c>
      <c r="DA555">
        <v>15.314097</v>
      </c>
      <c r="DB555">
        <v>17.400950000000002</v>
      </c>
      <c r="DC555">
        <v>16.332519999999999</v>
      </c>
      <c r="DD555" t="s">
        <v>125</v>
      </c>
      <c r="DE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Q555" t="s">
        <v>126</v>
      </c>
    </row>
    <row r="556" spans="1:121" x14ac:dyDescent="0.15">
      <c r="A556">
        <v>2018</v>
      </c>
      <c r="B556" t="s">
        <v>253</v>
      </c>
      <c r="C556" t="str">
        <f t="shared" si="18"/>
        <v>0720011</v>
      </c>
      <c r="D556" t="s">
        <v>713</v>
      </c>
      <c r="E556" t="str">
        <f>"0720111"</f>
        <v>0720111</v>
      </c>
      <c r="F556" t="s">
        <v>328</v>
      </c>
      <c r="G556" t="s">
        <v>339</v>
      </c>
      <c r="H556">
        <v>6</v>
      </c>
      <c r="I556" t="s">
        <v>330</v>
      </c>
      <c r="J556" t="s">
        <v>331</v>
      </c>
      <c r="K556">
        <v>618.65958000000001</v>
      </c>
      <c r="L556">
        <v>850</v>
      </c>
      <c r="M556">
        <v>72.783479999999997</v>
      </c>
      <c r="N556">
        <v>2</v>
      </c>
      <c r="O556">
        <v>0</v>
      </c>
      <c r="P556">
        <v>70.558356000000003</v>
      </c>
      <c r="Q556">
        <v>47.038904000000002</v>
      </c>
      <c r="R556">
        <v>50</v>
      </c>
      <c r="S556">
        <v>60.814554000000001</v>
      </c>
      <c r="T556">
        <v>75</v>
      </c>
      <c r="U556">
        <v>40.543036000000001</v>
      </c>
      <c r="V556">
        <v>50</v>
      </c>
      <c r="W556">
        <v>66.348862999999994</v>
      </c>
      <c r="X556">
        <v>44.232574999999997</v>
      </c>
      <c r="Y556">
        <v>50</v>
      </c>
      <c r="Z556">
        <v>72.020652999999996</v>
      </c>
      <c r="AA556">
        <v>56.941991000000002</v>
      </c>
      <c r="AB556">
        <v>37.961328000000002</v>
      </c>
      <c r="AC556">
        <v>50</v>
      </c>
      <c r="AD556">
        <v>66.417456999999999</v>
      </c>
      <c r="AE556">
        <v>44.278305000000003</v>
      </c>
      <c r="AF556">
        <v>50</v>
      </c>
      <c r="AG556">
        <v>61.305211</v>
      </c>
      <c r="AH556">
        <v>71.734194000000002</v>
      </c>
      <c r="AI556">
        <v>40.870140999999997</v>
      </c>
      <c r="AJ556">
        <v>50</v>
      </c>
      <c r="AK556">
        <v>14.18</v>
      </c>
      <c r="AL556">
        <v>15.07</v>
      </c>
      <c r="AM556">
        <v>10.42</v>
      </c>
      <c r="AN556">
        <v>0.582098</v>
      </c>
      <c r="AO556">
        <v>58.209772000000001</v>
      </c>
      <c r="AP556">
        <v>100</v>
      </c>
      <c r="AQ556">
        <v>0.58623099999999995</v>
      </c>
      <c r="AR556">
        <v>58.623123999999997</v>
      </c>
      <c r="AS556">
        <v>100</v>
      </c>
      <c r="AT556">
        <v>0.49723000000000001</v>
      </c>
      <c r="AU556">
        <v>0.63232600000000005</v>
      </c>
      <c r="AV556">
        <v>49.722999999999999</v>
      </c>
      <c r="AW556">
        <v>100</v>
      </c>
      <c r="AX556">
        <v>0.60456200000000004</v>
      </c>
      <c r="AY556">
        <v>0.57538199999999995</v>
      </c>
      <c r="AZ556">
        <v>60.456232</v>
      </c>
      <c r="BA556">
        <v>100</v>
      </c>
      <c r="BB556" t="s">
        <v>125</v>
      </c>
      <c r="BC556" t="s">
        <v>125</v>
      </c>
      <c r="BD556" t="s">
        <v>125</v>
      </c>
      <c r="BE556" t="s">
        <v>125</v>
      </c>
      <c r="BF556" t="s">
        <v>125</v>
      </c>
      <c r="BG556" t="s">
        <v>125</v>
      </c>
      <c r="BH556">
        <v>0</v>
      </c>
      <c r="BI556">
        <v>0.99567099999999997</v>
      </c>
      <c r="BJ556">
        <v>1</v>
      </c>
      <c r="BK556">
        <v>0.99305600000000005</v>
      </c>
      <c r="BL556">
        <v>0.99567099999999997</v>
      </c>
      <c r="BM556">
        <v>1</v>
      </c>
      <c r="BN556">
        <v>0.99305600000000005</v>
      </c>
      <c r="BO556">
        <v>1</v>
      </c>
      <c r="BP556">
        <v>1</v>
      </c>
      <c r="BQ556">
        <v>1</v>
      </c>
      <c r="BR556">
        <v>2.3622000000000001E-2</v>
      </c>
      <c r="BS556">
        <v>50</v>
      </c>
      <c r="BT556">
        <v>50</v>
      </c>
      <c r="BU556">
        <v>4.7619000000000002E-2</v>
      </c>
      <c r="BV556">
        <v>50</v>
      </c>
      <c r="BW556">
        <v>50</v>
      </c>
      <c r="BX556" t="s">
        <v>125</v>
      </c>
      <c r="BY556" t="s">
        <v>125</v>
      </c>
      <c r="BZ556" t="s">
        <v>125</v>
      </c>
      <c r="CA556" t="s">
        <v>125</v>
      </c>
      <c r="CB556" t="s">
        <v>125</v>
      </c>
      <c r="CC556" t="s">
        <v>125</v>
      </c>
      <c r="CD556" t="s">
        <v>125</v>
      </c>
      <c r="CE556" t="s">
        <v>125</v>
      </c>
      <c r="CF556" t="s">
        <v>125</v>
      </c>
      <c r="CG556" t="s">
        <v>125</v>
      </c>
      <c r="CH556" t="s">
        <v>125</v>
      </c>
      <c r="CI556" t="s">
        <v>125</v>
      </c>
      <c r="CJ556" t="s">
        <v>125</v>
      </c>
      <c r="CK556" t="s">
        <v>125</v>
      </c>
      <c r="CL556" t="s">
        <v>125</v>
      </c>
      <c r="CM556" t="s">
        <v>125</v>
      </c>
      <c r="CN556" t="s">
        <v>125</v>
      </c>
      <c r="CO556" t="s">
        <v>125</v>
      </c>
      <c r="CP556" t="s">
        <v>125</v>
      </c>
      <c r="CQ556">
        <v>0.55084699999999998</v>
      </c>
      <c r="CR556">
        <v>0.95935000000000004</v>
      </c>
      <c r="CS556">
        <v>36.723163999999997</v>
      </c>
      <c r="CT556">
        <v>50</v>
      </c>
      <c r="CU556" t="s">
        <v>125</v>
      </c>
      <c r="CV556" t="s">
        <v>125</v>
      </c>
      <c r="CW556" t="s">
        <v>125</v>
      </c>
      <c r="CX556" t="s">
        <v>125</v>
      </c>
      <c r="CY556" t="s">
        <v>125</v>
      </c>
      <c r="CZ556" t="s">
        <v>125</v>
      </c>
      <c r="DA556">
        <v>15.314097</v>
      </c>
      <c r="DB556">
        <v>17.400950000000002</v>
      </c>
      <c r="DC556">
        <v>16.332519999999999</v>
      </c>
      <c r="DD556" t="s">
        <v>125</v>
      </c>
      <c r="DE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Q556" t="s">
        <v>126</v>
      </c>
    </row>
    <row r="557" spans="1:121" x14ac:dyDescent="0.15">
      <c r="A557">
        <v>2018</v>
      </c>
      <c r="B557" t="s">
        <v>253</v>
      </c>
      <c r="C557" t="str">
        <f t="shared" si="18"/>
        <v>0720011</v>
      </c>
      <c r="D557" t="s">
        <v>714</v>
      </c>
      <c r="E557" t="str">
        <f>"0726111"</f>
        <v>0726111</v>
      </c>
      <c r="F557" t="s">
        <v>328</v>
      </c>
      <c r="G557">
        <v>9</v>
      </c>
      <c r="H557">
        <v>12</v>
      </c>
      <c r="I557" t="s">
        <v>330</v>
      </c>
      <c r="J557" t="s">
        <v>331</v>
      </c>
      <c r="K557">
        <v>1167.938173</v>
      </c>
      <c r="L557">
        <v>1450</v>
      </c>
      <c r="M557">
        <v>80.547460000000001</v>
      </c>
      <c r="N557">
        <v>2</v>
      </c>
      <c r="O557">
        <v>0</v>
      </c>
      <c r="P557">
        <v>58.039039000000002</v>
      </c>
      <c r="Q557">
        <v>116.078078</v>
      </c>
      <c r="R557">
        <v>150</v>
      </c>
      <c r="S557">
        <v>50.539682999999997</v>
      </c>
      <c r="T557">
        <v>63.385801999999998</v>
      </c>
      <c r="U557">
        <v>101.079365</v>
      </c>
      <c r="V557">
        <v>150</v>
      </c>
      <c r="W557">
        <v>54.606907</v>
      </c>
      <c r="X557">
        <v>109.213814</v>
      </c>
      <c r="Y557">
        <v>150</v>
      </c>
      <c r="Z557">
        <v>60.449074000000003</v>
      </c>
      <c r="AA557">
        <v>46.412697999999999</v>
      </c>
      <c r="AB557">
        <v>92.825396999999995</v>
      </c>
      <c r="AC557">
        <v>150</v>
      </c>
      <c r="AD557">
        <v>63.286427000000003</v>
      </c>
      <c r="AE557">
        <v>84.381902999999994</v>
      </c>
      <c r="AF557">
        <v>100</v>
      </c>
      <c r="AG557">
        <v>55.5869</v>
      </c>
      <c r="AH557">
        <v>68.654904999999999</v>
      </c>
      <c r="AI557">
        <v>74.115866999999994</v>
      </c>
      <c r="AJ557">
        <v>100</v>
      </c>
      <c r="AK557">
        <v>12.84</v>
      </c>
      <c r="AL557">
        <v>14.03</v>
      </c>
      <c r="AM557">
        <v>13.06</v>
      </c>
      <c r="AN557" t="s">
        <v>125</v>
      </c>
      <c r="AO557" t="s">
        <v>125</v>
      </c>
      <c r="AP557" t="s">
        <v>125</v>
      </c>
      <c r="AQ557" t="s">
        <v>125</v>
      </c>
      <c r="AR557" t="s">
        <v>125</v>
      </c>
      <c r="AS557" t="s">
        <v>125</v>
      </c>
      <c r="AT557" t="s">
        <v>125</v>
      </c>
      <c r="AU557" t="s">
        <v>125</v>
      </c>
      <c r="AV557" t="s">
        <v>125</v>
      </c>
      <c r="AW557" t="s">
        <v>125</v>
      </c>
      <c r="AX557" t="s">
        <v>125</v>
      </c>
      <c r="AY557" t="s">
        <v>125</v>
      </c>
      <c r="AZ557" t="s">
        <v>125</v>
      </c>
      <c r="BA557" t="s">
        <v>125</v>
      </c>
      <c r="BB557" t="s">
        <v>125</v>
      </c>
      <c r="BC557" t="s">
        <v>125</v>
      </c>
      <c r="BD557" t="s">
        <v>125</v>
      </c>
      <c r="BE557" t="s">
        <v>125</v>
      </c>
      <c r="BF557" t="s">
        <v>125</v>
      </c>
      <c r="BG557" t="s">
        <v>125</v>
      </c>
      <c r="BH557">
        <v>0</v>
      </c>
      <c r="BI557">
        <v>0.97894700000000001</v>
      </c>
      <c r="BJ557">
        <v>1</v>
      </c>
      <c r="BK557">
        <v>0.96428599999999998</v>
      </c>
      <c r="BL557">
        <v>0.97894700000000001</v>
      </c>
      <c r="BM557">
        <v>1</v>
      </c>
      <c r="BN557">
        <v>0.96428599999999998</v>
      </c>
      <c r="BO557">
        <v>0.984043</v>
      </c>
      <c r="BP557">
        <v>0.98701300000000003</v>
      </c>
      <c r="BQ557">
        <v>0.98198200000000002</v>
      </c>
      <c r="BR557">
        <v>1.0753E-2</v>
      </c>
      <c r="BS557">
        <v>50</v>
      </c>
      <c r="BT557">
        <v>50</v>
      </c>
      <c r="BU557">
        <v>1.6501999999999999E-2</v>
      </c>
      <c r="BV557">
        <v>50</v>
      </c>
      <c r="BW557">
        <v>50</v>
      </c>
      <c r="BX557">
        <v>0.804813</v>
      </c>
      <c r="BY557">
        <v>50</v>
      </c>
      <c r="BZ557">
        <v>50</v>
      </c>
      <c r="CA557">
        <v>0.467914</v>
      </c>
      <c r="CB557">
        <v>31.194296000000001</v>
      </c>
      <c r="CC557">
        <v>50</v>
      </c>
      <c r="CD557">
        <v>0.95939099999999999</v>
      </c>
      <c r="CE557">
        <v>50</v>
      </c>
      <c r="CF557">
        <v>50</v>
      </c>
      <c r="CG557">
        <v>0.94791700000000001</v>
      </c>
      <c r="CH557">
        <v>100</v>
      </c>
      <c r="CI557">
        <v>100</v>
      </c>
      <c r="CJ557">
        <v>0</v>
      </c>
      <c r="CK557">
        <v>0.925373</v>
      </c>
      <c r="CL557">
        <v>98.443950000000001</v>
      </c>
      <c r="CM557">
        <v>100</v>
      </c>
      <c r="CN557">
        <v>0.68254000000000004</v>
      </c>
      <c r="CO557">
        <v>91.005291</v>
      </c>
      <c r="CP557">
        <v>100</v>
      </c>
      <c r="CQ557">
        <v>0.38372099999999998</v>
      </c>
      <c r="CR557">
        <v>0.99421999999999999</v>
      </c>
      <c r="CS557">
        <v>25.581395000000001</v>
      </c>
      <c r="CT557">
        <v>50</v>
      </c>
      <c r="CU557">
        <v>0.52822599999999997</v>
      </c>
      <c r="CV557">
        <v>44.018816999999999</v>
      </c>
      <c r="CW557">
        <v>50</v>
      </c>
      <c r="CX557">
        <v>0.925373</v>
      </c>
      <c r="CY557">
        <v>0.94</v>
      </c>
      <c r="CZ557">
        <v>1.4626999999999999E-2</v>
      </c>
      <c r="DA557">
        <v>15.314097</v>
      </c>
      <c r="DB557">
        <v>17.400950000000002</v>
      </c>
      <c r="DC557">
        <v>16.332519999999999</v>
      </c>
      <c r="DD557">
        <v>7.9891730000000001</v>
      </c>
      <c r="DE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Q557" t="s">
        <v>126</v>
      </c>
    </row>
    <row r="558" spans="1:121" x14ac:dyDescent="0.15">
      <c r="A558">
        <v>2018</v>
      </c>
      <c r="B558" t="s">
        <v>253</v>
      </c>
      <c r="C558" t="str">
        <f t="shared" si="18"/>
        <v>0720011</v>
      </c>
      <c r="D558" t="s">
        <v>715</v>
      </c>
      <c r="E558" t="str">
        <f>"0725111"</f>
        <v>0725111</v>
      </c>
      <c r="F558" t="s">
        <v>328</v>
      </c>
      <c r="G558">
        <v>7</v>
      </c>
      <c r="H558">
        <v>8</v>
      </c>
      <c r="I558" t="s">
        <v>330</v>
      </c>
      <c r="J558" t="s">
        <v>331</v>
      </c>
      <c r="K558">
        <v>646.99261200000001</v>
      </c>
      <c r="L558">
        <v>900</v>
      </c>
      <c r="M558">
        <v>71.888068000000004</v>
      </c>
      <c r="N558">
        <v>3</v>
      </c>
      <c r="O558">
        <v>1</v>
      </c>
      <c r="P558">
        <v>64.535480000000007</v>
      </c>
      <c r="Q558">
        <v>43.023653000000003</v>
      </c>
      <c r="R558">
        <v>50</v>
      </c>
      <c r="S558">
        <v>55.067058000000003</v>
      </c>
      <c r="T558">
        <v>70.949573000000001</v>
      </c>
      <c r="U558">
        <v>36.711371999999997</v>
      </c>
      <c r="V558">
        <v>50</v>
      </c>
      <c r="W558">
        <v>63.856426999999996</v>
      </c>
      <c r="X558">
        <v>42.570951000000001</v>
      </c>
      <c r="Y558">
        <v>50</v>
      </c>
      <c r="Z558">
        <v>71.900831999999994</v>
      </c>
      <c r="AA558">
        <v>51.955115999999997</v>
      </c>
      <c r="AB558">
        <v>34.636744</v>
      </c>
      <c r="AC558">
        <v>50</v>
      </c>
      <c r="AD558">
        <v>67.069025999999994</v>
      </c>
      <c r="AE558">
        <v>44.712684000000003</v>
      </c>
      <c r="AF558">
        <v>50</v>
      </c>
      <c r="AG558">
        <v>56.286884000000001</v>
      </c>
      <c r="AH558">
        <v>73.854339999999993</v>
      </c>
      <c r="AI558">
        <v>37.524588999999999</v>
      </c>
      <c r="AJ558">
        <v>50</v>
      </c>
      <c r="AK558">
        <v>15.88</v>
      </c>
      <c r="AL558">
        <v>19.940000000000001</v>
      </c>
      <c r="AM558">
        <v>17.559999999999999</v>
      </c>
      <c r="AN558">
        <v>0.51373500000000005</v>
      </c>
      <c r="AO558">
        <v>51.373536999999999</v>
      </c>
      <c r="AP558">
        <v>100</v>
      </c>
      <c r="AQ558">
        <v>0.61365099999999995</v>
      </c>
      <c r="AR558">
        <v>61.365124000000002</v>
      </c>
      <c r="AS558">
        <v>100</v>
      </c>
      <c r="AT558">
        <v>0.51593800000000001</v>
      </c>
      <c r="AU558">
        <v>0.51239299999999999</v>
      </c>
      <c r="AV558">
        <v>51.593789000000001</v>
      </c>
      <c r="AW558">
        <v>100</v>
      </c>
      <c r="AX558">
        <v>0.57148600000000005</v>
      </c>
      <c r="AY558">
        <v>0.63895000000000002</v>
      </c>
      <c r="AZ558">
        <v>57.148598</v>
      </c>
      <c r="BA558">
        <v>100</v>
      </c>
      <c r="BB558" t="s">
        <v>125</v>
      </c>
      <c r="BC558" t="s">
        <v>125</v>
      </c>
      <c r="BD558" t="s">
        <v>125</v>
      </c>
      <c r="BE558" t="s">
        <v>125</v>
      </c>
      <c r="BF558" t="s">
        <v>125</v>
      </c>
      <c r="BG558" t="s">
        <v>125</v>
      </c>
      <c r="BH558">
        <v>0</v>
      </c>
      <c r="BI558">
        <v>0.98666699999999996</v>
      </c>
      <c r="BJ558">
        <v>0.97350999999999999</v>
      </c>
      <c r="BK558">
        <v>0.99553599999999998</v>
      </c>
      <c r="BL558">
        <v>0.98395699999999997</v>
      </c>
      <c r="BM558">
        <v>0.973333</v>
      </c>
      <c r="BN558">
        <v>0.99107100000000004</v>
      </c>
      <c r="BO558">
        <v>0.98453599999999997</v>
      </c>
      <c r="BP558">
        <v>0.96052599999999999</v>
      </c>
      <c r="BQ558">
        <v>1</v>
      </c>
      <c r="BR558">
        <v>1.0695E-2</v>
      </c>
      <c r="BS558">
        <v>50</v>
      </c>
      <c r="BT558">
        <v>50</v>
      </c>
      <c r="BU558">
        <v>6.711E-3</v>
      </c>
      <c r="BV558">
        <v>50</v>
      </c>
      <c r="BW558">
        <v>50</v>
      </c>
      <c r="BX558" t="s">
        <v>125</v>
      </c>
      <c r="BY558" t="s">
        <v>125</v>
      </c>
      <c r="BZ558" t="s">
        <v>125</v>
      </c>
      <c r="CA558" t="s">
        <v>125</v>
      </c>
      <c r="CB558" t="s">
        <v>125</v>
      </c>
      <c r="CC558" t="s">
        <v>125</v>
      </c>
      <c r="CD558">
        <v>0.96610200000000002</v>
      </c>
      <c r="CE558">
        <v>50</v>
      </c>
      <c r="CF558">
        <v>50</v>
      </c>
      <c r="CG558" t="s">
        <v>125</v>
      </c>
      <c r="CH558" t="s">
        <v>125</v>
      </c>
      <c r="CI558" t="s">
        <v>125</v>
      </c>
      <c r="CJ558" t="s">
        <v>125</v>
      </c>
      <c r="CK558" t="s">
        <v>125</v>
      </c>
      <c r="CL558" t="s">
        <v>125</v>
      </c>
      <c r="CM558" t="s">
        <v>125</v>
      </c>
      <c r="CN558" t="s">
        <v>125</v>
      </c>
      <c r="CO558" t="s">
        <v>125</v>
      </c>
      <c r="CP558" t="s">
        <v>125</v>
      </c>
      <c r="CQ558">
        <v>0.54497399999999996</v>
      </c>
      <c r="CR558">
        <v>0.97927500000000001</v>
      </c>
      <c r="CS558">
        <v>36.331569999999999</v>
      </c>
      <c r="CT558">
        <v>50</v>
      </c>
      <c r="CU558" t="s">
        <v>125</v>
      </c>
      <c r="CV558" t="s">
        <v>125</v>
      </c>
      <c r="CW558" t="s">
        <v>125</v>
      </c>
      <c r="CX558" t="s">
        <v>125</v>
      </c>
      <c r="CY558" t="s">
        <v>125</v>
      </c>
      <c r="CZ558" t="s">
        <v>125</v>
      </c>
      <c r="DA558">
        <v>15.314097</v>
      </c>
      <c r="DB558">
        <v>17.400950000000002</v>
      </c>
      <c r="DC558">
        <v>16.332519999999999</v>
      </c>
      <c r="DD558" t="s">
        <v>125</v>
      </c>
      <c r="DE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Q558" t="s">
        <v>126</v>
      </c>
    </row>
    <row r="559" spans="1:121" x14ac:dyDescent="0.15">
      <c r="A559">
        <v>2018</v>
      </c>
      <c r="B559" t="s">
        <v>254</v>
      </c>
      <c r="C559" t="str">
        <f>"0730011"</f>
        <v>0730011</v>
      </c>
      <c r="D559" t="s">
        <v>716</v>
      </c>
      <c r="E559" t="str">
        <f>"0730111"</f>
        <v>0730111</v>
      </c>
      <c r="F559" t="s">
        <v>328</v>
      </c>
      <c r="G559" t="s">
        <v>329</v>
      </c>
      <c r="H559">
        <v>8</v>
      </c>
      <c r="I559" t="s">
        <v>330</v>
      </c>
      <c r="J559" t="s">
        <v>331</v>
      </c>
      <c r="K559">
        <v>643.65949899999998</v>
      </c>
      <c r="L559">
        <v>900</v>
      </c>
      <c r="M559">
        <v>71.517722000000006</v>
      </c>
      <c r="N559">
        <v>2</v>
      </c>
      <c r="O559">
        <v>0</v>
      </c>
      <c r="P559">
        <v>70.086882000000003</v>
      </c>
      <c r="Q559">
        <v>46.724587999999997</v>
      </c>
      <c r="R559">
        <v>50</v>
      </c>
      <c r="S559">
        <v>61.661195999999997</v>
      </c>
      <c r="T559">
        <v>75</v>
      </c>
      <c r="U559">
        <v>41.107464</v>
      </c>
      <c r="V559">
        <v>50</v>
      </c>
      <c r="W559">
        <v>63.254699000000002</v>
      </c>
      <c r="X559">
        <v>42.169800000000002</v>
      </c>
      <c r="Y559">
        <v>50</v>
      </c>
      <c r="Z559">
        <v>69.594078999999994</v>
      </c>
      <c r="AA559">
        <v>55.757694000000001</v>
      </c>
      <c r="AB559">
        <v>37.171796000000001</v>
      </c>
      <c r="AC559">
        <v>50</v>
      </c>
      <c r="AD559">
        <v>67.332616000000002</v>
      </c>
      <c r="AE559">
        <v>44.888410999999998</v>
      </c>
      <c r="AF559">
        <v>50</v>
      </c>
      <c r="AG559">
        <v>59.569074000000001</v>
      </c>
      <c r="AH559">
        <v>75</v>
      </c>
      <c r="AI559">
        <v>39.712716</v>
      </c>
      <c r="AJ559">
        <v>50</v>
      </c>
      <c r="AK559">
        <v>13.33</v>
      </c>
      <c r="AL559">
        <v>13.83</v>
      </c>
      <c r="AM559">
        <v>15.43</v>
      </c>
      <c r="AN559">
        <v>0.55430000000000001</v>
      </c>
      <c r="AO559">
        <v>55.429988000000002</v>
      </c>
      <c r="AP559">
        <v>100</v>
      </c>
      <c r="AQ559">
        <v>0.62160400000000005</v>
      </c>
      <c r="AR559">
        <v>62.160420000000002</v>
      </c>
      <c r="AS559">
        <v>100</v>
      </c>
      <c r="AT559">
        <v>0.45700499999999999</v>
      </c>
      <c r="AU559">
        <v>0.62727100000000002</v>
      </c>
      <c r="AV559">
        <v>45.700471</v>
      </c>
      <c r="AW559">
        <v>100</v>
      </c>
      <c r="AX559">
        <v>0.58864499999999997</v>
      </c>
      <c r="AY559">
        <v>0.64625200000000005</v>
      </c>
      <c r="AZ559">
        <v>58.864458999999997</v>
      </c>
      <c r="BA559">
        <v>100</v>
      </c>
      <c r="BB559" t="s">
        <v>125</v>
      </c>
      <c r="BC559" t="s">
        <v>125</v>
      </c>
      <c r="BD559" t="s">
        <v>125</v>
      </c>
      <c r="BE559" t="s">
        <v>125</v>
      </c>
      <c r="BF559" t="s">
        <v>125</v>
      </c>
      <c r="BG559" t="s">
        <v>125</v>
      </c>
      <c r="BH559">
        <v>0</v>
      </c>
      <c r="BI559">
        <v>1</v>
      </c>
      <c r="BJ559">
        <v>1</v>
      </c>
      <c r="BK559">
        <v>1</v>
      </c>
      <c r="BL559">
        <v>0.99236599999999997</v>
      </c>
      <c r="BM559">
        <v>0.99180299999999999</v>
      </c>
      <c r="BN559">
        <v>0.99285699999999999</v>
      </c>
      <c r="BO559">
        <v>0.99</v>
      </c>
      <c r="BP559">
        <v>0.980769</v>
      </c>
      <c r="BQ559">
        <v>1</v>
      </c>
      <c r="BR559">
        <v>4.4736999999999999E-2</v>
      </c>
      <c r="BS559">
        <v>50</v>
      </c>
      <c r="BT559">
        <v>50</v>
      </c>
      <c r="BU559">
        <v>7.4713000000000002E-2</v>
      </c>
      <c r="BV559">
        <v>45.057471</v>
      </c>
      <c r="BW559">
        <v>50</v>
      </c>
      <c r="BX559" t="s">
        <v>125</v>
      </c>
      <c r="BY559" t="s">
        <v>125</v>
      </c>
      <c r="BZ559" t="s">
        <v>125</v>
      </c>
      <c r="CA559" t="s">
        <v>125</v>
      </c>
      <c r="CB559" t="s">
        <v>125</v>
      </c>
      <c r="CC559" t="s">
        <v>125</v>
      </c>
      <c r="CD559">
        <v>0.97916700000000001</v>
      </c>
      <c r="CE559">
        <v>50</v>
      </c>
      <c r="CF559">
        <v>50</v>
      </c>
      <c r="CG559" t="s">
        <v>125</v>
      </c>
      <c r="CH559" t="s">
        <v>125</v>
      </c>
      <c r="CI559" t="s">
        <v>125</v>
      </c>
      <c r="CJ559" t="s">
        <v>125</v>
      </c>
      <c r="CK559" t="s">
        <v>125</v>
      </c>
      <c r="CL559" t="s">
        <v>125</v>
      </c>
      <c r="CM559" t="s">
        <v>125</v>
      </c>
      <c r="CN559" t="s">
        <v>125</v>
      </c>
      <c r="CO559" t="s">
        <v>125</v>
      </c>
      <c r="CP559" t="s">
        <v>125</v>
      </c>
      <c r="CQ559">
        <v>0.37007899999999999</v>
      </c>
      <c r="CR559">
        <v>0.99218799999999996</v>
      </c>
      <c r="CS559">
        <v>24.671916</v>
      </c>
      <c r="CT559">
        <v>50</v>
      </c>
      <c r="CU559" t="s">
        <v>125</v>
      </c>
      <c r="CV559" t="s">
        <v>125</v>
      </c>
      <c r="CW559" t="s">
        <v>125</v>
      </c>
      <c r="CX559" t="s">
        <v>125</v>
      </c>
      <c r="CY559" t="s">
        <v>125</v>
      </c>
      <c r="CZ559" t="s">
        <v>125</v>
      </c>
      <c r="DA559">
        <v>15.314097</v>
      </c>
      <c r="DB559">
        <v>17.400950000000002</v>
      </c>
      <c r="DC559">
        <v>16.332519999999999</v>
      </c>
      <c r="DD559" t="s">
        <v>125</v>
      </c>
      <c r="DE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Q559" t="s">
        <v>126</v>
      </c>
    </row>
    <row r="560" spans="1:121" x14ac:dyDescent="0.15">
      <c r="A560">
        <v>2018</v>
      </c>
      <c r="B560" t="s">
        <v>255</v>
      </c>
      <c r="C560" t="str">
        <f>"0740011"</f>
        <v>0740011</v>
      </c>
      <c r="D560" t="s">
        <v>516</v>
      </c>
      <c r="E560" t="str">
        <f>"0740211"</f>
        <v>0740211</v>
      </c>
      <c r="F560" t="s">
        <v>328</v>
      </c>
      <c r="G560" t="s">
        <v>329</v>
      </c>
      <c r="H560">
        <v>3</v>
      </c>
      <c r="I560" t="s">
        <v>330</v>
      </c>
      <c r="J560" t="s">
        <v>331</v>
      </c>
      <c r="K560">
        <v>288.09753000000001</v>
      </c>
      <c r="L560">
        <v>300</v>
      </c>
      <c r="M560">
        <v>96.032510000000002</v>
      </c>
      <c r="N560">
        <v>1</v>
      </c>
      <c r="O560">
        <v>0</v>
      </c>
      <c r="P560">
        <v>77.293098999999998</v>
      </c>
      <c r="Q560">
        <v>100</v>
      </c>
      <c r="R560">
        <v>100</v>
      </c>
      <c r="S560" t="s">
        <v>125</v>
      </c>
      <c r="T560">
        <v>75</v>
      </c>
      <c r="U560" t="s">
        <v>125</v>
      </c>
      <c r="V560" t="s">
        <v>125</v>
      </c>
      <c r="W560">
        <v>73.763020999999995</v>
      </c>
      <c r="X560">
        <v>98.350694000000004</v>
      </c>
      <c r="Y560">
        <v>100</v>
      </c>
      <c r="Z560">
        <v>75</v>
      </c>
      <c r="AA560" t="s">
        <v>125</v>
      </c>
      <c r="AB560" t="s">
        <v>125</v>
      </c>
      <c r="AC560" t="s">
        <v>125</v>
      </c>
      <c r="AD560" t="s">
        <v>125</v>
      </c>
      <c r="AE560" t="s">
        <v>125</v>
      </c>
      <c r="AF560" t="s">
        <v>125</v>
      </c>
      <c r="AG560" t="s">
        <v>125</v>
      </c>
      <c r="AH560" t="s">
        <v>125</v>
      </c>
      <c r="AI560" t="s">
        <v>125</v>
      </c>
      <c r="AJ560" t="s">
        <v>125</v>
      </c>
      <c r="AK560" t="s">
        <v>125</v>
      </c>
      <c r="AL560" t="s">
        <v>125</v>
      </c>
      <c r="AM560" t="s">
        <v>125</v>
      </c>
      <c r="AN560" t="s">
        <v>125</v>
      </c>
      <c r="AO560" t="s">
        <v>125</v>
      </c>
      <c r="AP560" t="s">
        <v>125</v>
      </c>
      <c r="AQ560" t="s">
        <v>125</v>
      </c>
      <c r="AR560" t="s">
        <v>125</v>
      </c>
      <c r="AS560" t="s">
        <v>125</v>
      </c>
      <c r="AT560" t="s">
        <v>125</v>
      </c>
      <c r="AU560" t="s">
        <v>125</v>
      </c>
      <c r="AV560" t="s">
        <v>125</v>
      </c>
      <c r="AW560" t="s">
        <v>125</v>
      </c>
      <c r="AX560" t="s">
        <v>125</v>
      </c>
      <c r="AY560" t="s">
        <v>125</v>
      </c>
      <c r="AZ560" t="s">
        <v>125</v>
      </c>
      <c r="BA560" t="s">
        <v>125</v>
      </c>
      <c r="BB560" t="s">
        <v>125</v>
      </c>
      <c r="BC560" t="s">
        <v>125</v>
      </c>
      <c r="BD560" t="s">
        <v>125</v>
      </c>
      <c r="BE560" t="s">
        <v>125</v>
      </c>
      <c r="BF560" t="s">
        <v>125</v>
      </c>
      <c r="BG560" t="s">
        <v>125</v>
      </c>
      <c r="BH560">
        <v>0</v>
      </c>
      <c r="BI560">
        <v>1</v>
      </c>
      <c r="BJ560" t="s">
        <v>125</v>
      </c>
      <c r="BK560">
        <v>1</v>
      </c>
      <c r="BL560">
        <v>1</v>
      </c>
      <c r="BM560" t="s">
        <v>125</v>
      </c>
      <c r="BN560">
        <v>1</v>
      </c>
      <c r="BO560" t="s">
        <v>125</v>
      </c>
      <c r="BP560" t="s">
        <v>125</v>
      </c>
      <c r="BQ560" t="s">
        <v>125</v>
      </c>
      <c r="BR560">
        <v>3.6436999999999997E-2</v>
      </c>
      <c r="BS560">
        <v>50</v>
      </c>
      <c r="BT560">
        <v>50</v>
      </c>
      <c r="BU560">
        <v>0.10126599999999999</v>
      </c>
      <c r="BV560">
        <v>39.746834999999997</v>
      </c>
      <c r="BW560">
        <v>50</v>
      </c>
      <c r="BX560" t="s">
        <v>125</v>
      </c>
      <c r="BY560" t="s">
        <v>125</v>
      </c>
      <c r="BZ560" t="s">
        <v>125</v>
      </c>
      <c r="CA560" t="s">
        <v>125</v>
      </c>
      <c r="CB560" t="s">
        <v>125</v>
      </c>
      <c r="CC560" t="s">
        <v>125</v>
      </c>
      <c r="CD560" t="s">
        <v>125</v>
      </c>
      <c r="CE560" t="s">
        <v>125</v>
      </c>
      <c r="CF560" t="s">
        <v>125</v>
      </c>
      <c r="CG560" t="s">
        <v>125</v>
      </c>
      <c r="CH560" t="s">
        <v>125</v>
      </c>
      <c r="CI560" t="s">
        <v>125</v>
      </c>
      <c r="CJ560" t="s">
        <v>125</v>
      </c>
      <c r="CK560" t="s">
        <v>125</v>
      </c>
      <c r="CL560" t="s">
        <v>125</v>
      </c>
      <c r="CM560" t="s">
        <v>125</v>
      </c>
      <c r="CN560" t="s">
        <v>125</v>
      </c>
      <c r="CO560" t="s">
        <v>125</v>
      </c>
      <c r="CP560" t="s">
        <v>125</v>
      </c>
      <c r="CQ560" t="s">
        <v>125</v>
      </c>
      <c r="CR560" t="s">
        <v>125</v>
      </c>
      <c r="CS560" t="s">
        <v>125</v>
      </c>
      <c r="CT560" t="s">
        <v>125</v>
      </c>
      <c r="CU560" t="s">
        <v>125</v>
      </c>
      <c r="CV560" t="s">
        <v>125</v>
      </c>
      <c r="CW560" t="s">
        <v>125</v>
      </c>
      <c r="CX560" t="s">
        <v>125</v>
      </c>
      <c r="CY560" t="s">
        <v>125</v>
      </c>
      <c r="CZ560" t="s">
        <v>125</v>
      </c>
      <c r="DA560">
        <v>15.314097</v>
      </c>
      <c r="DB560">
        <v>17.400950000000002</v>
      </c>
      <c r="DC560">
        <v>16.332519999999999</v>
      </c>
      <c r="DD560" t="s">
        <v>125</v>
      </c>
      <c r="DE560">
        <v>0</v>
      </c>
      <c r="DH560" t="s">
        <v>332</v>
      </c>
      <c r="DI560" t="s">
        <v>333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Q560" t="s">
        <v>126</v>
      </c>
    </row>
    <row r="561" spans="1:121" x14ac:dyDescent="0.15">
      <c r="A561">
        <v>2018</v>
      </c>
      <c r="B561" t="s">
        <v>255</v>
      </c>
      <c r="C561" t="str">
        <f>"0740011"</f>
        <v>0740011</v>
      </c>
      <c r="D561" t="s">
        <v>717</v>
      </c>
      <c r="E561" t="str">
        <f>"0746111"</f>
        <v>0746111</v>
      </c>
      <c r="F561" t="s">
        <v>328</v>
      </c>
      <c r="G561">
        <v>9</v>
      </c>
      <c r="H561">
        <v>12</v>
      </c>
      <c r="J561" t="s">
        <v>331</v>
      </c>
      <c r="K561">
        <v>1089.9665689999999</v>
      </c>
      <c r="L561">
        <v>1350</v>
      </c>
      <c r="M561">
        <v>80.738264000000001</v>
      </c>
      <c r="N561">
        <v>3</v>
      </c>
      <c r="O561">
        <v>1</v>
      </c>
      <c r="P561">
        <v>65.196347000000003</v>
      </c>
      <c r="Q561">
        <v>130.39269400000001</v>
      </c>
      <c r="R561">
        <v>150</v>
      </c>
      <c r="S561">
        <v>52.688406000000001</v>
      </c>
      <c r="T561">
        <v>70.95</v>
      </c>
      <c r="U561">
        <v>105.376812</v>
      </c>
      <c r="V561">
        <v>150</v>
      </c>
      <c r="W561">
        <v>59.671233000000001</v>
      </c>
      <c r="X561">
        <v>119.342466</v>
      </c>
      <c r="Y561">
        <v>150</v>
      </c>
      <c r="Z561">
        <v>65.010000000000005</v>
      </c>
      <c r="AA561">
        <v>48.065216999999997</v>
      </c>
      <c r="AB561">
        <v>96.130435000000006</v>
      </c>
      <c r="AC561">
        <v>150</v>
      </c>
      <c r="AD561">
        <v>68.455038000000002</v>
      </c>
      <c r="AE561">
        <v>91.273383999999993</v>
      </c>
      <c r="AF561">
        <v>100</v>
      </c>
      <c r="AG561">
        <v>60.217948999999997</v>
      </c>
      <c r="AH561">
        <v>72.661210999999994</v>
      </c>
      <c r="AI561">
        <v>80.290598000000003</v>
      </c>
      <c r="AJ561">
        <v>100</v>
      </c>
      <c r="AK561">
        <v>18.260000000000002</v>
      </c>
      <c r="AL561">
        <v>16.940000000000001</v>
      </c>
      <c r="AM561">
        <v>12.44</v>
      </c>
      <c r="AN561" t="s">
        <v>125</v>
      </c>
      <c r="AO561" t="s">
        <v>125</v>
      </c>
      <c r="AP561" t="s">
        <v>125</v>
      </c>
      <c r="AQ561" t="s">
        <v>125</v>
      </c>
      <c r="AR561" t="s">
        <v>125</v>
      </c>
      <c r="AS561" t="s">
        <v>125</v>
      </c>
      <c r="AT561" t="s">
        <v>125</v>
      </c>
      <c r="AU561" t="s">
        <v>125</v>
      </c>
      <c r="AV561" t="s">
        <v>125</v>
      </c>
      <c r="AW561" t="s">
        <v>125</v>
      </c>
      <c r="AX561" t="s">
        <v>125</v>
      </c>
      <c r="AY561" t="s">
        <v>125</v>
      </c>
      <c r="AZ561" t="s">
        <v>125</v>
      </c>
      <c r="BA561" t="s">
        <v>125</v>
      </c>
      <c r="BB561" t="s">
        <v>125</v>
      </c>
      <c r="BC561" t="s">
        <v>125</v>
      </c>
      <c r="BD561" t="s">
        <v>125</v>
      </c>
      <c r="BE561" t="s">
        <v>125</v>
      </c>
      <c r="BF561" t="s">
        <v>125</v>
      </c>
      <c r="BG561" t="s">
        <v>125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0.94936699999999996</v>
      </c>
      <c r="BP561">
        <v>0.961538</v>
      </c>
      <c r="BQ561">
        <v>0.94339600000000001</v>
      </c>
      <c r="BR561">
        <v>6.7857000000000001E-2</v>
      </c>
      <c r="BS561">
        <v>46.428570999999998</v>
      </c>
      <c r="BT561">
        <v>50</v>
      </c>
      <c r="BU561">
        <v>0.12790699999999999</v>
      </c>
      <c r="BV561">
        <v>34.418604999999999</v>
      </c>
      <c r="BW561">
        <v>50</v>
      </c>
      <c r="BX561">
        <v>0.94736799999999999</v>
      </c>
      <c r="BY561">
        <v>50</v>
      </c>
      <c r="BZ561">
        <v>50</v>
      </c>
      <c r="CA561">
        <v>0.55263200000000001</v>
      </c>
      <c r="CB561">
        <v>36.842104999999997</v>
      </c>
      <c r="CC561">
        <v>50</v>
      </c>
      <c r="CD561">
        <v>1</v>
      </c>
      <c r="CE561">
        <v>50</v>
      </c>
      <c r="CF561">
        <v>50</v>
      </c>
      <c r="CG561">
        <v>0.984375</v>
      </c>
      <c r="CH561">
        <v>100</v>
      </c>
      <c r="CI561">
        <v>100</v>
      </c>
      <c r="CJ561">
        <v>0</v>
      </c>
      <c r="CK561" t="s">
        <v>125</v>
      </c>
      <c r="CL561" t="s">
        <v>125</v>
      </c>
      <c r="CM561" t="s">
        <v>125</v>
      </c>
      <c r="CN561">
        <v>0.74603200000000003</v>
      </c>
      <c r="CO561">
        <v>99.470899000000003</v>
      </c>
      <c r="CP561">
        <v>100</v>
      </c>
      <c r="CQ561">
        <v>0.9</v>
      </c>
      <c r="CR561">
        <v>0.30769200000000002</v>
      </c>
      <c r="CS561">
        <v>0</v>
      </c>
      <c r="CT561">
        <v>50</v>
      </c>
      <c r="CU561">
        <v>0.72499999999999998</v>
      </c>
      <c r="CV561">
        <v>50</v>
      </c>
      <c r="CW561">
        <v>50</v>
      </c>
      <c r="CX561" t="s">
        <v>125</v>
      </c>
      <c r="CY561" t="s">
        <v>125</v>
      </c>
      <c r="CZ561" t="s">
        <v>125</v>
      </c>
      <c r="DA561">
        <v>15.314097</v>
      </c>
      <c r="DB561">
        <v>17.400950000000002</v>
      </c>
      <c r="DC561">
        <v>16.332519999999999</v>
      </c>
      <c r="DD561">
        <v>7.9891730000000001</v>
      </c>
      <c r="DE561">
        <v>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Q561" t="s">
        <v>126</v>
      </c>
    </row>
    <row r="562" spans="1:121" x14ac:dyDescent="0.15">
      <c r="A562">
        <v>2018</v>
      </c>
      <c r="B562" t="s">
        <v>255</v>
      </c>
      <c r="C562" t="str">
        <f>"0740011"</f>
        <v>0740011</v>
      </c>
      <c r="D562" t="s">
        <v>718</v>
      </c>
      <c r="E562" t="str">
        <f>"0740311"</f>
        <v>0740311</v>
      </c>
      <c r="F562" t="s">
        <v>328</v>
      </c>
      <c r="G562">
        <v>4</v>
      </c>
      <c r="H562">
        <v>6</v>
      </c>
      <c r="I562" t="s">
        <v>330</v>
      </c>
      <c r="J562" t="s">
        <v>331</v>
      </c>
      <c r="K562">
        <v>695.61914400000001</v>
      </c>
      <c r="L562">
        <v>850</v>
      </c>
      <c r="M562">
        <v>81.837546000000003</v>
      </c>
      <c r="N562">
        <v>2</v>
      </c>
      <c r="O562">
        <v>0</v>
      </c>
      <c r="P562">
        <v>78.559732999999994</v>
      </c>
      <c r="Q562">
        <v>50</v>
      </c>
      <c r="R562">
        <v>50</v>
      </c>
      <c r="S562">
        <v>70.574512999999996</v>
      </c>
      <c r="T562">
        <v>75</v>
      </c>
      <c r="U562">
        <v>47.049675000000001</v>
      </c>
      <c r="V562">
        <v>50</v>
      </c>
      <c r="W562">
        <v>78.264748999999995</v>
      </c>
      <c r="X562">
        <v>50</v>
      </c>
      <c r="Y562">
        <v>50</v>
      </c>
      <c r="Z562">
        <v>75</v>
      </c>
      <c r="AA562">
        <v>69.806190000000001</v>
      </c>
      <c r="AB562">
        <v>46.537460000000003</v>
      </c>
      <c r="AC562">
        <v>50</v>
      </c>
      <c r="AD562">
        <v>77.153353999999993</v>
      </c>
      <c r="AE562">
        <v>50</v>
      </c>
      <c r="AF562">
        <v>50</v>
      </c>
      <c r="AG562">
        <v>68.461405999999997</v>
      </c>
      <c r="AH562">
        <v>75</v>
      </c>
      <c r="AI562">
        <v>45.640937000000001</v>
      </c>
      <c r="AJ562">
        <v>50</v>
      </c>
      <c r="AK562">
        <v>4.42</v>
      </c>
      <c r="AL562">
        <v>5.19</v>
      </c>
      <c r="AM562">
        <v>6.53</v>
      </c>
      <c r="AN562">
        <v>0.65974100000000002</v>
      </c>
      <c r="AO562">
        <v>65.974103999999997</v>
      </c>
      <c r="AP562">
        <v>100</v>
      </c>
      <c r="AQ562">
        <v>0.77661000000000002</v>
      </c>
      <c r="AR562">
        <v>77.661033000000003</v>
      </c>
      <c r="AS562">
        <v>100</v>
      </c>
      <c r="AT562">
        <v>0.59193300000000004</v>
      </c>
      <c r="AU562">
        <v>0.70165900000000003</v>
      </c>
      <c r="AV562">
        <v>59.193278999999997</v>
      </c>
      <c r="AW562">
        <v>100</v>
      </c>
      <c r="AX562">
        <v>0.69571300000000003</v>
      </c>
      <c r="AY562">
        <v>0.82661899999999999</v>
      </c>
      <c r="AZ562">
        <v>69.571337999999997</v>
      </c>
      <c r="BA562">
        <v>100</v>
      </c>
      <c r="BB562" t="s">
        <v>125</v>
      </c>
      <c r="BC562" t="s">
        <v>125</v>
      </c>
      <c r="BD562" t="s">
        <v>125</v>
      </c>
      <c r="BE562" t="s">
        <v>125</v>
      </c>
      <c r="BF562" t="s">
        <v>125</v>
      </c>
      <c r="BG562" t="s">
        <v>125</v>
      </c>
      <c r="BH562">
        <v>0</v>
      </c>
      <c r="BI562">
        <v>0.96858599999999995</v>
      </c>
      <c r="BJ562">
        <v>0.97297299999999998</v>
      </c>
      <c r="BK562">
        <v>0.965812</v>
      </c>
      <c r="BL562">
        <v>0.96858599999999995</v>
      </c>
      <c r="BM562">
        <v>0.97297299999999998</v>
      </c>
      <c r="BN562">
        <v>0.965812</v>
      </c>
      <c r="BO562">
        <v>0.984375</v>
      </c>
      <c r="BP562">
        <v>1</v>
      </c>
      <c r="BQ562">
        <v>0.97222200000000003</v>
      </c>
      <c r="BR562">
        <v>4.7120000000000002E-2</v>
      </c>
      <c r="BS562">
        <v>50</v>
      </c>
      <c r="BT562">
        <v>50</v>
      </c>
      <c r="BU562">
        <v>9.5890000000000003E-2</v>
      </c>
      <c r="BV562">
        <v>40.821917999999997</v>
      </c>
      <c r="BW562">
        <v>50</v>
      </c>
      <c r="BX562" t="s">
        <v>125</v>
      </c>
      <c r="BY562" t="s">
        <v>125</v>
      </c>
      <c r="BZ562" t="s">
        <v>125</v>
      </c>
      <c r="CA562" t="s">
        <v>125</v>
      </c>
      <c r="CB562" t="s">
        <v>125</v>
      </c>
      <c r="CC562" t="s">
        <v>125</v>
      </c>
      <c r="CD562" t="s">
        <v>125</v>
      </c>
      <c r="CE562" t="s">
        <v>125</v>
      </c>
      <c r="CF562" t="s">
        <v>125</v>
      </c>
      <c r="CG562" t="s">
        <v>125</v>
      </c>
      <c r="CH562" t="s">
        <v>125</v>
      </c>
      <c r="CI562" t="s">
        <v>125</v>
      </c>
      <c r="CJ562" t="s">
        <v>125</v>
      </c>
      <c r="CK562" t="s">
        <v>125</v>
      </c>
      <c r="CL562" t="s">
        <v>125</v>
      </c>
      <c r="CM562" t="s">
        <v>125</v>
      </c>
      <c r="CN562" t="s">
        <v>125</v>
      </c>
      <c r="CO562" t="s">
        <v>125</v>
      </c>
      <c r="CP562" t="s">
        <v>125</v>
      </c>
      <c r="CQ562">
        <v>0.64754100000000003</v>
      </c>
      <c r="CR562">
        <v>0.96062999999999998</v>
      </c>
      <c r="CS562">
        <v>43.169398999999999</v>
      </c>
      <c r="CT562">
        <v>50</v>
      </c>
      <c r="CU562" t="s">
        <v>125</v>
      </c>
      <c r="CV562" t="s">
        <v>125</v>
      </c>
      <c r="CW562" t="s">
        <v>125</v>
      </c>
      <c r="CX562" t="s">
        <v>125</v>
      </c>
      <c r="CY562" t="s">
        <v>125</v>
      </c>
      <c r="CZ562" t="s">
        <v>125</v>
      </c>
      <c r="DA562">
        <v>15.314097</v>
      </c>
      <c r="DB562">
        <v>17.400950000000002</v>
      </c>
      <c r="DC562">
        <v>16.332519999999999</v>
      </c>
      <c r="DD562" t="s">
        <v>125</v>
      </c>
      <c r="DE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Q562" t="s">
        <v>126</v>
      </c>
    </row>
    <row r="563" spans="1:121" x14ac:dyDescent="0.15">
      <c r="A563">
        <v>2018</v>
      </c>
      <c r="B563" t="s">
        <v>255</v>
      </c>
      <c r="C563" t="str">
        <f>"0740011"</f>
        <v>0740011</v>
      </c>
      <c r="D563" t="s">
        <v>719</v>
      </c>
      <c r="E563" t="str">
        <f>"0746011"</f>
        <v>0746011</v>
      </c>
      <c r="F563" t="s">
        <v>328</v>
      </c>
      <c r="G563">
        <v>7</v>
      </c>
      <c r="H563">
        <v>8</v>
      </c>
      <c r="J563" t="s">
        <v>331</v>
      </c>
      <c r="K563">
        <v>696.77307599999995</v>
      </c>
      <c r="L563">
        <v>900</v>
      </c>
      <c r="M563">
        <v>77.419230999999996</v>
      </c>
      <c r="N563">
        <v>3</v>
      </c>
      <c r="O563">
        <v>0</v>
      </c>
      <c r="P563">
        <v>76.907588000000004</v>
      </c>
      <c r="Q563">
        <v>50</v>
      </c>
      <c r="R563">
        <v>50</v>
      </c>
      <c r="S563">
        <v>65.438980999999998</v>
      </c>
      <c r="T563">
        <v>75</v>
      </c>
      <c r="U563">
        <v>43.625987000000002</v>
      </c>
      <c r="V563">
        <v>50</v>
      </c>
      <c r="W563">
        <v>74.866074999999995</v>
      </c>
      <c r="X563">
        <v>49.910716999999998</v>
      </c>
      <c r="Y563">
        <v>50</v>
      </c>
      <c r="Z563">
        <v>75</v>
      </c>
      <c r="AA563">
        <v>62.279806000000001</v>
      </c>
      <c r="AB563">
        <v>41.519871000000002</v>
      </c>
      <c r="AC563">
        <v>50</v>
      </c>
      <c r="AD563">
        <v>77.425286999999997</v>
      </c>
      <c r="AE563">
        <v>50</v>
      </c>
      <c r="AF563">
        <v>50</v>
      </c>
      <c r="AG563">
        <v>70.187585999999996</v>
      </c>
      <c r="AH563">
        <v>75</v>
      </c>
      <c r="AI563">
        <v>46.791724000000002</v>
      </c>
      <c r="AJ563">
        <v>50</v>
      </c>
      <c r="AK563">
        <v>9.56</v>
      </c>
      <c r="AL563">
        <v>12.72</v>
      </c>
      <c r="AM563">
        <v>4.8099999999999996</v>
      </c>
      <c r="AN563">
        <v>0.58304</v>
      </c>
      <c r="AO563">
        <v>58.303972000000002</v>
      </c>
      <c r="AP563">
        <v>100</v>
      </c>
      <c r="AQ563">
        <v>0.64676100000000003</v>
      </c>
      <c r="AR563">
        <v>64.676148999999995</v>
      </c>
      <c r="AS563">
        <v>100</v>
      </c>
      <c r="AT563">
        <v>0.55899100000000002</v>
      </c>
      <c r="AU563">
        <v>0.59424399999999999</v>
      </c>
      <c r="AV563">
        <v>55.899101999999999</v>
      </c>
      <c r="AW563">
        <v>100</v>
      </c>
      <c r="AX563">
        <v>0.54956199999999999</v>
      </c>
      <c r="AY563">
        <v>0.69204699999999997</v>
      </c>
      <c r="AZ563">
        <v>54.956226999999998</v>
      </c>
      <c r="BA563">
        <v>100</v>
      </c>
      <c r="BB563" t="s">
        <v>125</v>
      </c>
      <c r="BC563" t="s">
        <v>125</v>
      </c>
      <c r="BD563" t="s">
        <v>125</v>
      </c>
      <c r="BE563" t="s">
        <v>125</v>
      </c>
      <c r="BF563" t="s">
        <v>125</v>
      </c>
      <c r="BG563" t="s">
        <v>125</v>
      </c>
      <c r="BH563">
        <v>1</v>
      </c>
      <c r="BI563">
        <v>0.97101400000000004</v>
      </c>
      <c r="BJ563">
        <v>0.95454499999999998</v>
      </c>
      <c r="BK563">
        <v>0.97872300000000001</v>
      </c>
      <c r="BL563">
        <v>0.97101400000000004</v>
      </c>
      <c r="BM563">
        <v>0.95454499999999998</v>
      </c>
      <c r="BN563">
        <v>0.97872300000000001</v>
      </c>
      <c r="BO563">
        <v>0.95652199999999998</v>
      </c>
      <c r="BP563">
        <v>0.92592600000000003</v>
      </c>
      <c r="BQ563">
        <v>0.97619</v>
      </c>
      <c r="BR563">
        <v>5.0724999999999999E-2</v>
      </c>
      <c r="BS563">
        <v>49.855072</v>
      </c>
      <c r="BT563">
        <v>50</v>
      </c>
      <c r="BU563">
        <v>0.12766</v>
      </c>
      <c r="BV563">
        <v>34.468085000000002</v>
      </c>
      <c r="BW563">
        <v>50</v>
      </c>
      <c r="BX563" t="s">
        <v>125</v>
      </c>
      <c r="BY563" t="s">
        <v>125</v>
      </c>
      <c r="BZ563" t="s">
        <v>125</v>
      </c>
      <c r="CA563" t="s">
        <v>125</v>
      </c>
      <c r="CB563" t="s">
        <v>125</v>
      </c>
      <c r="CC563" t="s">
        <v>125</v>
      </c>
      <c r="CD563">
        <v>1</v>
      </c>
      <c r="CE563">
        <v>50</v>
      </c>
      <c r="CF563">
        <v>50</v>
      </c>
      <c r="CG563" t="s">
        <v>125</v>
      </c>
      <c r="CH563" t="s">
        <v>125</v>
      </c>
      <c r="CI563" t="s">
        <v>125</v>
      </c>
      <c r="CJ563" t="s">
        <v>125</v>
      </c>
      <c r="CK563" t="s">
        <v>125</v>
      </c>
      <c r="CL563" t="s">
        <v>125</v>
      </c>
      <c r="CM563" t="s">
        <v>125</v>
      </c>
      <c r="CN563" t="s">
        <v>125</v>
      </c>
      <c r="CO563" t="s">
        <v>125</v>
      </c>
      <c r="CP563" t="s">
        <v>125</v>
      </c>
      <c r="CQ563">
        <v>0.70149300000000003</v>
      </c>
      <c r="CR563">
        <v>0.97101400000000004</v>
      </c>
      <c r="CS563">
        <v>46.766168999999998</v>
      </c>
      <c r="CT563">
        <v>50</v>
      </c>
      <c r="CU563" t="s">
        <v>125</v>
      </c>
      <c r="CV563" t="s">
        <v>125</v>
      </c>
      <c r="CW563" t="s">
        <v>125</v>
      </c>
      <c r="CX563" t="s">
        <v>125</v>
      </c>
      <c r="CY563" t="s">
        <v>125</v>
      </c>
      <c r="CZ563" t="s">
        <v>125</v>
      </c>
      <c r="DA563">
        <v>15.314097</v>
      </c>
      <c r="DB563">
        <v>17.400950000000002</v>
      </c>
      <c r="DC563">
        <v>16.332519999999999</v>
      </c>
      <c r="DD563" t="s">
        <v>125</v>
      </c>
      <c r="DE563">
        <v>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Q563" t="s">
        <v>126</v>
      </c>
    </row>
    <row r="564" spans="1:121" x14ac:dyDescent="0.15">
      <c r="A564">
        <v>2018</v>
      </c>
      <c r="B564" t="s">
        <v>256</v>
      </c>
      <c r="C564" t="str">
        <f t="shared" ref="C564:C569" si="19">"0760011"</f>
        <v>0760011</v>
      </c>
      <c r="D564" t="s">
        <v>720</v>
      </c>
      <c r="E564" t="str">
        <f>"0766111"</f>
        <v>0766111</v>
      </c>
      <c r="F564" t="s">
        <v>328</v>
      </c>
      <c r="G564">
        <v>9</v>
      </c>
      <c r="H564">
        <v>12</v>
      </c>
      <c r="J564" t="s">
        <v>331</v>
      </c>
      <c r="K564">
        <v>1250.8029220000001</v>
      </c>
      <c r="L564">
        <v>1450</v>
      </c>
      <c r="M564">
        <v>86.262270000000001</v>
      </c>
      <c r="N564">
        <v>2</v>
      </c>
      <c r="O564">
        <v>1</v>
      </c>
      <c r="P564">
        <v>69.586484999999996</v>
      </c>
      <c r="Q564">
        <v>139.17297099999999</v>
      </c>
      <c r="R564">
        <v>150</v>
      </c>
      <c r="S564">
        <v>53.937831000000003</v>
      </c>
      <c r="T564">
        <v>72.325000000000003</v>
      </c>
      <c r="U564">
        <v>107.87566099999999</v>
      </c>
      <c r="V564">
        <v>150</v>
      </c>
      <c r="W564">
        <v>69.564814999999996</v>
      </c>
      <c r="X564">
        <v>139.12962999999999</v>
      </c>
      <c r="Y564">
        <v>150</v>
      </c>
      <c r="Z564">
        <v>72.752778000000006</v>
      </c>
      <c r="AA564">
        <v>51.347884000000001</v>
      </c>
      <c r="AB564">
        <v>102.695767</v>
      </c>
      <c r="AC564">
        <v>150</v>
      </c>
      <c r="AD564">
        <v>61.829956000000003</v>
      </c>
      <c r="AE564">
        <v>82.439941000000005</v>
      </c>
      <c r="AF564">
        <v>100</v>
      </c>
      <c r="AG564">
        <v>45.878422999999998</v>
      </c>
      <c r="AH564">
        <v>64.621474000000006</v>
      </c>
      <c r="AI564">
        <v>61.171230999999999</v>
      </c>
      <c r="AJ564">
        <v>100</v>
      </c>
      <c r="AK564">
        <v>18.38</v>
      </c>
      <c r="AL564">
        <v>21.4</v>
      </c>
      <c r="AM564">
        <v>18.739999999999998</v>
      </c>
      <c r="AN564" t="s">
        <v>125</v>
      </c>
      <c r="AO564" t="s">
        <v>125</v>
      </c>
      <c r="AP564" t="s">
        <v>125</v>
      </c>
      <c r="AQ564" t="s">
        <v>125</v>
      </c>
      <c r="AR564" t="s">
        <v>125</v>
      </c>
      <c r="AS564" t="s">
        <v>125</v>
      </c>
      <c r="AT564" t="s">
        <v>125</v>
      </c>
      <c r="AU564" t="s">
        <v>125</v>
      </c>
      <c r="AV564" t="s">
        <v>125</v>
      </c>
      <c r="AW564" t="s">
        <v>125</v>
      </c>
      <c r="AX564" t="s">
        <v>125</v>
      </c>
      <c r="AY564" t="s">
        <v>125</v>
      </c>
      <c r="AZ564" t="s">
        <v>125</v>
      </c>
      <c r="BA564" t="s">
        <v>125</v>
      </c>
      <c r="BB564" t="s">
        <v>125</v>
      </c>
      <c r="BC564" t="s">
        <v>125</v>
      </c>
      <c r="BD564" t="s">
        <v>125</v>
      </c>
      <c r="BE564" t="s">
        <v>125</v>
      </c>
      <c r="BF564" t="s">
        <v>125</v>
      </c>
      <c r="BG564" t="s">
        <v>125</v>
      </c>
      <c r="BH564">
        <v>1</v>
      </c>
      <c r="BI564">
        <v>0.98947399999999996</v>
      </c>
      <c r="BJ564">
        <v>0.93333299999999997</v>
      </c>
      <c r="BK564">
        <v>1</v>
      </c>
      <c r="BL564">
        <v>0.98947399999999996</v>
      </c>
      <c r="BM564">
        <v>0.93333299999999997</v>
      </c>
      <c r="BN564">
        <v>1</v>
      </c>
      <c r="BO564">
        <v>0.98947399999999996</v>
      </c>
      <c r="BP564">
        <v>0.93333299999999997</v>
      </c>
      <c r="BQ564">
        <v>1</v>
      </c>
      <c r="BR564">
        <v>1.3146E-2</v>
      </c>
      <c r="BS564">
        <v>50</v>
      </c>
      <c r="BT564">
        <v>50</v>
      </c>
      <c r="BU564">
        <v>6.4285999999999996E-2</v>
      </c>
      <c r="BV564">
        <v>47.142856999999999</v>
      </c>
      <c r="BW564">
        <v>50</v>
      </c>
      <c r="BX564">
        <v>0.87884300000000004</v>
      </c>
      <c r="BY564">
        <v>50</v>
      </c>
      <c r="BZ564">
        <v>50</v>
      </c>
      <c r="CA564">
        <v>0.75768500000000005</v>
      </c>
      <c r="CB564">
        <v>50</v>
      </c>
      <c r="CC564">
        <v>50</v>
      </c>
      <c r="CD564">
        <v>1</v>
      </c>
      <c r="CE564">
        <v>50</v>
      </c>
      <c r="CF564">
        <v>50</v>
      </c>
      <c r="CG564">
        <v>0.98269899999999999</v>
      </c>
      <c r="CH564">
        <v>100</v>
      </c>
      <c r="CI564">
        <v>100</v>
      </c>
      <c r="CJ564">
        <v>0</v>
      </c>
      <c r="CK564">
        <v>0.94339600000000001</v>
      </c>
      <c r="CL564">
        <v>100</v>
      </c>
      <c r="CM564">
        <v>100</v>
      </c>
      <c r="CN564">
        <v>0.88421099999999997</v>
      </c>
      <c r="CO564">
        <v>100</v>
      </c>
      <c r="CP564">
        <v>100</v>
      </c>
      <c r="CQ564">
        <v>0.63524599999999998</v>
      </c>
      <c r="CR564">
        <v>0.85017399999999999</v>
      </c>
      <c r="CS564">
        <v>21.174862999999998</v>
      </c>
      <c r="CT564">
        <v>50</v>
      </c>
      <c r="CU564">
        <v>0.67793400000000004</v>
      </c>
      <c r="CV564">
        <v>50</v>
      </c>
      <c r="CW564">
        <v>50</v>
      </c>
      <c r="CX564">
        <v>0.94339600000000001</v>
      </c>
      <c r="CY564">
        <v>0.94</v>
      </c>
      <c r="CZ564">
        <v>-3.3960000000000001E-3</v>
      </c>
      <c r="DA564">
        <v>15.314097</v>
      </c>
      <c r="DB564">
        <v>17.400950000000002</v>
      </c>
      <c r="DC564">
        <v>16.332519999999999</v>
      </c>
      <c r="DD564">
        <v>7.9891730000000001</v>
      </c>
      <c r="DE564">
        <v>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Q564" t="s">
        <v>126</v>
      </c>
    </row>
    <row r="565" spans="1:121" x14ac:dyDescent="0.15">
      <c r="A565">
        <v>2018</v>
      </c>
      <c r="B565" t="s">
        <v>256</v>
      </c>
      <c r="C565" t="str">
        <f t="shared" si="19"/>
        <v>0760011</v>
      </c>
      <c r="D565" t="s">
        <v>721</v>
      </c>
      <c r="E565" t="str">
        <f>"0760611"</f>
        <v>0760611</v>
      </c>
      <c r="F565" t="s">
        <v>328</v>
      </c>
      <c r="G565">
        <v>5</v>
      </c>
      <c r="H565">
        <v>6</v>
      </c>
      <c r="I565" t="s">
        <v>330</v>
      </c>
      <c r="J565" t="s">
        <v>331</v>
      </c>
      <c r="K565">
        <v>615.76839399999994</v>
      </c>
      <c r="L565">
        <v>850</v>
      </c>
      <c r="M565">
        <v>72.443340000000006</v>
      </c>
      <c r="N565">
        <v>4</v>
      </c>
      <c r="O565">
        <v>1</v>
      </c>
      <c r="P565">
        <v>76.608187000000001</v>
      </c>
      <c r="Q565">
        <v>50</v>
      </c>
      <c r="R565">
        <v>50</v>
      </c>
      <c r="S565">
        <v>58.850886000000003</v>
      </c>
      <c r="T565">
        <v>75</v>
      </c>
      <c r="U565">
        <v>39.233924000000002</v>
      </c>
      <c r="V565">
        <v>50</v>
      </c>
      <c r="W565">
        <v>73.596603000000002</v>
      </c>
      <c r="X565">
        <v>49.064402000000001</v>
      </c>
      <c r="Y565">
        <v>50</v>
      </c>
      <c r="Z565">
        <v>75</v>
      </c>
      <c r="AA565">
        <v>58.013810999999997</v>
      </c>
      <c r="AB565">
        <v>38.675874</v>
      </c>
      <c r="AC565">
        <v>50</v>
      </c>
      <c r="AD565">
        <v>76.013364999999993</v>
      </c>
      <c r="AE565">
        <v>50</v>
      </c>
      <c r="AF565">
        <v>50</v>
      </c>
      <c r="AG565">
        <v>60.187618999999998</v>
      </c>
      <c r="AH565">
        <v>75</v>
      </c>
      <c r="AI565">
        <v>40.125078999999999</v>
      </c>
      <c r="AJ565">
        <v>50</v>
      </c>
      <c r="AK565">
        <v>16.14</v>
      </c>
      <c r="AL565">
        <v>16.98</v>
      </c>
      <c r="AM565">
        <v>14.81</v>
      </c>
      <c r="AN565">
        <v>0.57512799999999997</v>
      </c>
      <c r="AO565">
        <v>57.512805999999998</v>
      </c>
      <c r="AP565">
        <v>100</v>
      </c>
      <c r="AQ565">
        <v>0.54466599999999998</v>
      </c>
      <c r="AR565">
        <v>54.466647000000002</v>
      </c>
      <c r="AS565">
        <v>100</v>
      </c>
      <c r="AT565">
        <v>0.48410300000000001</v>
      </c>
      <c r="AU565">
        <v>0.59293700000000005</v>
      </c>
      <c r="AV565">
        <v>48.410336999999998</v>
      </c>
      <c r="AW565">
        <v>100</v>
      </c>
      <c r="AX565">
        <v>0.48587599999999997</v>
      </c>
      <c r="AY565">
        <v>0.556253</v>
      </c>
      <c r="AZ565">
        <v>48.587609999999998</v>
      </c>
      <c r="BA565">
        <v>100</v>
      </c>
      <c r="BB565" t="s">
        <v>125</v>
      </c>
      <c r="BC565" t="s">
        <v>125</v>
      </c>
      <c r="BD565" t="s">
        <v>125</v>
      </c>
      <c r="BE565" t="s">
        <v>125</v>
      </c>
      <c r="BF565" t="s">
        <v>125</v>
      </c>
      <c r="BG565" t="s">
        <v>125</v>
      </c>
      <c r="BH565">
        <v>1</v>
      </c>
      <c r="BI565">
        <v>0.93085099999999998</v>
      </c>
      <c r="BJ565">
        <v>0.84506999999999999</v>
      </c>
      <c r="BK565">
        <v>0.95082</v>
      </c>
      <c r="BL565">
        <v>0.92553200000000002</v>
      </c>
      <c r="BM565">
        <v>0.84506999999999999</v>
      </c>
      <c r="BN565">
        <v>0.94426200000000005</v>
      </c>
      <c r="BO565">
        <v>0.93782399999999999</v>
      </c>
      <c r="BP565">
        <v>0.92307700000000004</v>
      </c>
      <c r="BQ565">
        <v>0.94155800000000001</v>
      </c>
      <c r="BR565">
        <v>2.3935999999999999E-2</v>
      </c>
      <c r="BS565">
        <v>50</v>
      </c>
      <c r="BT565">
        <v>50</v>
      </c>
      <c r="BU565">
        <v>4.4776000000000003E-2</v>
      </c>
      <c r="BV565">
        <v>50</v>
      </c>
      <c r="BW565">
        <v>50</v>
      </c>
      <c r="BX565" t="s">
        <v>125</v>
      </c>
      <c r="BY565" t="s">
        <v>125</v>
      </c>
      <c r="BZ565" t="s">
        <v>125</v>
      </c>
      <c r="CA565" t="s">
        <v>125</v>
      </c>
      <c r="CB565" t="s">
        <v>125</v>
      </c>
      <c r="CC565" t="s">
        <v>125</v>
      </c>
      <c r="CD565" t="s">
        <v>125</v>
      </c>
      <c r="CE565" t="s">
        <v>125</v>
      </c>
      <c r="CF565" t="s">
        <v>125</v>
      </c>
      <c r="CG565" t="s">
        <v>125</v>
      </c>
      <c r="CH565" t="s">
        <v>125</v>
      </c>
      <c r="CI565" t="s">
        <v>125</v>
      </c>
      <c r="CJ565" t="s">
        <v>125</v>
      </c>
      <c r="CK565" t="s">
        <v>125</v>
      </c>
      <c r="CL565" t="s">
        <v>125</v>
      </c>
      <c r="CM565" t="s">
        <v>125</v>
      </c>
      <c r="CN565" t="s">
        <v>125</v>
      </c>
      <c r="CO565" t="s">
        <v>125</v>
      </c>
      <c r="CP565" t="s">
        <v>125</v>
      </c>
      <c r="CQ565">
        <v>0.59537600000000002</v>
      </c>
      <c r="CR565">
        <v>0.94535499999999995</v>
      </c>
      <c r="CS565">
        <v>39.691715000000002</v>
      </c>
      <c r="CT565">
        <v>50</v>
      </c>
      <c r="CU565" t="s">
        <v>125</v>
      </c>
      <c r="CV565" t="s">
        <v>125</v>
      </c>
      <c r="CW565" t="s">
        <v>125</v>
      </c>
      <c r="CX565" t="s">
        <v>125</v>
      </c>
      <c r="CY565" t="s">
        <v>125</v>
      </c>
      <c r="CZ565" t="s">
        <v>125</v>
      </c>
      <c r="DA565">
        <v>15.314097</v>
      </c>
      <c r="DB565">
        <v>17.400950000000002</v>
      </c>
      <c r="DC565">
        <v>16.332519999999999</v>
      </c>
      <c r="DD565" t="s">
        <v>125</v>
      </c>
      <c r="DE565">
        <v>1</v>
      </c>
      <c r="DF565" t="s">
        <v>385</v>
      </c>
      <c r="DG565" t="s">
        <v>418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Q565" t="s">
        <v>126</v>
      </c>
    </row>
    <row r="566" spans="1:121" x14ac:dyDescent="0.15">
      <c r="A566">
        <v>2018</v>
      </c>
      <c r="B566" t="s">
        <v>256</v>
      </c>
      <c r="C566" t="str">
        <f t="shared" si="19"/>
        <v>0760011</v>
      </c>
      <c r="D566" t="s">
        <v>722</v>
      </c>
      <c r="E566" t="str">
        <f>"0760211"</f>
        <v>0760211</v>
      </c>
      <c r="F566" t="s">
        <v>328</v>
      </c>
      <c r="G566" t="s">
        <v>339</v>
      </c>
      <c r="H566">
        <v>4</v>
      </c>
      <c r="I566" t="s">
        <v>330</v>
      </c>
      <c r="J566" t="s">
        <v>331</v>
      </c>
      <c r="K566">
        <v>478.897153</v>
      </c>
      <c r="L566">
        <v>550</v>
      </c>
      <c r="M566">
        <v>87.072209999999998</v>
      </c>
      <c r="N566">
        <v>2</v>
      </c>
      <c r="O566">
        <v>1</v>
      </c>
      <c r="P566">
        <v>79.734005999999994</v>
      </c>
      <c r="Q566">
        <v>50</v>
      </c>
      <c r="R566">
        <v>50</v>
      </c>
      <c r="S566">
        <v>68.365076000000002</v>
      </c>
      <c r="T566">
        <v>75</v>
      </c>
      <c r="U566">
        <v>45.576718</v>
      </c>
      <c r="V566">
        <v>50</v>
      </c>
      <c r="W566">
        <v>75.375532000000007</v>
      </c>
      <c r="X566">
        <v>50</v>
      </c>
      <c r="Y566">
        <v>50</v>
      </c>
      <c r="Z566">
        <v>75</v>
      </c>
      <c r="AA566">
        <v>56.334947</v>
      </c>
      <c r="AB566">
        <v>37.556631000000003</v>
      </c>
      <c r="AC566">
        <v>50</v>
      </c>
      <c r="AD566" t="s">
        <v>125</v>
      </c>
      <c r="AE566" t="s">
        <v>125</v>
      </c>
      <c r="AF566" t="s">
        <v>125</v>
      </c>
      <c r="AG566" t="s">
        <v>125</v>
      </c>
      <c r="AH566" t="s">
        <v>125</v>
      </c>
      <c r="AI566" t="s">
        <v>125</v>
      </c>
      <c r="AJ566" t="s">
        <v>125</v>
      </c>
      <c r="AK566">
        <v>6.63</v>
      </c>
      <c r="AL566">
        <v>18.66</v>
      </c>
      <c r="AM566" t="s">
        <v>125</v>
      </c>
      <c r="AN566">
        <v>0.84387800000000002</v>
      </c>
      <c r="AO566">
        <v>84.387776000000002</v>
      </c>
      <c r="AP566">
        <v>100</v>
      </c>
      <c r="AQ566">
        <v>0.85921499999999995</v>
      </c>
      <c r="AR566">
        <v>85.921482999999995</v>
      </c>
      <c r="AS566">
        <v>100</v>
      </c>
      <c r="AT566" t="s">
        <v>125</v>
      </c>
      <c r="AU566">
        <v>0.84187000000000001</v>
      </c>
      <c r="AV566" t="s">
        <v>125</v>
      </c>
      <c r="AW566" t="s">
        <v>125</v>
      </c>
      <c r="AX566" t="s">
        <v>125</v>
      </c>
      <c r="AY566">
        <v>0.86374799999999996</v>
      </c>
      <c r="AZ566" t="s">
        <v>125</v>
      </c>
      <c r="BA566" t="s">
        <v>125</v>
      </c>
      <c r="BB566" t="s">
        <v>125</v>
      </c>
      <c r="BC566" t="s">
        <v>125</v>
      </c>
      <c r="BD566" t="s">
        <v>125</v>
      </c>
      <c r="BE566" t="s">
        <v>125</v>
      </c>
      <c r="BF566" t="s">
        <v>125</v>
      </c>
      <c r="BG566" t="s">
        <v>125</v>
      </c>
      <c r="BH566">
        <v>1</v>
      </c>
      <c r="BI566">
        <v>0.953704</v>
      </c>
      <c r="BJ566">
        <v>0.84</v>
      </c>
      <c r="BK566">
        <v>0.98795200000000005</v>
      </c>
      <c r="BL566">
        <v>0.953704</v>
      </c>
      <c r="BM566">
        <v>0.84</v>
      </c>
      <c r="BN566">
        <v>0.98795200000000005</v>
      </c>
      <c r="BO566" t="s">
        <v>125</v>
      </c>
      <c r="BP566" t="s">
        <v>125</v>
      </c>
      <c r="BQ566" t="s">
        <v>125</v>
      </c>
      <c r="BR566">
        <v>2.3529000000000001E-2</v>
      </c>
      <c r="BS566">
        <v>50</v>
      </c>
      <c r="BT566">
        <v>50</v>
      </c>
      <c r="BU566">
        <v>0.02</v>
      </c>
      <c r="BV566">
        <v>50</v>
      </c>
      <c r="BW566">
        <v>50</v>
      </c>
      <c r="BX566" t="s">
        <v>125</v>
      </c>
      <c r="BY566" t="s">
        <v>125</v>
      </c>
      <c r="BZ566" t="s">
        <v>125</v>
      </c>
      <c r="CA566" t="s">
        <v>125</v>
      </c>
      <c r="CB566" t="s">
        <v>125</v>
      </c>
      <c r="CC566" t="s">
        <v>125</v>
      </c>
      <c r="CD566" t="s">
        <v>125</v>
      </c>
      <c r="CE566" t="s">
        <v>125</v>
      </c>
      <c r="CF566" t="s">
        <v>125</v>
      </c>
      <c r="CG566" t="s">
        <v>125</v>
      </c>
      <c r="CH566" t="s">
        <v>125</v>
      </c>
      <c r="CI566" t="s">
        <v>125</v>
      </c>
      <c r="CJ566" t="s">
        <v>125</v>
      </c>
      <c r="CK566" t="s">
        <v>125</v>
      </c>
      <c r="CL566" t="s">
        <v>125</v>
      </c>
      <c r="CM566" t="s">
        <v>125</v>
      </c>
      <c r="CN566" t="s">
        <v>125</v>
      </c>
      <c r="CO566" t="s">
        <v>125</v>
      </c>
      <c r="CP566" t="s">
        <v>125</v>
      </c>
      <c r="CQ566">
        <v>0.38181799999999999</v>
      </c>
      <c r="CR566">
        <v>1.0784309999999999</v>
      </c>
      <c r="CS566">
        <v>25.454545</v>
      </c>
      <c r="CT566">
        <v>50</v>
      </c>
      <c r="CU566" t="s">
        <v>125</v>
      </c>
      <c r="CV566" t="s">
        <v>125</v>
      </c>
      <c r="CW566" t="s">
        <v>125</v>
      </c>
      <c r="CX566" t="s">
        <v>125</v>
      </c>
      <c r="CY566" t="s">
        <v>125</v>
      </c>
      <c r="CZ566" t="s">
        <v>125</v>
      </c>
      <c r="DA566">
        <v>15.314097</v>
      </c>
      <c r="DB566">
        <v>17.400950000000002</v>
      </c>
      <c r="DC566">
        <v>16.332519999999999</v>
      </c>
      <c r="DD566" t="s">
        <v>125</v>
      </c>
      <c r="DE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Q566" t="s">
        <v>126</v>
      </c>
    </row>
    <row r="567" spans="1:121" x14ac:dyDescent="0.15">
      <c r="A567">
        <v>2018</v>
      </c>
      <c r="B567" t="s">
        <v>256</v>
      </c>
      <c r="C567" t="str">
        <f t="shared" si="19"/>
        <v>0760011</v>
      </c>
      <c r="D567" t="s">
        <v>723</v>
      </c>
      <c r="E567" t="str">
        <f>"0760111"</f>
        <v>0760111</v>
      </c>
      <c r="F567" t="s">
        <v>328</v>
      </c>
      <c r="G567" t="s">
        <v>339</v>
      </c>
      <c r="H567">
        <v>4</v>
      </c>
      <c r="J567" t="s">
        <v>331</v>
      </c>
      <c r="K567">
        <v>625.27945699999998</v>
      </c>
      <c r="L567">
        <v>750</v>
      </c>
      <c r="M567">
        <v>83.370593999999997</v>
      </c>
      <c r="N567">
        <v>2</v>
      </c>
      <c r="O567">
        <v>0</v>
      </c>
      <c r="P567">
        <v>79.54692</v>
      </c>
      <c r="Q567">
        <v>50</v>
      </c>
      <c r="R567">
        <v>50</v>
      </c>
      <c r="S567">
        <v>68.169222000000005</v>
      </c>
      <c r="T567">
        <v>75</v>
      </c>
      <c r="U567">
        <v>45.446148000000001</v>
      </c>
      <c r="V567">
        <v>50</v>
      </c>
      <c r="W567">
        <v>76.745165999999998</v>
      </c>
      <c r="X567">
        <v>50</v>
      </c>
      <c r="Y567">
        <v>50</v>
      </c>
      <c r="Z567">
        <v>75</v>
      </c>
      <c r="AA567">
        <v>66.658856999999998</v>
      </c>
      <c r="AB567">
        <v>44.439238000000003</v>
      </c>
      <c r="AC567">
        <v>50</v>
      </c>
      <c r="AD567" t="s">
        <v>125</v>
      </c>
      <c r="AE567" t="s">
        <v>125</v>
      </c>
      <c r="AF567" t="s">
        <v>125</v>
      </c>
      <c r="AG567" t="s">
        <v>125</v>
      </c>
      <c r="AH567" t="s">
        <v>125</v>
      </c>
      <c r="AI567" t="s">
        <v>125</v>
      </c>
      <c r="AJ567" t="s">
        <v>125</v>
      </c>
      <c r="AK567">
        <v>6.83</v>
      </c>
      <c r="AL567">
        <v>8.34</v>
      </c>
      <c r="AM567" t="s">
        <v>125</v>
      </c>
      <c r="AN567">
        <v>0.74894899999999998</v>
      </c>
      <c r="AO567">
        <v>74.894869999999997</v>
      </c>
      <c r="AP567">
        <v>100</v>
      </c>
      <c r="AQ567">
        <v>0.83688200000000001</v>
      </c>
      <c r="AR567">
        <v>83.688248000000002</v>
      </c>
      <c r="AS567">
        <v>100</v>
      </c>
      <c r="AT567">
        <v>0.56948900000000002</v>
      </c>
      <c r="AU567">
        <v>0.82682699999999998</v>
      </c>
      <c r="AV567">
        <v>56.948909999999998</v>
      </c>
      <c r="AW567">
        <v>100</v>
      </c>
      <c r="AX567">
        <v>0.76240600000000003</v>
      </c>
      <c r="AY567">
        <v>0.86920200000000003</v>
      </c>
      <c r="AZ567">
        <v>76.240644000000003</v>
      </c>
      <c r="BA567">
        <v>100</v>
      </c>
      <c r="BB567" t="s">
        <v>125</v>
      </c>
      <c r="BC567" t="s">
        <v>125</v>
      </c>
      <c r="BD567" t="s">
        <v>125</v>
      </c>
      <c r="BE567" t="s">
        <v>125</v>
      </c>
      <c r="BF567" t="s">
        <v>125</v>
      </c>
      <c r="BG567" t="s">
        <v>125</v>
      </c>
      <c r="BH567">
        <v>0</v>
      </c>
      <c r="BI567">
        <v>0.99285699999999999</v>
      </c>
      <c r="BJ567">
        <v>1</v>
      </c>
      <c r="BK567">
        <v>0.98979600000000001</v>
      </c>
      <c r="BL567">
        <v>0.99285699999999999</v>
      </c>
      <c r="BM567">
        <v>1</v>
      </c>
      <c r="BN567">
        <v>0.98979600000000001</v>
      </c>
      <c r="BO567" t="s">
        <v>125</v>
      </c>
      <c r="BP567" t="s">
        <v>125</v>
      </c>
      <c r="BQ567" t="s">
        <v>125</v>
      </c>
      <c r="BR567">
        <v>2.3120999999999999E-2</v>
      </c>
      <c r="BS567">
        <v>50</v>
      </c>
      <c r="BT567">
        <v>50</v>
      </c>
      <c r="BU567">
        <v>4.5455000000000002E-2</v>
      </c>
      <c r="BV567">
        <v>50</v>
      </c>
      <c r="BW567">
        <v>50</v>
      </c>
      <c r="BX567" t="s">
        <v>125</v>
      </c>
      <c r="BY567" t="s">
        <v>125</v>
      </c>
      <c r="BZ567" t="s">
        <v>125</v>
      </c>
      <c r="CA567" t="s">
        <v>125</v>
      </c>
      <c r="CB567" t="s">
        <v>125</v>
      </c>
      <c r="CC567" t="s">
        <v>125</v>
      </c>
      <c r="CD567" t="s">
        <v>125</v>
      </c>
      <c r="CE567" t="s">
        <v>125</v>
      </c>
      <c r="CF567" t="s">
        <v>125</v>
      </c>
      <c r="CG567" t="s">
        <v>125</v>
      </c>
      <c r="CH567" t="s">
        <v>125</v>
      </c>
      <c r="CI567" t="s">
        <v>125</v>
      </c>
      <c r="CJ567" t="s">
        <v>125</v>
      </c>
      <c r="CK567" t="s">
        <v>125</v>
      </c>
      <c r="CL567" t="s">
        <v>125</v>
      </c>
      <c r="CM567" t="s">
        <v>125</v>
      </c>
      <c r="CN567" t="s">
        <v>125</v>
      </c>
      <c r="CO567" t="s">
        <v>125</v>
      </c>
      <c r="CP567" t="s">
        <v>125</v>
      </c>
      <c r="CQ567">
        <v>0.65432100000000004</v>
      </c>
      <c r="CR567">
        <v>1</v>
      </c>
      <c r="CS567">
        <v>43.621398999999997</v>
      </c>
      <c r="CT567">
        <v>50</v>
      </c>
      <c r="CU567" t="s">
        <v>125</v>
      </c>
      <c r="CV567" t="s">
        <v>125</v>
      </c>
      <c r="CW567" t="s">
        <v>125</v>
      </c>
      <c r="CX567" t="s">
        <v>125</v>
      </c>
      <c r="CY567" t="s">
        <v>125</v>
      </c>
      <c r="CZ567" t="s">
        <v>125</v>
      </c>
      <c r="DA567">
        <v>15.314097</v>
      </c>
      <c r="DB567">
        <v>17.400950000000002</v>
      </c>
      <c r="DC567">
        <v>16.332519999999999</v>
      </c>
      <c r="DD567" t="s">
        <v>125</v>
      </c>
      <c r="DE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Q567" t="s">
        <v>126</v>
      </c>
    </row>
    <row r="568" spans="1:121" x14ac:dyDescent="0.15">
      <c r="A568">
        <v>2018</v>
      </c>
      <c r="B568" t="s">
        <v>256</v>
      </c>
      <c r="C568" t="str">
        <f t="shared" si="19"/>
        <v>0760011</v>
      </c>
      <c r="D568" t="s">
        <v>724</v>
      </c>
      <c r="E568" t="str">
        <f>"0760311"</f>
        <v>0760311</v>
      </c>
      <c r="F568" t="s">
        <v>328</v>
      </c>
      <c r="G568" t="s">
        <v>339</v>
      </c>
      <c r="H568">
        <v>4</v>
      </c>
      <c r="I568" t="s">
        <v>330</v>
      </c>
      <c r="J568" t="s">
        <v>331</v>
      </c>
      <c r="K568">
        <v>415.23185100000001</v>
      </c>
      <c r="L568">
        <v>450</v>
      </c>
      <c r="M568">
        <v>92.273745000000005</v>
      </c>
      <c r="N568">
        <v>1</v>
      </c>
      <c r="O568">
        <v>0</v>
      </c>
      <c r="P568">
        <v>83.258026000000001</v>
      </c>
      <c r="Q568">
        <v>50</v>
      </c>
      <c r="R568">
        <v>50</v>
      </c>
      <c r="S568" t="s">
        <v>125</v>
      </c>
      <c r="T568">
        <v>75</v>
      </c>
      <c r="U568" t="s">
        <v>125</v>
      </c>
      <c r="V568" t="s">
        <v>125</v>
      </c>
      <c r="W568">
        <v>80.533961000000005</v>
      </c>
      <c r="X568">
        <v>50</v>
      </c>
      <c r="Y568">
        <v>50</v>
      </c>
      <c r="Z568">
        <v>75</v>
      </c>
      <c r="AA568" t="s">
        <v>125</v>
      </c>
      <c r="AB568" t="s">
        <v>125</v>
      </c>
      <c r="AC568" t="s">
        <v>125</v>
      </c>
      <c r="AD568" t="s">
        <v>125</v>
      </c>
      <c r="AE568" t="s">
        <v>125</v>
      </c>
      <c r="AF568" t="s">
        <v>125</v>
      </c>
      <c r="AG568" t="s">
        <v>125</v>
      </c>
      <c r="AH568" t="s">
        <v>125</v>
      </c>
      <c r="AI568" t="s">
        <v>125</v>
      </c>
      <c r="AJ568" t="s">
        <v>125</v>
      </c>
      <c r="AK568" t="s">
        <v>125</v>
      </c>
      <c r="AL568" t="s">
        <v>125</v>
      </c>
      <c r="AM568" t="s">
        <v>125</v>
      </c>
      <c r="AN568">
        <v>0.75876600000000005</v>
      </c>
      <c r="AO568">
        <v>75.876614000000004</v>
      </c>
      <c r="AP568">
        <v>100</v>
      </c>
      <c r="AQ568">
        <v>0.90232400000000001</v>
      </c>
      <c r="AR568">
        <v>90.232429999999994</v>
      </c>
      <c r="AS568">
        <v>100</v>
      </c>
      <c r="AT568" t="s">
        <v>125</v>
      </c>
      <c r="AU568">
        <v>0.76546400000000003</v>
      </c>
      <c r="AV568" t="s">
        <v>125</v>
      </c>
      <c r="AW568" t="s">
        <v>125</v>
      </c>
      <c r="AX568" t="s">
        <v>125</v>
      </c>
      <c r="AY568">
        <v>0.88255700000000004</v>
      </c>
      <c r="AZ568" t="s">
        <v>125</v>
      </c>
      <c r="BA568" t="s">
        <v>125</v>
      </c>
      <c r="BB568" t="s">
        <v>125</v>
      </c>
      <c r="BC568" t="s">
        <v>125</v>
      </c>
      <c r="BD568" t="s">
        <v>125</v>
      </c>
      <c r="BE568" t="s">
        <v>125</v>
      </c>
      <c r="BF568" t="s">
        <v>125</v>
      </c>
      <c r="BG568" t="s">
        <v>125</v>
      </c>
      <c r="BH568">
        <v>0</v>
      </c>
      <c r="BI568">
        <v>0.961538</v>
      </c>
      <c r="BJ568" t="s">
        <v>125</v>
      </c>
      <c r="BK568">
        <v>0.96923099999999995</v>
      </c>
      <c r="BL568">
        <v>0.961538</v>
      </c>
      <c r="BM568" t="s">
        <v>125</v>
      </c>
      <c r="BN568">
        <v>0.96923099999999995</v>
      </c>
      <c r="BO568" t="s">
        <v>125</v>
      </c>
      <c r="BP568" t="s">
        <v>125</v>
      </c>
      <c r="BQ568" t="s">
        <v>125</v>
      </c>
      <c r="BR568">
        <v>2.0725E-2</v>
      </c>
      <c r="BS568">
        <v>50</v>
      </c>
      <c r="BT568">
        <v>50</v>
      </c>
      <c r="BU568">
        <v>3.125E-2</v>
      </c>
      <c r="BV568">
        <v>50</v>
      </c>
      <c r="BW568">
        <v>50</v>
      </c>
      <c r="BX568" t="s">
        <v>125</v>
      </c>
      <c r="BY568" t="s">
        <v>125</v>
      </c>
      <c r="BZ568" t="s">
        <v>125</v>
      </c>
      <c r="CA568" t="s">
        <v>125</v>
      </c>
      <c r="CB568" t="s">
        <v>125</v>
      </c>
      <c r="CC568" t="s">
        <v>125</v>
      </c>
      <c r="CD568" t="s">
        <v>125</v>
      </c>
      <c r="CE568" t="s">
        <v>125</v>
      </c>
      <c r="CF568" t="s">
        <v>125</v>
      </c>
      <c r="CG568" t="s">
        <v>125</v>
      </c>
      <c r="CH568" t="s">
        <v>125</v>
      </c>
      <c r="CI568" t="s">
        <v>125</v>
      </c>
      <c r="CJ568" t="s">
        <v>125</v>
      </c>
      <c r="CK568" t="s">
        <v>125</v>
      </c>
      <c r="CL568" t="s">
        <v>125</v>
      </c>
      <c r="CM568" t="s">
        <v>125</v>
      </c>
      <c r="CN568" t="s">
        <v>125</v>
      </c>
      <c r="CO568" t="s">
        <v>125</v>
      </c>
      <c r="CP568" t="s">
        <v>125</v>
      </c>
      <c r="CQ568">
        <v>0.736842</v>
      </c>
      <c r="CR568">
        <v>1</v>
      </c>
      <c r="CS568">
        <v>49.122807000000002</v>
      </c>
      <c r="CT568">
        <v>50</v>
      </c>
      <c r="CU568" t="s">
        <v>125</v>
      </c>
      <c r="CV568" t="s">
        <v>125</v>
      </c>
      <c r="CW568" t="s">
        <v>125</v>
      </c>
      <c r="CX568" t="s">
        <v>125</v>
      </c>
      <c r="CY568" t="s">
        <v>125</v>
      </c>
      <c r="CZ568" t="s">
        <v>125</v>
      </c>
      <c r="DA568">
        <v>15.314097</v>
      </c>
      <c r="DB568">
        <v>17.400950000000002</v>
      </c>
      <c r="DC568">
        <v>16.332519999999999</v>
      </c>
      <c r="DD568" t="s">
        <v>125</v>
      </c>
      <c r="DE568">
        <v>0</v>
      </c>
      <c r="DH568" t="s">
        <v>332</v>
      </c>
      <c r="DI568" t="s">
        <v>546</v>
      </c>
      <c r="DJ568">
        <v>1</v>
      </c>
      <c r="DK568">
        <v>0</v>
      </c>
      <c r="DL568">
        <v>1</v>
      </c>
      <c r="DM568">
        <v>0</v>
      </c>
      <c r="DN568">
        <v>0</v>
      </c>
      <c r="DO568">
        <v>0</v>
      </c>
      <c r="DQ568" t="s">
        <v>126</v>
      </c>
    </row>
    <row r="569" spans="1:121" x14ac:dyDescent="0.15">
      <c r="A569">
        <v>2018</v>
      </c>
      <c r="B569" t="s">
        <v>256</v>
      </c>
      <c r="C569" t="str">
        <f t="shared" si="19"/>
        <v>0760011</v>
      </c>
      <c r="D569" t="s">
        <v>725</v>
      </c>
      <c r="E569" t="str">
        <f>"0765211"</f>
        <v>0765211</v>
      </c>
      <c r="F569" t="s">
        <v>328</v>
      </c>
      <c r="G569">
        <v>7</v>
      </c>
      <c r="H569">
        <v>8</v>
      </c>
      <c r="I569" t="s">
        <v>330</v>
      </c>
      <c r="J569" t="s">
        <v>331</v>
      </c>
      <c r="K569">
        <v>621.72877800000003</v>
      </c>
      <c r="L569">
        <v>900</v>
      </c>
      <c r="M569">
        <v>69.080974999999995</v>
      </c>
      <c r="N569">
        <v>4</v>
      </c>
      <c r="O569">
        <v>1</v>
      </c>
      <c r="P569">
        <v>69.416567000000001</v>
      </c>
      <c r="Q569">
        <v>46.277710999999996</v>
      </c>
      <c r="R569">
        <v>50</v>
      </c>
      <c r="S569">
        <v>50.893568999999999</v>
      </c>
      <c r="T569">
        <v>73.590763999999993</v>
      </c>
      <c r="U569">
        <v>33.929046</v>
      </c>
      <c r="V569">
        <v>50</v>
      </c>
      <c r="W569">
        <v>68.085115000000002</v>
      </c>
      <c r="X569">
        <v>45.390076999999998</v>
      </c>
      <c r="Y569">
        <v>50</v>
      </c>
      <c r="Z569">
        <v>71.841823000000005</v>
      </c>
      <c r="AA569">
        <v>51.209744999999998</v>
      </c>
      <c r="AB569">
        <v>34.139830000000003</v>
      </c>
      <c r="AC569">
        <v>50</v>
      </c>
      <c r="AD569">
        <v>64.871551999999994</v>
      </c>
      <c r="AE569">
        <v>43.247700999999999</v>
      </c>
      <c r="AF569">
        <v>50</v>
      </c>
      <c r="AG569">
        <v>50.782961</v>
      </c>
      <c r="AH569">
        <v>68.673235000000005</v>
      </c>
      <c r="AI569">
        <v>33.855308000000001</v>
      </c>
      <c r="AJ569">
        <v>50</v>
      </c>
      <c r="AK569">
        <v>22.69</v>
      </c>
      <c r="AL569">
        <v>20.63</v>
      </c>
      <c r="AM569">
        <v>17.89</v>
      </c>
      <c r="AN569">
        <v>0.48893399999999998</v>
      </c>
      <c r="AO569">
        <v>48.893405000000001</v>
      </c>
      <c r="AP569">
        <v>100</v>
      </c>
      <c r="AQ569">
        <v>0.60929500000000003</v>
      </c>
      <c r="AR569">
        <v>60.929474999999996</v>
      </c>
      <c r="AS569">
        <v>100</v>
      </c>
      <c r="AT569">
        <v>0.46915200000000001</v>
      </c>
      <c r="AU569">
        <v>0.49324699999999999</v>
      </c>
      <c r="AV569">
        <v>46.915197999999997</v>
      </c>
      <c r="AW569">
        <v>100</v>
      </c>
      <c r="AX569">
        <v>0.52109000000000005</v>
      </c>
      <c r="AY569">
        <v>0.62860000000000005</v>
      </c>
      <c r="AZ569">
        <v>52.108983000000002</v>
      </c>
      <c r="BA569">
        <v>100</v>
      </c>
      <c r="BB569" t="s">
        <v>125</v>
      </c>
      <c r="BC569" t="s">
        <v>125</v>
      </c>
      <c r="BD569" t="s">
        <v>125</v>
      </c>
      <c r="BE569" t="s">
        <v>125</v>
      </c>
      <c r="BF569" t="s">
        <v>125</v>
      </c>
      <c r="BG569" t="s">
        <v>125</v>
      </c>
      <c r="BH569">
        <v>1</v>
      </c>
      <c r="BI569">
        <v>0.82978700000000005</v>
      </c>
      <c r="BJ569">
        <v>0.881579</v>
      </c>
      <c r="BK569">
        <v>0.81844399999999995</v>
      </c>
      <c r="BL569">
        <v>0.82505899999999999</v>
      </c>
      <c r="BM569">
        <v>0.868421</v>
      </c>
      <c r="BN569">
        <v>0.81556200000000001</v>
      </c>
      <c r="BO569">
        <v>0.74536999999999998</v>
      </c>
      <c r="BP569">
        <v>0.85365899999999995</v>
      </c>
      <c r="BQ569">
        <v>0.72</v>
      </c>
      <c r="BR569">
        <v>4.0284E-2</v>
      </c>
      <c r="BS569">
        <v>50</v>
      </c>
      <c r="BT569">
        <v>50</v>
      </c>
      <c r="BU569">
        <v>9.5890000000000003E-2</v>
      </c>
      <c r="BV569">
        <v>40.821917999999997</v>
      </c>
      <c r="BW569">
        <v>50</v>
      </c>
      <c r="BX569" t="s">
        <v>125</v>
      </c>
      <c r="BY569" t="s">
        <v>125</v>
      </c>
      <c r="BZ569" t="s">
        <v>125</v>
      </c>
      <c r="CA569" t="s">
        <v>125</v>
      </c>
      <c r="CB569" t="s">
        <v>125</v>
      </c>
      <c r="CC569" t="s">
        <v>125</v>
      </c>
      <c r="CD569">
        <v>1</v>
      </c>
      <c r="CE569">
        <v>50</v>
      </c>
      <c r="CF569">
        <v>50</v>
      </c>
      <c r="CG569" t="s">
        <v>125</v>
      </c>
      <c r="CH569" t="s">
        <v>125</v>
      </c>
      <c r="CI569" t="s">
        <v>125</v>
      </c>
      <c r="CJ569" t="s">
        <v>125</v>
      </c>
      <c r="CK569" t="s">
        <v>125</v>
      </c>
      <c r="CL569" t="s">
        <v>125</v>
      </c>
      <c r="CM569" t="s">
        <v>125</v>
      </c>
      <c r="CN569" t="s">
        <v>125</v>
      </c>
      <c r="CO569" t="s">
        <v>125</v>
      </c>
      <c r="CP569" t="s">
        <v>125</v>
      </c>
      <c r="CQ569">
        <v>0.52830200000000005</v>
      </c>
      <c r="CR569">
        <v>0.98604700000000001</v>
      </c>
      <c r="CS569">
        <v>35.220126</v>
      </c>
      <c r="CT569">
        <v>50</v>
      </c>
      <c r="CU569" t="s">
        <v>125</v>
      </c>
      <c r="CV569" t="s">
        <v>125</v>
      </c>
      <c r="CW569" t="s">
        <v>125</v>
      </c>
      <c r="CX569" t="s">
        <v>125</v>
      </c>
      <c r="CY569" t="s">
        <v>125</v>
      </c>
      <c r="CZ569" t="s">
        <v>125</v>
      </c>
      <c r="DA569">
        <v>15.314097</v>
      </c>
      <c r="DB569">
        <v>17.400950000000002</v>
      </c>
      <c r="DC569">
        <v>16.332519999999999</v>
      </c>
      <c r="DD569" t="s">
        <v>125</v>
      </c>
      <c r="DE569">
        <v>1</v>
      </c>
      <c r="DF569" t="s">
        <v>385</v>
      </c>
      <c r="DG569" t="s">
        <v>648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Q569" t="s">
        <v>126</v>
      </c>
    </row>
    <row r="570" spans="1:121" x14ac:dyDescent="0.15">
      <c r="A570">
        <v>2018</v>
      </c>
      <c r="B570" t="s">
        <v>257</v>
      </c>
      <c r="C570" t="str">
        <f t="shared" ref="C570:C580" si="20">"0770011"</f>
        <v>0770011</v>
      </c>
      <c r="D570" t="s">
        <v>726</v>
      </c>
      <c r="E570" t="str">
        <f>"0770111"</f>
        <v>0770111</v>
      </c>
      <c r="F570" t="s">
        <v>328</v>
      </c>
      <c r="G570" t="s">
        <v>339</v>
      </c>
      <c r="H570">
        <v>4</v>
      </c>
      <c r="J570" t="s">
        <v>331</v>
      </c>
      <c r="K570">
        <v>505.601091</v>
      </c>
      <c r="L570">
        <v>750</v>
      </c>
      <c r="M570">
        <v>67.413478999999995</v>
      </c>
      <c r="N570">
        <v>3</v>
      </c>
      <c r="O570">
        <v>1</v>
      </c>
      <c r="P570">
        <v>67.198155</v>
      </c>
      <c r="Q570">
        <v>44.798769999999998</v>
      </c>
      <c r="R570">
        <v>50</v>
      </c>
      <c r="S570">
        <v>59.675711999999997</v>
      </c>
      <c r="T570">
        <v>75</v>
      </c>
      <c r="U570">
        <v>39.783808000000001</v>
      </c>
      <c r="V570">
        <v>50</v>
      </c>
      <c r="W570">
        <v>60.194071000000001</v>
      </c>
      <c r="X570">
        <v>40.129381000000002</v>
      </c>
      <c r="Y570">
        <v>50</v>
      </c>
      <c r="Z570">
        <v>74.842732999999996</v>
      </c>
      <c r="AA570">
        <v>51.577212000000003</v>
      </c>
      <c r="AB570">
        <v>34.384808</v>
      </c>
      <c r="AC570">
        <v>50</v>
      </c>
      <c r="AD570" t="s">
        <v>125</v>
      </c>
      <c r="AE570" t="s">
        <v>125</v>
      </c>
      <c r="AF570" t="s">
        <v>125</v>
      </c>
      <c r="AG570" t="s">
        <v>125</v>
      </c>
      <c r="AH570" t="s">
        <v>125</v>
      </c>
      <c r="AI570" t="s">
        <v>125</v>
      </c>
      <c r="AJ570" t="s">
        <v>125</v>
      </c>
      <c r="AK570">
        <v>15.32</v>
      </c>
      <c r="AL570">
        <v>23.26</v>
      </c>
      <c r="AM570" t="s">
        <v>125</v>
      </c>
      <c r="AN570">
        <v>0.70860900000000004</v>
      </c>
      <c r="AO570">
        <v>70.860887000000005</v>
      </c>
      <c r="AP570">
        <v>100</v>
      </c>
      <c r="AQ570">
        <v>0.73680999999999996</v>
      </c>
      <c r="AR570">
        <v>73.680995999999993</v>
      </c>
      <c r="AS570">
        <v>100</v>
      </c>
      <c r="AT570">
        <v>0.62271699999999996</v>
      </c>
      <c r="AU570">
        <v>0.84405399999999997</v>
      </c>
      <c r="AV570">
        <v>62.271681999999998</v>
      </c>
      <c r="AW570">
        <v>100</v>
      </c>
      <c r="AX570">
        <v>0.67295400000000005</v>
      </c>
      <c r="AY570">
        <v>0.83013800000000004</v>
      </c>
      <c r="AZ570">
        <v>67.295395999999997</v>
      </c>
      <c r="BA570">
        <v>100</v>
      </c>
      <c r="BB570" t="s">
        <v>125</v>
      </c>
      <c r="BC570" t="s">
        <v>125</v>
      </c>
      <c r="BD570" t="s">
        <v>125</v>
      </c>
      <c r="BE570" t="s">
        <v>125</v>
      </c>
      <c r="BF570" t="s">
        <v>125</v>
      </c>
      <c r="BG570" t="s">
        <v>125</v>
      </c>
      <c r="BH570">
        <v>0</v>
      </c>
      <c r="BI570">
        <v>0.98701300000000003</v>
      </c>
      <c r="BJ570">
        <v>0.98</v>
      </c>
      <c r="BK570">
        <v>1</v>
      </c>
      <c r="BL570">
        <v>0.98051900000000003</v>
      </c>
      <c r="BM570">
        <v>0.97</v>
      </c>
      <c r="BN570">
        <v>1</v>
      </c>
      <c r="BO570" t="s">
        <v>125</v>
      </c>
      <c r="BP570" t="s">
        <v>125</v>
      </c>
      <c r="BQ570" t="s">
        <v>125</v>
      </c>
      <c r="BR570">
        <v>0.16569800000000001</v>
      </c>
      <c r="BS570">
        <v>26.860465000000001</v>
      </c>
      <c r="BT570">
        <v>50</v>
      </c>
      <c r="BU570">
        <v>0.23214299999999999</v>
      </c>
      <c r="BV570">
        <v>13.571429</v>
      </c>
      <c r="BW570">
        <v>50</v>
      </c>
      <c r="BX570" t="s">
        <v>125</v>
      </c>
      <c r="BY570" t="s">
        <v>125</v>
      </c>
      <c r="BZ570" t="s">
        <v>125</v>
      </c>
      <c r="CA570" t="s">
        <v>125</v>
      </c>
      <c r="CB570" t="s">
        <v>125</v>
      </c>
      <c r="CC570" t="s">
        <v>125</v>
      </c>
      <c r="CD570" t="s">
        <v>125</v>
      </c>
      <c r="CE570" t="s">
        <v>125</v>
      </c>
      <c r="CF570" t="s">
        <v>125</v>
      </c>
      <c r="CG570" t="s">
        <v>125</v>
      </c>
      <c r="CH570" t="s">
        <v>125</v>
      </c>
      <c r="CI570" t="s">
        <v>125</v>
      </c>
      <c r="CJ570" t="s">
        <v>125</v>
      </c>
      <c r="CK570" t="s">
        <v>125</v>
      </c>
      <c r="CL570" t="s">
        <v>125</v>
      </c>
      <c r="CM570" t="s">
        <v>125</v>
      </c>
      <c r="CN570" t="s">
        <v>125</v>
      </c>
      <c r="CO570" t="s">
        <v>125</v>
      </c>
      <c r="CP570" t="s">
        <v>125</v>
      </c>
      <c r="CQ570">
        <v>0.47945199999999999</v>
      </c>
      <c r="CR570">
        <v>0.96052599999999999</v>
      </c>
      <c r="CS570">
        <v>31.963470000000001</v>
      </c>
      <c r="CT570">
        <v>50</v>
      </c>
      <c r="CU570" t="s">
        <v>125</v>
      </c>
      <c r="CV570" t="s">
        <v>125</v>
      </c>
      <c r="CW570" t="s">
        <v>125</v>
      </c>
      <c r="CX570" t="s">
        <v>125</v>
      </c>
      <c r="CY570" t="s">
        <v>125</v>
      </c>
      <c r="CZ570" t="s">
        <v>125</v>
      </c>
      <c r="DA570">
        <v>15.314097</v>
      </c>
      <c r="DB570">
        <v>17.400950000000002</v>
      </c>
      <c r="DC570">
        <v>16.332519999999999</v>
      </c>
      <c r="DD570" t="s">
        <v>125</v>
      </c>
      <c r="DE570">
        <v>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Q570" t="s">
        <v>126</v>
      </c>
    </row>
    <row r="571" spans="1:121" x14ac:dyDescent="0.15">
      <c r="A571">
        <v>2018</v>
      </c>
      <c r="B571" t="s">
        <v>257</v>
      </c>
      <c r="C571" t="str">
        <f t="shared" si="20"/>
        <v>0770011</v>
      </c>
      <c r="D571" t="s">
        <v>727</v>
      </c>
      <c r="E571" t="str">
        <f>"0770311"</f>
        <v>0770311</v>
      </c>
      <c r="F571" t="s">
        <v>328</v>
      </c>
      <c r="G571" t="s">
        <v>329</v>
      </c>
      <c r="H571">
        <v>4</v>
      </c>
      <c r="J571" t="s">
        <v>331</v>
      </c>
      <c r="K571">
        <v>440.20245</v>
      </c>
      <c r="L571">
        <v>750</v>
      </c>
      <c r="M571">
        <v>58.693660000000001</v>
      </c>
      <c r="N571">
        <v>3</v>
      </c>
      <c r="O571">
        <v>0</v>
      </c>
      <c r="P571">
        <v>67.713592000000006</v>
      </c>
      <c r="Q571">
        <v>45.142395</v>
      </c>
      <c r="R571">
        <v>50</v>
      </c>
      <c r="S571">
        <v>63.466504</v>
      </c>
      <c r="T571">
        <v>73.187617000000003</v>
      </c>
      <c r="U571">
        <v>42.311002000000002</v>
      </c>
      <c r="V571">
        <v>50</v>
      </c>
      <c r="W571">
        <v>64.507814999999994</v>
      </c>
      <c r="X571">
        <v>43.005209999999998</v>
      </c>
      <c r="Y571">
        <v>50</v>
      </c>
      <c r="Z571">
        <v>68.777806999999996</v>
      </c>
      <c r="AA571">
        <v>61.194890999999998</v>
      </c>
      <c r="AB571">
        <v>40.796593999999999</v>
      </c>
      <c r="AC571">
        <v>50</v>
      </c>
      <c r="AD571" t="s">
        <v>125</v>
      </c>
      <c r="AE571" t="s">
        <v>125</v>
      </c>
      <c r="AF571" t="s">
        <v>125</v>
      </c>
      <c r="AG571" t="s">
        <v>125</v>
      </c>
      <c r="AH571" t="s">
        <v>125</v>
      </c>
      <c r="AI571" t="s">
        <v>125</v>
      </c>
      <c r="AJ571" t="s">
        <v>125</v>
      </c>
      <c r="AK571">
        <v>9.7200000000000006</v>
      </c>
      <c r="AL571">
        <v>7.58</v>
      </c>
      <c r="AM571" t="s">
        <v>125</v>
      </c>
      <c r="AN571">
        <v>0.42630000000000001</v>
      </c>
      <c r="AO571">
        <v>42.629955000000002</v>
      </c>
      <c r="AP571">
        <v>100</v>
      </c>
      <c r="AQ571">
        <v>0.36864799999999998</v>
      </c>
      <c r="AR571">
        <v>36.864818999999997</v>
      </c>
      <c r="AS571">
        <v>100</v>
      </c>
      <c r="AT571">
        <v>0.39202700000000001</v>
      </c>
      <c r="AU571">
        <v>0.48284899999999997</v>
      </c>
      <c r="AV571">
        <v>39.202745999999998</v>
      </c>
      <c r="AW571">
        <v>100</v>
      </c>
      <c r="AX571">
        <v>0.349275</v>
      </c>
      <c r="AY571">
        <v>0.400613</v>
      </c>
      <c r="AZ571">
        <v>34.927543999999997</v>
      </c>
      <c r="BA571">
        <v>100</v>
      </c>
      <c r="BB571" t="s">
        <v>125</v>
      </c>
      <c r="BC571" t="s">
        <v>125</v>
      </c>
      <c r="BD571" t="s">
        <v>125</v>
      </c>
      <c r="BE571" t="s">
        <v>125</v>
      </c>
      <c r="BF571" t="s">
        <v>125</v>
      </c>
      <c r="BG571" t="s">
        <v>125</v>
      </c>
      <c r="BH571">
        <v>0</v>
      </c>
      <c r="BI571">
        <v>0.97345099999999996</v>
      </c>
      <c r="BJ571">
        <v>0.98461500000000002</v>
      </c>
      <c r="BK571">
        <v>0.95833299999999999</v>
      </c>
      <c r="BL571">
        <v>0.97345099999999996</v>
      </c>
      <c r="BM571">
        <v>0.98461500000000002</v>
      </c>
      <c r="BN571">
        <v>0.95833299999999999</v>
      </c>
      <c r="BO571" t="s">
        <v>125</v>
      </c>
      <c r="BP571" t="s">
        <v>125</v>
      </c>
      <c r="BQ571" t="s">
        <v>125</v>
      </c>
      <c r="BR571">
        <v>8.5470000000000004E-2</v>
      </c>
      <c r="BS571">
        <v>42.905982999999999</v>
      </c>
      <c r="BT571">
        <v>50</v>
      </c>
      <c r="BU571">
        <v>0.123711</v>
      </c>
      <c r="BV571">
        <v>35.257731999999997</v>
      </c>
      <c r="BW571">
        <v>50</v>
      </c>
      <c r="BX571" t="s">
        <v>125</v>
      </c>
      <c r="BY571" t="s">
        <v>125</v>
      </c>
      <c r="BZ571" t="s">
        <v>125</v>
      </c>
      <c r="CA571" t="s">
        <v>125</v>
      </c>
      <c r="CB571" t="s">
        <v>125</v>
      </c>
      <c r="CC571" t="s">
        <v>125</v>
      </c>
      <c r="CD571" t="s">
        <v>125</v>
      </c>
      <c r="CE571" t="s">
        <v>125</v>
      </c>
      <c r="CF571" t="s">
        <v>125</v>
      </c>
      <c r="CG571" t="s">
        <v>125</v>
      </c>
      <c r="CH571" t="s">
        <v>125</v>
      </c>
      <c r="CI571" t="s">
        <v>125</v>
      </c>
      <c r="CJ571" t="s">
        <v>125</v>
      </c>
      <c r="CK571" t="s">
        <v>125</v>
      </c>
      <c r="CL571" t="s">
        <v>125</v>
      </c>
      <c r="CM571" t="s">
        <v>125</v>
      </c>
      <c r="CN571" t="s">
        <v>125</v>
      </c>
      <c r="CO571" t="s">
        <v>125</v>
      </c>
      <c r="CP571" t="s">
        <v>125</v>
      </c>
      <c r="CQ571">
        <v>0.55737700000000001</v>
      </c>
      <c r="CR571">
        <v>1</v>
      </c>
      <c r="CS571">
        <v>37.158470000000001</v>
      </c>
      <c r="CT571">
        <v>50</v>
      </c>
      <c r="CU571" t="s">
        <v>125</v>
      </c>
      <c r="CV571" t="s">
        <v>125</v>
      </c>
      <c r="CW571" t="s">
        <v>125</v>
      </c>
      <c r="CX571" t="s">
        <v>125</v>
      </c>
      <c r="CY571" t="s">
        <v>125</v>
      </c>
      <c r="CZ571" t="s">
        <v>125</v>
      </c>
      <c r="DA571">
        <v>15.314097</v>
      </c>
      <c r="DB571">
        <v>17.400950000000002</v>
      </c>
      <c r="DC571">
        <v>16.332519999999999</v>
      </c>
      <c r="DD571" t="s">
        <v>125</v>
      </c>
      <c r="DE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Q571" t="s">
        <v>126</v>
      </c>
    </row>
    <row r="572" spans="1:121" x14ac:dyDescent="0.15">
      <c r="A572">
        <v>2018</v>
      </c>
      <c r="B572" t="s">
        <v>257</v>
      </c>
      <c r="C572" t="str">
        <f t="shared" si="20"/>
        <v>0770011</v>
      </c>
      <c r="D572" t="s">
        <v>728</v>
      </c>
      <c r="E572" t="str">
        <f>"0771711"</f>
        <v>0771711</v>
      </c>
      <c r="F572" t="s">
        <v>328</v>
      </c>
      <c r="G572">
        <v>5</v>
      </c>
      <c r="H572">
        <v>6</v>
      </c>
      <c r="J572" t="s">
        <v>331</v>
      </c>
      <c r="K572">
        <v>536.66882099999998</v>
      </c>
      <c r="L572">
        <v>950</v>
      </c>
      <c r="M572">
        <v>56.491455000000002</v>
      </c>
      <c r="N572">
        <v>4</v>
      </c>
      <c r="O572">
        <v>1</v>
      </c>
      <c r="P572">
        <v>57.338740999999999</v>
      </c>
      <c r="Q572">
        <v>38.225827000000002</v>
      </c>
      <c r="R572">
        <v>50</v>
      </c>
      <c r="S572">
        <v>52.294071000000002</v>
      </c>
      <c r="T572">
        <v>68.684415000000001</v>
      </c>
      <c r="U572">
        <v>34.862713999999997</v>
      </c>
      <c r="V572">
        <v>50</v>
      </c>
      <c r="W572">
        <v>54.699212000000003</v>
      </c>
      <c r="X572">
        <v>36.466141</v>
      </c>
      <c r="Y572">
        <v>50</v>
      </c>
      <c r="Z572">
        <v>67.599335999999994</v>
      </c>
      <c r="AA572">
        <v>48.878425</v>
      </c>
      <c r="AB572">
        <v>32.585616999999999</v>
      </c>
      <c r="AC572">
        <v>50</v>
      </c>
      <c r="AD572">
        <v>57.601280000000003</v>
      </c>
      <c r="AE572">
        <v>38.400852999999998</v>
      </c>
      <c r="AF572">
        <v>50</v>
      </c>
      <c r="AG572">
        <v>53.078622000000003</v>
      </c>
      <c r="AH572">
        <v>66.939429000000004</v>
      </c>
      <c r="AI572">
        <v>35.385748</v>
      </c>
      <c r="AJ572">
        <v>50</v>
      </c>
      <c r="AK572">
        <v>16.39</v>
      </c>
      <c r="AL572">
        <v>18.72</v>
      </c>
      <c r="AM572">
        <v>13.86</v>
      </c>
      <c r="AN572">
        <v>0.46182800000000002</v>
      </c>
      <c r="AO572">
        <v>46.182831999999998</v>
      </c>
      <c r="AP572">
        <v>100</v>
      </c>
      <c r="AQ572">
        <v>0.54562200000000005</v>
      </c>
      <c r="AR572">
        <v>54.562201999999999</v>
      </c>
      <c r="AS572">
        <v>100</v>
      </c>
      <c r="AT572">
        <v>0.44768000000000002</v>
      </c>
      <c r="AU572">
        <v>0.49229299999999998</v>
      </c>
      <c r="AV572">
        <v>44.768036000000002</v>
      </c>
      <c r="AW572">
        <v>100</v>
      </c>
      <c r="AX572">
        <v>0.50680700000000001</v>
      </c>
      <c r="AY572">
        <v>0.62744900000000003</v>
      </c>
      <c r="AZ572">
        <v>50.680652000000002</v>
      </c>
      <c r="BA572">
        <v>100</v>
      </c>
      <c r="BB572">
        <v>0.37858599999999998</v>
      </c>
      <c r="BC572">
        <v>18.929293999999999</v>
      </c>
      <c r="BD572">
        <v>50</v>
      </c>
      <c r="BE572">
        <v>0.40090700000000001</v>
      </c>
      <c r="BF572">
        <v>20.045325999999999</v>
      </c>
      <c r="BG572">
        <v>50</v>
      </c>
      <c r="BH572">
        <v>0</v>
      </c>
      <c r="BI572">
        <v>0.98235899999999998</v>
      </c>
      <c r="BJ572">
        <v>0.98119100000000004</v>
      </c>
      <c r="BK572">
        <v>0.98512999999999995</v>
      </c>
      <c r="BL572">
        <v>0.96578399999999998</v>
      </c>
      <c r="BM572">
        <v>0.960754</v>
      </c>
      <c r="BN572">
        <v>0.97769499999999998</v>
      </c>
      <c r="BO572">
        <v>0.96753199999999995</v>
      </c>
      <c r="BP572">
        <v>0.96214500000000003</v>
      </c>
      <c r="BQ572">
        <v>0.97931000000000001</v>
      </c>
      <c r="BR572">
        <v>0.142541</v>
      </c>
      <c r="BS572">
        <v>31.491713000000001</v>
      </c>
      <c r="BT572">
        <v>50</v>
      </c>
      <c r="BU572">
        <v>0.181529</v>
      </c>
      <c r="BV572">
        <v>23.694268000000001</v>
      </c>
      <c r="BW572">
        <v>50</v>
      </c>
      <c r="BX572" t="s">
        <v>125</v>
      </c>
      <c r="BY572" t="s">
        <v>125</v>
      </c>
      <c r="BZ572" t="s">
        <v>125</v>
      </c>
      <c r="CA572" t="s">
        <v>125</v>
      </c>
      <c r="CB572" t="s">
        <v>125</v>
      </c>
      <c r="CC572" t="s">
        <v>125</v>
      </c>
      <c r="CD572" t="s">
        <v>125</v>
      </c>
      <c r="CE572" t="s">
        <v>125</v>
      </c>
      <c r="CF572" t="s">
        <v>125</v>
      </c>
      <c r="CG572" t="s">
        <v>125</v>
      </c>
      <c r="CH572" t="s">
        <v>125</v>
      </c>
      <c r="CI572" t="s">
        <v>125</v>
      </c>
      <c r="CJ572" t="s">
        <v>125</v>
      </c>
      <c r="CK572" t="s">
        <v>125</v>
      </c>
      <c r="CL572" t="s">
        <v>125</v>
      </c>
      <c r="CM572" t="s">
        <v>125</v>
      </c>
      <c r="CN572" t="s">
        <v>125</v>
      </c>
      <c r="CO572" t="s">
        <v>125</v>
      </c>
      <c r="CP572" t="s">
        <v>125</v>
      </c>
      <c r="CQ572">
        <v>0.455814</v>
      </c>
      <c r="CR572">
        <v>0.96629200000000004</v>
      </c>
      <c r="CS572">
        <v>30.387597</v>
      </c>
      <c r="CT572">
        <v>50</v>
      </c>
      <c r="CU572" t="s">
        <v>125</v>
      </c>
      <c r="CV572" t="s">
        <v>125</v>
      </c>
      <c r="CW572" t="s">
        <v>125</v>
      </c>
      <c r="CX572" t="s">
        <v>125</v>
      </c>
      <c r="CY572" t="s">
        <v>125</v>
      </c>
      <c r="CZ572" t="s">
        <v>125</v>
      </c>
      <c r="DA572">
        <v>15.314097</v>
      </c>
      <c r="DB572">
        <v>17.400950000000002</v>
      </c>
      <c r="DC572">
        <v>16.332519999999999</v>
      </c>
      <c r="DD572" t="s">
        <v>125</v>
      </c>
      <c r="DE572">
        <v>1</v>
      </c>
      <c r="DF572" t="s">
        <v>385</v>
      </c>
      <c r="DG572" t="s">
        <v>648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Q572" t="s">
        <v>126</v>
      </c>
    </row>
    <row r="573" spans="1:121" x14ac:dyDescent="0.15">
      <c r="A573">
        <v>2018</v>
      </c>
      <c r="B573" t="s">
        <v>257</v>
      </c>
      <c r="C573" t="str">
        <f t="shared" si="20"/>
        <v>0770011</v>
      </c>
      <c r="D573" t="s">
        <v>729</v>
      </c>
      <c r="E573" t="str">
        <f>"0770411"</f>
        <v>0770411</v>
      </c>
      <c r="F573" t="s">
        <v>328</v>
      </c>
      <c r="G573" t="s">
        <v>339</v>
      </c>
      <c r="H573">
        <v>4</v>
      </c>
      <c r="J573" t="s">
        <v>331</v>
      </c>
      <c r="K573">
        <v>559.99419899999998</v>
      </c>
      <c r="L573">
        <v>750</v>
      </c>
      <c r="M573">
        <v>74.665892999999997</v>
      </c>
      <c r="N573">
        <v>3</v>
      </c>
      <c r="O573">
        <v>1</v>
      </c>
      <c r="P573">
        <v>67.880921000000001</v>
      </c>
      <c r="Q573">
        <v>45.253948000000001</v>
      </c>
      <c r="R573">
        <v>50</v>
      </c>
      <c r="S573">
        <v>58.654415999999998</v>
      </c>
      <c r="T573">
        <v>75</v>
      </c>
      <c r="U573">
        <v>39.102944000000001</v>
      </c>
      <c r="V573">
        <v>50</v>
      </c>
      <c r="W573">
        <v>66.279781999999997</v>
      </c>
      <c r="X573">
        <v>44.186520999999999</v>
      </c>
      <c r="Y573">
        <v>50</v>
      </c>
      <c r="Z573">
        <v>75</v>
      </c>
      <c r="AA573">
        <v>54.316898999999999</v>
      </c>
      <c r="AB573">
        <v>36.211266000000002</v>
      </c>
      <c r="AC573">
        <v>50</v>
      </c>
      <c r="AD573" t="s">
        <v>125</v>
      </c>
      <c r="AE573" t="s">
        <v>125</v>
      </c>
      <c r="AF573" t="s">
        <v>125</v>
      </c>
      <c r="AG573" t="s">
        <v>125</v>
      </c>
      <c r="AH573" t="s">
        <v>125</v>
      </c>
      <c r="AI573" t="s">
        <v>125</v>
      </c>
      <c r="AJ573" t="s">
        <v>125</v>
      </c>
      <c r="AK573">
        <v>16.34</v>
      </c>
      <c r="AL573">
        <v>20.68</v>
      </c>
      <c r="AM573" t="s">
        <v>125</v>
      </c>
      <c r="AN573">
        <v>0.59204599999999996</v>
      </c>
      <c r="AO573">
        <v>59.204599000000002</v>
      </c>
      <c r="AP573">
        <v>100</v>
      </c>
      <c r="AQ573">
        <v>0.85797900000000005</v>
      </c>
      <c r="AR573">
        <v>85.797875000000005</v>
      </c>
      <c r="AS573">
        <v>100</v>
      </c>
      <c r="AT573">
        <v>0.61369899999999999</v>
      </c>
      <c r="AU573" t="s">
        <v>125</v>
      </c>
      <c r="AV573">
        <v>61.369942000000002</v>
      </c>
      <c r="AW573">
        <v>100</v>
      </c>
      <c r="AX573">
        <v>0.85289400000000004</v>
      </c>
      <c r="AY573" t="s">
        <v>125</v>
      </c>
      <c r="AZ573">
        <v>85.289402999999993</v>
      </c>
      <c r="BA573">
        <v>100</v>
      </c>
      <c r="BB573" t="s">
        <v>125</v>
      </c>
      <c r="BC573" t="s">
        <v>125</v>
      </c>
      <c r="BD573" t="s">
        <v>125</v>
      </c>
      <c r="BE573" t="s">
        <v>125</v>
      </c>
      <c r="BF573" t="s">
        <v>125</v>
      </c>
      <c r="BG573" t="s">
        <v>125</v>
      </c>
      <c r="BH573">
        <v>0</v>
      </c>
      <c r="BI573">
        <v>0.98750000000000004</v>
      </c>
      <c r="BJ573">
        <v>0.97619</v>
      </c>
      <c r="BK573">
        <v>1</v>
      </c>
      <c r="BL573">
        <v>0.98734200000000005</v>
      </c>
      <c r="BM573">
        <v>0.97560999999999998</v>
      </c>
      <c r="BN573">
        <v>1</v>
      </c>
      <c r="BO573" t="s">
        <v>125</v>
      </c>
      <c r="BP573" t="s">
        <v>125</v>
      </c>
      <c r="BQ573" t="s">
        <v>125</v>
      </c>
      <c r="BR573">
        <v>7.8260999999999997E-2</v>
      </c>
      <c r="BS573">
        <v>44.347825999999998</v>
      </c>
      <c r="BT573">
        <v>50</v>
      </c>
      <c r="BU573">
        <v>0.12096800000000001</v>
      </c>
      <c r="BV573">
        <v>35.806452</v>
      </c>
      <c r="BW573">
        <v>50</v>
      </c>
      <c r="BX573" t="s">
        <v>125</v>
      </c>
      <c r="BY573" t="s">
        <v>125</v>
      </c>
      <c r="BZ573" t="s">
        <v>125</v>
      </c>
      <c r="CA573" t="s">
        <v>125</v>
      </c>
      <c r="CB573" t="s">
        <v>125</v>
      </c>
      <c r="CC573" t="s">
        <v>125</v>
      </c>
      <c r="CD573" t="s">
        <v>125</v>
      </c>
      <c r="CE573" t="s">
        <v>125</v>
      </c>
      <c r="CF573" t="s">
        <v>125</v>
      </c>
      <c r="CG573" t="s">
        <v>125</v>
      </c>
      <c r="CH573" t="s">
        <v>125</v>
      </c>
      <c r="CI573" t="s">
        <v>125</v>
      </c>
      <c r="CJ573" t="s">
        <v>125</v>
      </c>
      <c r="CK573" t="s">
        <v>125</v>
      </c>
      <c r="CL573" t="s">
        <v>125</v>
      </c>
      <c r="CM573" t="s">
        <v>125</v>
      </c>
      <c r="CN573" t="s">
        <v>125</v>
      </c>
      <c r="CO573" t="s">
        <v>125</v>
      </c>
      <c r="CP573" t="s">
        <v>125</v>
      </c>
      <c r="CQ573">
        <v>0.35135100000000002</v>
      </c>
      <c r="CR573">
        <v>0.92500000000000004</v>
      </c>
      <c r="CS573">
        <v>23.423423</v>
      </c>
      <c r="CT573">
        <v>50</v>
      </c>
      <c r="CU573" t="s">
        <v>125</v>
      </c>
      <c r="CV573" t="s">
        <v>125</v>
      </c>
      <c r="CW573" t="s">
        <v>125</v>
      </c>
      <c r="CX573" t="s">
        <v>125</v>
      </c>
      <c r="CY573" t="s">
        <v>125</v>
      </c>
      <c r="CZ573" t="s">
        <v>125</v>
      </c>
      <c r="DA573">
        <v>15.314097</v>
      </c>
      <c r="DB573">
        <v>17.400950000000002</v>
      </c>
      <c r="DC573">
        <v>16.332519999999999</v>
      </c>
      <c r="DD573" t="s">
        <v>125</v>
      </c>
      <c r="DE573">
        <v>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Q573" t="s">
        <v>126</v>
      </c>
    </row>
    <row r="574" spans="1:121" x14ac:dyDescent="0.15">
      <c r="A574">
        <v>2018</v>
      </c>
      <c r="B574" t="s">
        <v>257</v>
      </c>
      <c r="C574" t="str">
        <f t="shared" si="20"/>
        <v>0770011</v>
      </c>
      <c r="D574" t="s">
        <v>730</v>
      </c>
      <c r="E574" t="str">
        <f>"0775311"</f>
        <v>0775311</v>
      </c>
      <c r="F574" t="s">
        <v>328</v>
      </c>
      <c r="G574">
        <v>7</v>
      </c>
      <c r="H574">
        <v>8</v>
      </c>
      <c r="J574" t="s">
        <v>331</v>
      </c>
      <c r="K574">
        <v>554.373288</v>
      </c>
      <c r="L574">
        <v>1000</v>
      </c>
      <c r="M574">
        <v>55.437328999999998</v>
      </c>
      <c r="N574">
        <v>4</v>
      </c>
      <c r="O574">
        <v>1</v>
      </c>
      <c r="P574">
        <v>56.128217999999997</v>
      </c>
      <c r="Q574">
        <v>37.418812000000003</v>
      </c>
      <c r="R574">
        <v>50</v>
      </c>
      <c r="S574">
        <v>49.993659000000001</v>
      </c>
      <c r="T574">
        <v>67.418670000000006</v>
      </c>
      <c r="U574">
        <v>33.329106000000003</v>
      </c>
      <c r="V574">
        <v>50</v>
      </c>
      <c r="W574">
        <v>49.120275999999997</v>
      </c>
      <c r="X574">
        <v>32.746850999999999</v>
      </c>
      <c r="Y574">
        <v>50</v>
      </c>
      <c r="Z574">
        <v>61.496136</v>
      </c>
      <c r="AA574">
        <v>42.202764999999999</v>
      </c>
      <c r="AB574">
        <v>28.135176000000001</v>
      </c>
      <c r="AC574">
        <v>50</v>
      </c>
      <c r="AD574">
        <v>52.615077999999997</v>
      </c>
      <c r="AE574">
        <v>35.076718999999997</v>
      </c>
      <c r="AF574">
        <v>50</v>
      </c>
      <c r="AG574">
        <v>47.187018000000002</v>
      </c>
      <c r="AH574">
        <v>62.246823999999997</v>
      </c>
      <c r="AI574">
        <v>31.458012</v>
      </c>
      <c r="AJ574">
        <v>50</v>
      </c>
      <c r="AK574">
        <v>17.420000000000002</v>
      </c>
      <c r="AL574">
        <v>19.29</v>
      </c>
      <c r="AM574">
        <v>15.05</v>
      </c>
      <c r="AN574">
        <v>0.50490299999999999</v>
      </c>
      <c r="AO574">
        <v>50.490256000000002</v>
      </c>
      <c r="AP574">
        <v>100</v>
      </c>
      <c r="AQ574">
        <v>0.49061100000000002</v>
      </c>
      <c r="AR574">
        <v>49.061067999999999</v>
      </c>
      <c r="AS574">
        <v>100</v>
      </c>
      <c r="AT574">
        <v>0.48782799999999998</v>
      </c>
      <c r="AU574">
        <v>0.53458300000000003</v>
      </c>
      <c r="AV574">
        <v>48.782775000000001</v>
      </c>
      <c r="AW574">
        <v>100</v>
      </c>
      <c r="AX574">
        <v>0.46888800000000003</v>
      </c>
      <c r="AY574">
        <v>0.52724099999999996</v>
      </c>
      <c r="AZ574">
        <v>46.888818999999998</v>
      </c>
      <c r="BA574">
        <v>100</v>
      </c>
      <c r="BB574">
        <v>0.525034</v>
      </c>
      <c r="BC574">
        <v>26.251722000000001</v>
      </c>
      <c r="BD574">
        <v>50</v>
      </c>
      <c r="BE574">
        <v>0.50497000000000003</v>
      </c>
      <c r="BF574">
        <v>25.248517</v>
      </c>
      <c r="BG574">
        <v>50</v>
      </c>
      <c r="BH574">
        <v>1</v>
      </c>
      <c r="BI574">
        <v>0.97018599999999999</v>
      </c>
      <c r="BJ574">
        <v>0.96804500000000004</v>
      </c>
      <c r="BK574">
        <v>0.97435899999999998</v>
      </c>
      <c r="BL574">
        <v>0.94906800000000002</v>
      </c>
      <c r="BM574">
        <v>0.93984999999999996</v>
      </c>
      <c r="BN574">
        <v>0.96703300000000003</v>
      </c>
      <c r="BO574">
        <v>0.96585399999999999</v>
      </c>
      <c r="BP574">
        <v>0.96309999999999996</v>
      </c>
      <c r="BQ574">
        <v>0.97122299999999995</v>
      </c>
      <c r="BR574">
        <v>0.164794</v>
      </c>
      <c r="BS574">
        <v>27.041198999999999</v>
      </c>
      <c r="BT574">
        <v>50</v>
      </c>
      <c r="BU574">
        <v>0.22433500000000001</v>
      </c>
      <c r="BV574">
        <v>15.13308</v>
      </c>
      <c r="BW574">
        <v>50</v>
      </c>
      <c r="BX574" t="s">
        <v>125</v>
      </c>
      <c r="BY574" t="s">
        <v>125</v>
      </c>
      <c r="BZ574" t="s">
        <v>125</v>
      </c>
      <c r="CA574" t="s">
        <v>125</v>
      </c>
      <c r="CB574" t="s">
        <v>125</v>
      </c>
      <c r="CC574" t="s">
        <v>125</v>
      </c>
      <c r="CD574">
        <v>0.90977399999999997</v>
      </c>
      <c r="CE574">
        <v>48.392257000000001</v>
      </c>
      <c r="CF574">
        <v>50</v>
      </c>
      <c r="CG574" t="s">
        <v>125</v>
      </c>
      <c r="CH574" t="s">
        <v>125</v>
      </c>
      <c r="CI574" t="s">
        <v>125</v>
      </c>
      <c r="CJ574" t="s">
        <v>125</v>
      </c>
      <c r="CK574" t="s">
        <v>125</v>
      </c>
      <c r="CL574" t="s">
        <v>125</v>
      </c>
      <c r="CM574" t="s">
        <v>125</v>
      </c>
      <c r="CN574" t="s">
        <v>125</v>
      </c>
      <c r="CO574" t="s">
        <v>125</v>
      </c>
      <c r="CP574" t="s">
        <v>125</v>
      </c>
      <c r="CQ574">
        <v>0.28378399999999998</v>
      </c>
      <c r="CR574">
        <v>0.90024300000000002</v>
      </c>
      <c r="CS574">
        <v>18.918918999999999</v>
      </c>
      <c r="CT574">
        <v>50</v>
      </c>
      <c r="CU574" t="s">
        <v>125</v>
      </c>
      <c r="CV574" t="s">
        <v>125</v>
      </c>
      <c r="CW574" t="s">
        <v>125</v>
      </c>
      <c r="CX574" t="s">
        <v>125</v>
      </c>
      <c r="CY574" t="s">
        <v>125</v>
      </c>
      <c r="CZ574" t="s">
        <v>125</v>
      </c>
      <c r="DA574">
        <v>15.314097</v>
      </c>
      <c r="DB574">
        <v>17.400950000000002</v>
      </c>
      <c r="DC574">
        <v>16.332519999999999</v>
      </c>
      <c r="DD574" t="s">
        <v>125</v>
      </c>
      <c r="DE574">
        <v>1</v>
      </c>
      <c r="DF574" t="s">
        <v>376</v>
      </c>
      <c r="DG574" t="s">
        <v>377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Q574" t="s">
        <v>126</v>
      </c>
    </row>
    <row r="575" spans="1:121" x14ac:dyDescent="0.15">
      <c r="A575">
        <v>2018</v>
      </c>
      <c r="B575" t="s">
        <v>257</v>
      </c>
      <c r="C575" t="str">
        <f t="shared" si="20"/>
        <v>0770011</v>
      </c>
      <c r="D575" t="s">
        <v>731</v>
      </c>
      <c r="E575" t="str">
        <f>"0770611"</f>
        <v>0770611</v>
      </c>
      <c r="F575" t="s">
        <v>328</v>
      </c>
      <c r="G575" t="s">
        <v>329</v>
      </c>
      <c r="H575">
        <v>4</v>
      </c>
      <c r="J575" t="s">
        <v>331</v>
      </c>
      <c r="K575">
        <v>426.83587499999999</v>
      </c>
      <c r="L575">
        <v>750</v>
      </c>
      <c r="M575">
        <v>56.911450000000002</v>
      </c>
      <c r="N575">
        <v>4</v>
      </c>
      <c r="O575">
        <v>1</v>
      </c>
      <c r="P575">
        <v>66.167996000000002</v>
      </c>
      <c r="Q575">
        <v>44.111997000000002</v>
      </c>
      <c r="R575">
        <v>50</v>
      </c>
      <c r="S575">
        <v>59.049793000000001</v>
      </c>
      <c r="T575">
        <v>75</v>
      </c>
      <c r="U575">
        <v>39.366529</v>
      </c>
      <c r="V575">
        <v>50</v>
      </c>
      <c r="W575">
        <v>59.872740999999998</v>
      </c>
      <c r="X575">
        <v>39.91516</v>
      </c>
      <c r="Y575">
        <v>50</v>
      </c>
      <c r="Z575">
        <v>72.239198000000002</v>
      </c>
      <c r="AA575">
        <v>51.710878999999998</v>
      </c>
      <c r="AB575">
        <v>34.473919000000002</v>
      </c>
      <c r="AC575">
        <v>50</v>
      </c>
      <c r="AD575" t="s">
        <v>125</v>
      </c>
      <c r="AE575" t="s">
        <v>125</v>
      </c>
      <c r="AF575" t="s">
        <v>125</v>
      </c>
      <c r="AG575" t="s">
        <v>125</v>
      </c>
      <c r="AH575" t="s">
        <v>125</v>
      </c>
      <c r="AI575" t="s">
        <v>125</v>
      </c>
      <c r="AJ575" t="s">
        <v>125</v>
      </c>
      <c r="AK575">
        <v>15.95</v>
      </c>
      <c r="AL575">
        <v>20.52</v>
      </c>
      <c r="AM575" t="s">
        <v>125</v>
      </c>
      <c r="AN575">
        <v>0.59339699999999995</v>
      </c>
      <c r="AO575">
        <v>59.339727000000003</v>
      </c>
      <c r="AP575">
        <v>100</v>
      </c>
      <c r="AQ575">
        <v>0.52836399999999994</v>
      </c>
      <c r="AR575">
        <v>52.836371999999997</v>
      </c>
      <c r="AS575">
        <v>100</v>
      </c>
      <c r="AT575">
        <v>0.53384200000000004</v>
      </c>
      <c r="AU575" t="s">
        <v>125</v>
      </c>
      <c r="AV575">
        <v>53.384196000000003</v>
      </c>
      <c r="AW575">
        <v>100</v>
      </c>
      <c r="AX575">
        <v>0.47098200000000001</v>
      </c>
      <c r="AY575" t="s">
        <v>125</v>
      </c>
      <c r="AZ575">
        <v>47.098180999999997</v>
      </c>
      <c r="BA575">
        <v>100</v>
      </c>
      <c r="BB575" t="s">
        <v>125</v>
      </c>
      <c r="BC575" t="s">
        <v>125</v>
      </c>
      <c r="BD575" t="s">
        <v>125</v>
      </c>
      <c r="BE575" t="s">
        <v>125</v>
      </c>
      <c r="BF575" t="s">
        <v>125</v>
      </c>
      <c r="BG575" t="s">
        <v>125</v>
      </c>
      <c r="BH575">
        <v>1</v>
      </c>
      <c r="BI575">
        <v>0.97</v>
      </c>
      <c r="BJ575">
        <v>0.95161300000000004</v>
      </c>
      <c r="BK575">
        <v>1</v>
      </c>
      <c r="BL575">
        <v>0.94898000000000005</v>
      </c>
      <c r="BM575">
        <v>0.93548399999999998</v>
      </c>
      <c r="BN575">
        <v>0.97222200000000003</v>
      </c>
      <c r="BO575" t="s">
        <v>125</v>
      </c>
      <c r="BP575" t="s">
        <v>125</v>
      </c>
      <c r="BQ575" t="s">
        <v>125</v>
      </c>
      <c r="BR575">
        <v>0.13944200000000001</v>
      </c>
      <c r="BS575">
        <v>32.111553999999998</v>
      </c>
      <c r="BT575">
        <v>50</v>
      </c>
      <c r="BU575">
        <v>0.223881</v>
      </c>
      <c r="BV575">
        <v>15.223881</v>
      </c>
      <c r="BW575">
        <v>50</v>
      </c>
      <c r="BX575" t="s">
        <v>125</v>
      </c>
      <c r="BY575" t="s">
        <v>125</v>
      </c>
      <c r="BZ575" t="s">
        <v>125</v>
      </c>
      <c r="CA575" t="s">
        <v>125</v>
      </c>
      <c r="CB575" t="s">
        <v>125</v>
      </c>
      <c r="CC575" t="s">
        <v>125</v>
      </c>
      <c r="CD575" t="s">
        <v>125</v>
      </c>
      <c r="CE575" t="s">
        <v>125</v>
      </c>
      <c r="CF575" t="s">
        <v>125</v>
      </c>
      <c r="CG575" t="s">
        <v>125</v>
      </c>
      <c r="CH575" t="s">
        <v>125</v>
      </c>
      <c r="CI575" t="s">
        <v>125</v>
      </c>
      <c r="CJ575" t="s">
        <v>125</v>
      </c>
      <c r="CK575" t="s">
        <v>125</v>
      </c>
      <c r="CL575" t="s">
        <v>125</v>
      </c>
      <c r="CM575" t="s">
        <v>125</v>
      </c>
      <c r="CN575" t="s">
        <v>125</v>
      </c>
      <c r="CO575" t="s">
        <v>125</v>
      </c>
      <c r="CP575" t="s">
        <v>125</v>
      </c>
      <c r="CQ575">
        <v>0.13461500000000001</v>
      </c>
      <c r="CR575">
        <v>1.04</v>
      </c>
      <c r="CS575">
        <v>8.9743589999999998</v>
      </c>
      <c r="CT575">
        <v>50</v>
      </c>
      <c r="CU575" t="s">
        <v>125</v>
      </c>
      <c r="CV575" t="s">
        <v>125</v>
      </c>
      <c r="CW575" t="s">
        <v>125</v>
      </c>
      <c r="CX575" t="s">
        <v>125</v>
      </c>
      <c r="CY575" t="s">
        <v>125</v>
      </c>
      <c r="CZ575" t="s">
        <v>125</v>
      </c>
      <c r="DA575">
        <v>15.314097</v>
      </c>
      <c r="DB575">
        <v>17.400950000000002</v>
      </c>
      <c r="DC575">
        <v>16.332519999999999</v>
      </c>
      <c r="DD575" t="s">
        <v>125</v>
      </c>
      <c r="DE575">
        <v>1</v>
      </c>
      <c r="DF575" t="s">
        <v>385</v>
      </c>
      <c r="DG575" t="s">
        <v>418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Q575" t="s">
        <v>126</v>
      </c>
    </row>
    <row r="576" spans="1:121" x14ac:dyDescent="0.15">
      <c r="A576">
        <v>2018</v>
      </c>
      <c r="B576" t="s">
        <v>257</v>
      </c>
      <c r="C576" t="str">
        <f t="shared" si="20"/>
        <v>0770011</v>
      </c>
      <c r="D576" t="s">
        <v>732</v>
      </c>
      <c r="E576" t="str">
        <f>"0776111"</f>
        <v>0776111</v>
      </c>
      <c r="F576" t="s">
        <v>328</v>
      </c>
      <c r="G576">
        <v>9</v>
      </c>
      <c r="H576">
        <v>12</v>
      </c>
      <c r="J576" t="s">
        <v>331</v>
      </c>
      <c r="K576">
        <v>1058.644053</v>
      </c>
      <c r="L576">
        <v>1550</v>
      </c>
      <c r="M576">
        <v>68.299616</v>
      </c>
      <c r="N576">
        <v>3</v>
      </c>
      <c r="O576">
        <v>0</v>
      </c>
      <c r="P576">
        <v>52.547795000000001</v>
      </c>
      <c r="Q576">
        <v>105.095591</v>
      </c>
      <c r="R576">
        <v>150</v>
      </c>
      <c r="S576">
        <v>47.210011999999999</v>
      </c>
      <c r="T576">
        <v>59.852130000000002</v>
      </c>
      <c r="U576">
        <v>94.420023999999998</v>
      </c>
      <c r="V576">
        <v>150</v>
      </c>
      <c r="W576">
        <v>50.867725</v>
      </c>
      <c r="X576">
        <v>101.73545</v>
      </c>
      <c r="Y576">
        <v>150</v>
      </c>
      <c r="Z576">
        <v>58.184210999999998</v>
      </c>
      <c r="AA576">
        <v>45.521062000000001</v>
      </c>
      <c r="AB576">
        <v>91.042124999999999</v>
      </c>
      <c r="AC576">
        <v>150</v>
      </c>
      <c r="AD576">
        <v>47.938927</v>
      </c>
      <c r="AE576">
        <v>63.918568999999998</v>
      </c>
      <c r="AF576">
        <v>100</v>
      </c>
      <c r="AG576">
        <v>44.096314999999997</v>
      </c>
      <c r="AH576">
        <v>53.301378</v>
      </c>
      <c r="AI576">
        <v>58.795087000000002</v>
      </c>
      <c r="AJ576">
        <v>100</v>
      </c>
      <c r="AK576">
        <v>12.64</v>
      </c>
      <c r="AL576">
        <v>12.66</v>
      </c>
      <c r="AM576">
        <v>9.1999999999999993</v>
      </c>
      <c r="AN576" t="s">
        <v>125</v>
      </c>
      <c r="AO576" t="s">
        <v>125</v>
      </c>
      <c r="AP576" t="s">
        <v>125</v>
      </c>
      <c r="AQ576" t="s">
        <v>125</v>
      </c>
      <c r="AR576" t="s">
        <v>125</v>
      </c>
      <c r="AS576" t="s">
        <v>125</v>
      </c>
      <c r="AT576" t="s">
        <v>125</v>
      </c>
      <c r="AU576" t="s">
        <v>125</v>
      </c>
      <c r="AV576" t="s">
        <v>125</v>
      </c>
      <c r="AW576" t="s">
        <v>125</v>
      </c>
      <c r="AX576" t="s">
        <v>125</v>
      </c>
      <c r="AY576" t="s">
        <v>125</v>
      </c>
      <c r="AZ576" t="s">
        <v>125</v>
      </c>
      <c r="BA576" t="s">
        <v>125</v>
      </c>
      <c r="BB576">
        <v>0.51513399999999998</v>
      </c>
      <c r="BC576">
        <v>25.756719</v>
      </c>
      <c r="BD576">
        <v>50</v>
      </c>
      <c r="BE576">
        <v>0.58374300000000001</v>
      </c>
      <c r="BF576">
        <v>29.187159000000001</v>
      </c>
      <c r="BG576">
        <v>50</v>
      </c>
      <c r="BH576">
        <v>1</v>
      </c>
      <c r="BI576">
        <v>0.93820199999999998</v>
      </c>
      <c r="BJ576">
        <v>0.92924499999999999</v>
      </c>
      <c r="BK576">
        <v>0.95138900000000004</v>
      </c>
      <c r="BL576">
        <v>0.93820199999999998</v>
      </c>
      <c r="BM576">
        <v>0.92924499999999999</v>
      </c>
      <c r="BN576">
        <v>0.95138900000000004</v>
      </c>
      <c r="BO576">
        <v>0.96056299999999994</v>
      </c>
      <c r="BP576">
        <v>0.95734600000000003</v>
      </c>
      <c r="BQ576">
        <v>0.96527799999999997</v>
      </c>
      <c r="BR576">
        <v>0.18847800000000001</v>
      </c>
      <c r="BS576">
        <v>22.304321000000002</v>
      </c>
      <c r="BT576">
        <v>50</v>
      </c>
      <c r="BU576">
        <v>0.25077700000000003</v>
      </c>
      <c r="BV576">
        <v>9.8445599999999995</v>
      </c>
      <c r="BW576">
        <v>50</v>
      </c>
      <c r="BX576">
        <v>0.937581</v>
      </c>
      <c r="BY576">
        <v>50</v>
      </c>
      <c r="BZ576">
        <v>50</v>
      </c>
      <c r="CA576">
        <v>0.31729499999999999</v>
      </c>
      <c r="CB576">
        <v>21.153013000000001</v>
      </c>
      <c r="CC576">
        <v>50</v>
      </c>
      <c r="CD576">
        <v>0.84666699999999995</v>
      </c>
      <c r="CE576">
        <v>45.035460999999998</v>
      </c>
      <c r="CF576">
        <v>50</v>
      </c>
      <c r="CG576">
        <v>0.88828300000000004</v>
      </c>
      <c r="CH576">
        <v>94.498232000000002</v>
      </c>
      <c r="CI576">
        <v>100</v>
      </c>
      <c r="CJ576">
        <v>0</v>
      </c>
      <c r="CK576">
        <v>0.90825699999999998</v>
      </c>
      <c r="CL576">
        <v>96.623071999999993</v>
      </c>
      <c r="CM576">
        <v>100</v>
      </c>
      <c r="CN576">
        <v>0.60177000000000003</v>
      </c>
      <c r="CO576">
        <v>80.235988000000006</v>
      </c>
      <c r="CP576">
        <v>100</v>
      </c>
      <c r="CQ576">
        <v>0.41898099999999999</v>
      </c>
      <c r="CR576">
        <v>1.125</v>
      </c>
      <c r="CS576">
        <v>27.932099000000001</v>
      </c>
      <c r="CT576">
        <v>50</v>
      </c>
      <c r="CU576">
        <v>0.49279899999999999</v>
      </c>
      <c r="CV576">
        <v>41.066583000000001</v>
      </c>
      <c r="CW576">
        <v>50</v>
      </c>
      <c r="CX576">
        <v>0.90825699999999998</v>
      </c>
      <c r="CY576">
        <v>0.94</v>
      </c>
      <c r="CZ576">
        <v>3.1743E-2</v>
      </c>
      <c r="DA576">
        <v>15.314097</v>
      </c>
      <c r="DB576">
        <v>17.400950000000002</v>
      </c>
      <c r="DC576">
        <v>16.332519999999999</v>
      </c>
      <c r="DD576">
        <v>7.9891730000000001</v>
      </c>
      <c r="DE576">
        <v>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Q576" t="s">
        <v>126</v>
      </c>
    </row>
    <row r="577" spans="1:121" x14ac:dyDescent="0.15">
      <c r="A577">
        <v>2018</v>
      </c>
      <c r="B577" t="s">
        <v>257</v>
      </c>
      <c r="C577" t="str">
        <f t="shared" si="20"/>
        <v>0770011</v>
      </c>
      <c r="D577" t="s">
        <v>733</v>
      </c>
      <c r="E577" t="str">
        <f>"0771611"</f>
        <v>0771611</v>
      </c>
      <c r="F577" t="s">
        <v>328</v>
      </c>
      <c r="G577" t="s">
        <v>339</v>
      </c>
      <c r="H577">
        <v>4</v>
      </c>
      <c r="I577" t="s">
        <v>336</v>
      </c>
      <c r="J577" t="s">
        <v>331</v>
      </c>
      <c r="K577">
        <v>430.24796600000002</v>
      </c>
      <c r="L577">
        <v>750</v>
      </c>
      <c r="M577">
        <v>57.366396000000002</v>
      </c>
      <c r="N577">
        <v>3</v>
      </c>
      <c r="O577">
        <v>1</v>
      </c>
      <c r="P577">
        <v>62.817709999999998</v>
      </c>
      <c r="Q577">
        <v>41.878473999999997</v>
      </c>
      <c r="R577">
        <v>50</v>
      </c>
      <c r="S577">
        <v>56.386062000000003</v>
      </c>
      <c r="T577">
        <v>73.411012999999997</v>
      </c>
      <c r="U577">
        <v>37.590707999999999</v>
      </c>
      <c r="V577">
        <v>50</v>
      </c>
      <c r="W577">
        <v>55.879508000000001</v>
      </c>
      <c r="X577">
        <v>37.253005000000002</v>
      </c>
      <c r="Y577">
        <v>50</v>
      </c>
      <c r="Z577">
        <v>67.767149000000003</v>
      </c>
      <c r="AA577">
        <v>48.662011</v>
      </c>
      <c r="AB577">
        <v>32.441339999999997</v>
      </c>
      <c r="AC577">
        <v>50</v>
      </c>
      <c r="AD577" t="s">
        <v>125</v>
      </c>
      <c r="AE577" t="s">
        <v>125</v>
      </c>
      <c r="AF577" t="s">
        <v>125</v>
      </c>
      <c r="AG577" t="s">
        <v>125</v>
      </c>
      <c r="AH577" t="s">
        <v>125</v>
      </c>
      <c r="AI577" t="s">
        <v>125</v>
      </c>
      <c r="AJ577" t="s">
        <v>125</v>
      </c>
      <c r="AK577">
        <v>17.02</v>
      </c>
      <c r="AL577">
        <v>19.100000000000001</v>
      </c>
      <c r="AM577" t="s">
        <v>125</v>
      </c>
      <c r="AN577">
        <v>0.57325700000000002</v>
      </c>
      <c r="AO577">
        <v>57.325727000000001</v>
      </c>
      <c r="AP577">
        <v>100</v>
      </c>
      <c r="AQ577">
        <v>0.482435</v>
      </c>
      <c r="AR577">
        <v>48.243504000000001</v>
      </c>
      <c r="AS577">
        <v>100</v>
      </c>
      <c r="AT577">
        <v>0.56198300000000001</v>
      </c>
      <c r="AU577" t="s">
        <v>125</v>
      </c>
      <c r="AV577">
        <v>56.198338</v>
      </c>
      <c r="AW577">
        <v>100</v>
      </c>
      <c r="AX577">
        <v>0.51362300000000005</v>
      </c>
      <c r="AY577" t="s">
        <v>125</v>
      </c>
      <c r="AZ577">
        <v>51.362336999999997</v>
      </c>
      <c r="BA577">
        <v>100</v>
      </c>
      <c r="BB577" t="s">
        <v>125</v>
      </c>
      <c r="BC577" t="s">
        <v>125</v>
      </c>
      <c r="BD577" t="s">
        <v>125</v>
      </c>
      <c r="BE577" t="s">
        <v>125</v>
      </c>
      <c r="BF577" t="s">
        <v>125</v>
      </c>
      <c r="BG577" t="s">
        <v>125</v>
      </c>
      <c r="BH577">
        <v>0</v>
      </c>
      <c r="BI577">
        <v>0.97938099999999995</v>
      </c>
      <c r="BJ577">
        <v>0.98387100000000005</v>
      </c>
      <c r="BK577">
        <v>0.97142899999999999</v>
      </c>
      <c r="BL577">
        <v>0.97959200000000002</v>
      </c>
      <c r="BM577">
        <v>0.98387100000000005</v>
      </c>
      <c r="BN577">
        <v>0.97222200000000003</v>
      </c>
      <c r="BO577" t="s">
        <v>125</v>
      </c>
      <c r="BP577" t="s">
        <v>125</v>
      </c>
      <c r="BQ577" t="s">
        <v>125</v>
      </c>
      <c r="BR577">
        <v>0.144737</v>
      </c>
      <c r="BS577">
        <v>31.052631999999999</v>
      </c>
      <c r="BT577">
        <v>50</v>
      </c>
      <c r="BU577">
        <v>0.175676</v>
      </c>
      <c r="BV577">
        <v>24.864865000000002</v>
      </c>
      <c r="BW577">
        <v>50</v>
      </c>
      <c r="BX577" t="s">
        <v>125</v>
      </c>
      <c r="BY577" t="s">
        <v>125</v>
      </c>
      <c r="BZ577" t="s">
        <v>125</v>
      </c>
      <c r="CA577" t="s">
        <v>125</v>
      </c>
      <c r="CB577" t="s">
        <v>125</v>
      </c>
      <c r="CC577" t="s">
        <v>125</v>
      </c>
      <c r="CD577" t="s">
        <v>125</v>
      </c>
      <c r="CE577" t="s">
        <v>125</v>
      </c>
      <c r="CF577" t="s">
        <v>125</v>
      </c>
      <c r="CG577" t="s">
        <v>125</v>
      </c>
      <c r="CH577" t="s">
        <v>125</v>
      </c>
      <c r="CI577" t="s">
        <v>125</v>
      </c>
      <c r="CJ577" t="s">
        <v>125</v>
      </c>
      <c r="CK577" t="s">
        <v>125</v>
      </c>
      <c r="CL577" t="s">
        <v>125</v>
      </c>
      <c r="CM577" t="s">
        <v>125</v>
      </c>
      <c r="CN577" t="s">
        <v>125</v>
      </c>
      <c r="CO577" t="s">
        <v>125</v>
      </c>
      <c r="CP577" t="s">
        <v>125</v>
      </c>
      <c r="CQ577">
        <v>0.36111100000000002</v>
      </c>
      <c r="CR577">
        <v>0.8</v>
      </c>
      <c r="CS577">
        <v>12.037037</v>
      </c>
      <c r="CT577">
        <v>50</v>
      </c>
      <c r="CU577" t="s">
        <v>125</v>
      </c>
      <c r="CV577" t="s">
        <v>125</v>
      </c>
      <c r="CW577" t="s">
        <v>125</v>
      </c>
      <c r="CX577" t="s">
        <v>125</v>
      </c>
      <c r="CY577" t="s">
        <v>125</v>
      </c>
      <c r="CZ577" t="s">
        <v>125</v>
      </c>
      <c r="DA577">
        <v>15.314097</v>
      </c>
      <c r="DB577">
        <v>17.400950000000002</v>
      </c>
      <c r="DC577">
        <v>16.332519999999999</v>
      </c>
      <c r="DD577" t="s">
        <v>125</v>
      </c>
      <c r="DE577">
        <v>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Q577" t="s">
        <v>126</v>
      </c>
    </row>
    <row r="578" spans="1:121" x14ac:dyDescent="0.15">
      <c r="A578">
        <v>2018</v>
      </c>
      <c r="B578" t="s">
        <v>257</v>
      </c>
      <c r="C578" t="str">
        <f t="shared" si="20"/>
        <v>0770011</v>
      </c>
      <c r="D578" t="s">
        <v>734</v>
      </c>
      <c r="E578" t="str">
        <f>"0771211"</f>
        <v>0771211</v>
      </c>
      <c r="F578" t="s">
        <v>328</v>
      </c>
      <c r="G578" t="s">
        <v>339</v>
      </c>
      <c r="H578">
        <v>4</v>
      </c>
      <c r="I578" t="s">
        <v>336</v>
      </c>
      <c r="J578" t="s">
        <v>331</v>
      </c>
      <c r="K578">
        <v>523.54920800000002</v>
      </c>
      <c r="L578">
        <v>850</v>
      </c>
      <c r="M578">
        <v>61.594023999999997</v>
      </c>
      <c r="N578">
        <v>3</v>
      </c>
      <c r="O578">
        <v>0</v>
      </c>
      <c r="P578">
        <v>59.886710999999998</v>
      </c>
      <c r="Q578">
        <v>39.924473999999996</v>
      </c>
      <c r="R578">
        <v>50</v>
      </c>
      <c r="S578">
        <v>58.992750000000001</v>
      </c>
      <c r="T578" t="s">
        <v>125</v>
      </c>
      <c r="U578">
        <v>39.328499999999998</v>
      </c>
      <c r="V578">
        <v>50</v>
      </c>
      <c r="W578">
        <v>57.059632999999998</v>
      </c>
      <c r="X578">
        <v>38.039755</v>
      </c>
      <c r="Y578">
        <v>50</v>
      </c>
      <c r="Z578" t="s">
        <v>125</v>
      </c>
      <c r="AA578">
        <v>56.189943999999997</v>
      </c>
      <c r="AB578">
        <v>37.459963000000002</v>
      </c>
      <c r="AC578">
        <v>50</v>
      </c>
      <c r="AD578" t="s">
        <v>125</v>
      </c>
      <c r="AE578" t="s">
        <v>125</v>
      </c>
      <c r="AF578" t="s">
        <v>125</v>
      </c>
      <c r="AG578" t="s">
        <v>125</v>
      </c>
      <c r="AH578" t="s">
        <v>125</v>
      </c>
      <c r="AI578" t="s">
        <v>125</v>
      </c>
      <c r="AJ578" t="s">
        <v>125</v>
      </c>
      <c r="AK578" t="s">
        <v>125</v>
      </c>
      <c r="AL578" t="s">
        <v>125</v>
      </c>
      <c r="AM578" t="s">
        <v>125</v>
      </c>
      <c r="AN578">
        <v>0.53774</v>
      </c>
      <c r="AO578">
        <v>53.774006</v>
      </c>
      <c r="AP578">
        <v>100</v>
      </c>
      <c r="AQ578">
        <v>0.72628599999999999</v>
      </c>
      <c r="AR578">
        <v>72.628641999999999</v>
      </c>
      <c r="AS578">
        <v>100</v>
      </c>
      <c r="AT578">
        <v>0.53854400000000002</v>
      </c>
      <c r="AU578" t="s">
        <v>125</v>
      </c>
      <c r="AV578">
        <v>53.854435000000002</v>
      </c>
      <c r="AW578">
        <v>100</v>
      </c>
      <c r="AX578">
        <v>0.74183600000000005</v>
      </c>
      <c r="AY578" t="s">
        <v>125</v>
      </c>
      <c r="AZ578">
        <v>74.18356</v>
      </c>
      <c r="BA578">
        <v>100</v>
      </c>
      <c r="BB578">
        <v>0.757853</v>
      </c>
      <c r="BC578">
        <v>37.892654999999998</v>
      </c>
      <c r="BD578">
        <v>50</v>
      </c>
      <c r="BE578">
        <v>0.559388</v>
      </c>
      <c r="BF578">
        <v>27.969414</v>
      </c>
      <c r="BG578">
        <v>50</v>
      </c>
      <c r="BH578">
        <v>0</v>
      </c>
      <c r="BI578">
        <v>0.96774199999999999</v>
      </c>
      <c r="BJ578">
        <v>0.97196300000000002</v>
      </c>
      <c r="BK578" t="s">
        <v>125</v>
      </c>
      <c r="BL578">
        <v>0.96748000000000001</v>
      </c>
      <c r="BM578">
        <v>0.97169799999999995</v>
      </c>
      <c r="BN578" t="s">
        <v>125</v>
      </c>
      <c r="BO578" t="s">
        <v>125</v>
      </c>
      <c r="BP578" t="s">
        <v>125</v>
      </c>
      <c r="BQ578" t="s">
        <v>125</v>
      </c>
      <c r="BR578">
        <v>0.20608099999999999</v>
      </c>
      <c r="BS578">
        <v>18.783784000000001</v>
      </c>
      <c r="BT578">
        <v>50</v>
      </c>
      <c r="BU578">
        <v>0.21317800000000001</v>
      </c>
      <c r="BV578">
        <v>17.364341</v>
      </c>
      <c r="BW578">
        <v>50</v>
      </c>
      <c r="BX578" t="s">
        <v>125</v>
      </c>
      <c r="BY578" t="s">
        <v>125</v>
      </c>
      <c r="BZ578" t="s">
        <v>125</v>
      </c>
      <c r="CA578" t="s">
        <v>125</v>
      </c>
      <c r="CB578" t="s">
        <v>125</v>
      </c>
      <c r="CC578" t="s">
        <v>125</v>
      </c>
      <c r="CD578" t="s">
        <v>125</v>
      </c>
      <c r="CE578" t="s">
        <v>125</v>
      </c>
      <c r="CF578" t="s">
        <v>125</v>
      </c>
      <c r="CG578" t="s">
        <v>125</v>
      </c>
      <c r="CH578" t="s">
        <v>125</v>
      </c>
      <c r="CI578" t="s">
        <v>125</v>
      </c>
      <c r="CJ578" t="s">
        <v>125</v>
      </c>
      <c r="CK578" t="s">
        <v>125</v>
      </c>
      <c r="CL578" t="s">
        <v>125</v>
      </c>
      <c r="CM578" t="s">
        <v>125</v>
      </c>
      <c r="CN578" t="s">
        <v>125</v>
      </c>
      <c r="CO578" t="s">
        <v>125</v>
      </c>
      <c r="CP578" t="s">
        <v>125</v>
      </c>
      <c r="CQ578">
        <v>0.18518499999999999</v>
      </c>
      <c r="CR578">
        <v>0.91525400000000001</v>
      </c>
      <c r="CS578">
        <v>12.345679000000001</v>
      </c>
      <c r="CT578">
        <v>50</v>
      </c>
      <c r="CU578" t="s">
        <v>125</v>
      </c>
      <c r="CV578" t="s">
        <v>125</v>
      </c>
      <c r="CW578" t="s">
        <v>125</v>
      </c>
      <c r="CX578" t="s">
        <v>125</v>
      </c>
      <c r="CY578" t="s">
        <v>125</v>
      </c>
      <c r="CZ578" t="s">
        <v>125</v>
      </c>
      <c r="DA578">
        <v>15.314097</v>
      </c>
      <c r="DB578">
        <v>17.400950000000002</v>
      </c>
      <c r="DC578">
        <v>16.332519999999999</v>
      </c>
      <c r="DD578" t="s">
        <v>125</v>
      </c>
      <c r="DE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Q578" t="s">
        <v>126</v>
      </c>
    </row>
    <row r="579" spans="1:121" x14ac:dyDescent="0.15">
      <c r="A579">
        <v>2018</v>
      </c>
      <c r="B579" t="s">
        <v>257</v>
      </c>
      <c r="C579" t="str">
        <f t="shared" si="20"/>
        <v>0770011</v>
      </c>
      <c r="D579" t="s">
        <v>735</v>
      </c>
      <c r="E579" t="str">
        <f>"0771311"</f>
        <v>0771311</v>
      </c>
      <c r="F579" t="s">
        <v>328</v>
      </c>
      <c r="G579" t="s">
        <v>339</v>
      </c>
      <c r="H579">
        <v>4</v>
      </c>
      <c r="I579" t="s">
        <v>336</v>
      </c>
      <c r="J579" t="s">
        <v>331</v>
      </c>
      <c r="K579">
        <v>606.61823600000002</v>
      </c>
      <c r="L579">
        <v>850</v>
      </c>
      <c r="M579">
        <v>71.366850999999997</v>
      </c>
      <c r="N579">
        <v>2</v>
      </c>
      <c r="O579">
        <v>0</v>
      </c>
      <c r="P579">
        <v>66.914694999999995</v>
      </c>
      <c r="Q579">
        <v>44.609797</v>
      </c>
      <c r="R579">
        <v>50</v>
      </c>
      <c r="S579">
        <v>64.529223000000002</v>
      </c>
      <c r="T579">
        <v>74.342187999999993</v>
      </c>
      <c r="U579">
        <v>43.019482000000004</v>
      </c>
      <c r="V579">
        <v>50</v>
      </c>
      <c r="W579">
        <v>62.150078999999998</v>
      </c>
      <c r="X579">
        <v>41.433385999999999</v>
      </c>
      <c r="Y579">
        <v>50</v>
      </c>
      <c r="Z579">
        <v>70.030843000000004</v>
      </c>
      <c r="AA579">
        <v>59.581533999999998</v>
      </c>
      <c r="AB579">
        <v>39.721023000000002</v>
      </c>
      <c r="AC579">
        <v>50</v>
      </c>
      <c r="AD579" t="s">
        <v>125</v>
      </c>
      <c r="AE579" t="s">
        <v>125</v>
      </c>
      <c r="AF579" t="s">
        <v>125</v>
      </c>
      <c r="AG579" t="s">
        <v>125</v>
      </c>
      <c r="AH579" t="s">
        <v>125</v>
      </c>
      <c r="AI579" t="s">
        <v>125</v>
      </c>
      <c r="AJ579" t="s">
        <v>125</v>
      </c>
      <c r="AK579">
        <v>9.81</v>
      </c>
      <c r="AL579">
        <v>10.44</v>
      </c>
      <c r="AM579" t="s">
        <v>125</v>
      </c>
      <c r="AN579">
        <v>0.67233600000000004</v>
      </c>
      <c r="AO579">
        <v>67.233591000000004</v>
      </c>
      <c r="AP579">
        <v>100</v>
      </c>
      <c r="AQ579">
        <v>0.75229199999999996</v>
      </c>
      <c r="AR579">
        <v>75.229202000000001</v>
      </c>
      <c r="AS579">
        <v>100</v>
      </c>
      <c r="AT579">
        <v>0.68907099999999999</v>
      </c>
      <c r="AU579">
        <v>0.62770899999999996</v>
      </c>
      <c r="AV579">
        <v>68.907105999999999</v>
      </c>
      <c r="AW579">
        <v>100</v>
      </c>
      <c r="AX579">
        <v>0.74759100000000001</v>
      </c>
      <c r="AY579">
        <v>0.76465499999999997</v>
      </c>
      <c r="AZ579">
        <v>74.759056000000001</v>
      </c>
      <c r="BA579">
        <v>100</v>
      </c>
      <c r="BB579">
        <v>0.773617</v>
      </c>
      <c r="BC579">
        <v>38.680852999999999</v>
      </c>
      <c r="BD579">
        <v>50</v>
      </c>
      <c r="BE579">
        <v>0.63238899999999998</v>
      </c>
      <c r="BF579">
        <v>31.619458999999999</v>
      </c>
      <c r="BG579">
        <v>50</v>
      </c>
      <c r="BH579">
        <v>0</v>
      </c>
      <c r="BI579">
        <v>0.99484499999999998</v>
      </c>
      <c r="BJ579">
        <v>1</v>
      </c>
      <c r="BK579">
        <v>0.98</v>
      </c>
      <c r="BL579">
        <v>0.98963699999999999</v>
      </c>
      <c r="BM579">
        <v>0.99300699999999997</v>
      </c>
      <c r="BN579">
        <v>0.98</v>
      </c>
      <c r="BO579" t="s">
        <v>125</v>
      </c>
      <c r="BP579" t="s">
        <v>125</v>
      </c>
      <c r="BQ579" t="s">
        <v>125</v>
      </c>
      <c r="BR579">
        <v>0.140044</v>
      </c>
      <c r="BS579">
        <v>31.991247000000001</v>
      </c>
      <c r="BT579">
        <v>50</v>
      </c>
      <c r="BU579">
        <v>0.165079</v>
      </c>
      <c r="BV579">
        <v>26.984127000000001</v>
      </c>
      <c r="BW579">
        <v>50</v>
      </c>
      <c r="BX579" t="s">
        <v>125</v>
      </c>
      <c r="BY579" t="s">
        <v>125</v>
      </c>
      <c r="BZ579" t="s">
        <v>125</v>
      </c>
      <c r="CA579" t="s">
        <v>125</v>
      </c>
      <c r="CB579" t="s">
        <v>125</v>
      </c>
      <c r="CC579" t="s">
        <v>125</v>
      </c>
      <c r="CD579" t="s">
        <v>125</v>
      </c>
      <c r="CE579" t="s">
        <v>125</v>
      </c>
      <c r="CF579" t="s">
        <v>125</v>
      </c>
      <c r="CG579" t="s">
        <v>125</v>
      </c>
      <c r="CH579" t="s">
        <v>125</v>
      </c>
      <c r="CI579" t="s">
        <v>125</v>
      </c>
      <c r="CJ579" t="s">
        <v>125</v>
      </c>
      <c r="CK579" t="s">
        <v>125</v>
      </c>
      <c r="CL579" t="s">
        <v>125</v>
      </c>
      <c r="CM579" t="s">
        <v>125</v>
      </c>
      <c r="CN579" t="s">
        <v>125</v>
      </c>
      <c r="CO579" t="s">
        <v>125</v>
      </c>
      <c r="CP579" t="s">
        <v>125</v>
      </c>
      <c r="CQ579">
        <v>0.336449</v>
      </c>
      <c r="CR579">
        <v>1.0094339999999999</v>
      </c>
      <c r="CS579">
        <v>22.429907</v>
      </c>
      <c r="CT579">
        <v>50</v>
      </c>
      <c r="CU579" t="s">
        <v>125</v>
      </c>
      <c r="CV579" t="s">
        <v>125</v>
      </c>
      <c r="CW579" t="s">
        <v>125</v>
      </c>
      <c r="CX579" t="s">
        <v>125</v>
      </c>
      <c r="CY579" t="s">
        <v>125</v>
      </c>
      <c r="CZ579" t="s">
        <v>125</v>
      </c>
      <c r="DA579">
        <v>15.314097</v>
      </c>
      <c r="DB579">
        <v>17.400950000000002</v>
      </c>
      <c r="DC579">
        <v>16.332519999999999</v>
      </c>
      <c r="DD579" t="s">
        <v>125</v>
      </c>
      <c r="DE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Q579" t="s">
        <v>126</v>
      </c>
    </row>
    <row r="580" spans="1:121" x14ac:dyDescent="0.15">
      <c r="A580">
        <v>2018</v>
      </c>
      <c r="B580" t="s">
        <v>257</v>
      </c>
      <c r="C580" t="str">
        <f t="shared" si="20"/>
        <v>0770011</v>
      </c>
      <c r="D580" t="s">
        <v>736</v>
      </c>
      <c r="E580" t="str">
        <f>"0771411"</f>
        <v>0771411</v>
      </c>
      <c r="F580" t="s">
        <v>328</v>
      </c>
      <c r="G580" t="s">
        <v>339</v>
      </c>
      <c r="H580">
        <v>4</v>
      </c>
      <c r="I580" t="s">
        <v>336</v>
      </c>
      <c r="J580" t="s">
        <v>331</v>
      </c>
      <c r="K580">
        <v>330.95710600000001</v>
      </c>
      <c r="L580">
        <v>750</v>
      </c>
      <c r="M580">
        <v>44.127614000000001</v>
      </c>
      <c r="N580">
        <v>5</v>
      </c>
      <c r="O580">
        <v>0</v>
      </c>
      <c r="P580">
        <v>51.852469999999997</v>
      </c>
      <c r="Q580">
        <v>34.568313000000003</v>
      </c>
      <c r="R580">
        <v>50</v>
      </c>
      <c r="S580">
        <v>49.845723</v>
      </c>
      <c r="T580" t="s">
        <v>125</v>
      </c>
      <c r="U580">
        <v>33.230482000000002</v>
      </c>
      <c r="V580">
        <v>50</v>
      </c>
      <c r="W580">
        <v>45.830258000000001</v>
      </c>
      <c r="X580">
        <v>30.553505000000001</v>
      </c>
      <c r="Y580">
        <v>50</v>
      </c>
      <c r="Z580" t="s">
        <v>125</v>
      </c>
      <c r="AA580">
        <v>44.133589000000001</v>
      </c>
      <c r="AB580">
        <v>29.422393</v>
      </c>
      <c r="AC580">
        <v>50</v>
      </c>
      <c r="AD580" t="s">
        <v>125</v>
      </c>
      <c r="AE580" t="s">
        <v>125</v>
      </c>
      <c r="AF580" t="s">
        <v>125</v>
      </c>
      <c r="AG580" t="s">
        <v>125</v>
      </c>
      <c r="AH580" t="s">
        <v>125</v>
      </c>
      <c r="AI580" t="s">
        <v>125</v>
      </c>
      <c r="AJ580" t="s">
        <v>125</v>
      </c>
      <c r="AK580" t="s">
        <v>125</v>
      </c>
      <c r="AL580" t="s">
        <v>125</v>
      </c>
      <c r="AM580" t="s">
        <v>125</v>
      </c>
      <c r="AN580">
        <v>0.38918399999999997</v>
      </c>
      <c r="AO580">
        <v>38.918368999999998</v>
      </c>
      <c r="AP580">
        <v>100</v>
      </c>
      <c r="AQ580">
        <v>0.43664500000000001</v>
      </c>
      <c r="AR580">
        <v>43.664450000000002</v>
      </c>
      <c r="AS580">
        <v>100</v>
      </c>
      <c r="AT580">
        <v>0.384932</v>
      </c>
      <c r="AU580" t="s">
        <v>125</v>
      </c>
      <c r="AV580">
        <v>38.493226999999997</v>
      </c>
      <c r="AW580">
        <v>100</v>
      </c>
      <c r="AX580">
        <v>0.42810199999999998</v>
      </c>
      <c r="AY580" t="s">
        <v>125</v>
      </c>
      <c r="AZ580">
        <v>42.810189999999999</v>
      </c>
      <c r="BA580">
        <v>100</v>
      </c>
      <c r="BB580" t="s">
        <v>125</v>
      </c>
      <c r="BC580" t="s">
        <v>125</v>
      </c>
      <c r="BD580" t="s">
        <v>125</v>
      </c>
      <c r="BE580" t="s">
        <v>125</v>
      </c>
      <c r="BF580" t="s">
        <v>125</v>
      </c>
      <c r="BG580" t="s">
        <v>125</v>
      </c>
      <c r="BH580">
        <v>0</v>
      </c>
      <c r="BI580">
        <v>0.99099099999999996</v>
      </c>
      <c r="BJ580">
        <v>0.98989899999999997</v>
      </c>
      <c r="BK580" t="s">
        <v>125</v>
      </c>
      <c r="BL580">
        <v>0.98198200000000002</v>
      </c>
      <c r="BM580">
        <v>0.97979799999999995</v>
      </c>
      <c r="BN580" t="s">
        <v>125</v>
      </c>
      <c r="BO580" t="s">
        <v>125</v>
      </c>
      <c r="BP580" t="s">
        <v>125</v>
      </c>
      <c r="BQ580" t="s">
        <v>125</v>
      </c>
      <c r="BR580">
        <v>0.24576300000000001</v>
      </c>
      <c r="BS580">
        <v>10.847458</v>
      </c>
      <c r="BT580">
        <v>50</v>
      </c>
      <c r="BU580">
        <v>0.26442300000000002</v>
      </c>
      <c r="BV580">
        <v>7.1153849999999998</v>
      </c>
      <c r="BW580">
        <v>50</v>
      </c>
      <c r="BX580" t="s">
        <v>125</v>
      </c>
      <c r="BY580" t="s">
        <v>125</v>
      </c>
      <c r="BZ580" t="s">
        <v>125</v>
      </c>
      <c r="CA580" t="s">
        <v>125</v>
      </c>
      <c r="CB580" t="s">
        <v>125</v>
      </c>
      <c r="CC580" t="s">
        <v>125</v>
      </c>
      <c r="CD580" t="s">
        <v>125</v>
      </c>
      <c r="CE580" t="s">
        <v>125</v>
      </c>
      <c r="CF580" t="s">
        <v>125</v>
      </c>
      <c r="CG580" t="s">
        <v>125</v>
      </c>
      <c r="CH580" t="s">
        <v>125</v>
      </c>
      <c r="CI580" t="s">
        <v>125</v>
      </c>
      <c r="CJ580" t="s">
        <v>125</v>
      </c>
      <c r="CK580" t="s">
        <v>125</v>
      </c>
      <c r="CL580" t="s">
        <v>125</v>
      </c>
      <c r="CM580" t="s">
        <v>125</v>
      </c>
      <c r="CN580" t="s">
        <v>125</v>
      </c>
      <c r="CO580" t="s">
        <v>125</v>
      </c>
      <c r="CP580" t="s">
        <v>125</v>
      </c>
      <c r="CQ580">
        <v>0.32</v>
      </c>
      <c r="CR580">
        <v>0.961538</v>
      </c>
      <c r="CS580">
        <v>21.333333</v>
      </c>
      <c r="CT580">
        <v>50</v>
      </c>
      <c r="CU580" t="s">
        <v>125</v>
      </c>
      <c r="CV580" t="s">
        <v>125</v>
      </c>
      <c r="CW580" t="s">
        <v>125</v>
      </c>
      <c r="CX580" t="s">
        <v>125</v>
      </c>
      <c r="CY580" t="s">
        <v>125</v>
      </c>
      <c r="CZ580" t="s">
        <v>125</v>
      </c>
      <c r="DA580">
        <v>15.314097</v>
      </c>
      <c r="DB580">
        <v>17.400950000000002</v>
      </c>
      <c r="DC580">
        <v>16.332519999999999</v>
      </c>
      <c r="DD580" t="s">
        <v>125</v>
      </c>
      <c r="DE580">
        <v>0</v>
      </c>
      <c r="DF580" t="s">
        <v>376</v>
      </c>
      <c r="DG580" t="s">
        <v>377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Q580" t="s">
        <v>126</v>
      </c>
    </row>
    <row r="581" spans="1:121" x14ac:dyDescent="0.15">
      <c r="A581">
        <v>2018</v>
      </c>
      <c r="B581" t="s">
        <v>169</v>
      </c>
      <c r="C581" t="str">
        <f>"0780011"</f>
        <v>0780011</v>
      </c>
      <c r="D581" t="s">
        <v>737</v>
      </c>
      <c r="E581" t="str">
        <f>"0780411"</f>
        <v>0780411</v>
      </c>
      <c r="F581" t="s">
        <v>328</v>
      </c>
      <c r="G581" t="s">
        <v>329</v>
      </c>
      <c r="H581">
        <v>4</v>
      </c>
      <c r="J581" t="s">
        <v>331</v>
      </c>
      <c r="K581">
        <v>519.47027500000002</v>
      </c>
      <c r="L581">
        <v>550</v>
      </c>
      <c r="M581">
        <v>94.449140999999997</v>
      </c>
      <c r="N581">
        <v>1</v>
      </c>
      <c r="O581">
        <v>0</v>
      </c>
      <c r="P581">
        <v>81.688913999999997</v>
      </c>
      <c r="Q581">
        <v>50</v>
      </c>
      <c r="R581">
        <v>50</v>
      </c>
      <c r="S581">
        <v>72.183718999999996</v>
      </c>
      <c r="T581">
        <v>75</v>
      </c>
      <c r="U581">
        <v>48.122478999999998</v>
      </c>
      <c r="V581">
        <v>50</v>
      </c>
      <c r="W581">
        <v>80.319424999999995</v>
      </c>
      <c r="X581">
        <v>50</v>
      </c>
      <c r="Y581">
        <v>50</v>
      </c>
      <c r="Z581">
        <v>75</v>
      </c>
      <c r="AA581">
        <v>70.766228999999996</v>
      </c>
      <c r="AB581">
        <v>47.177486000000002</v>
      </c>
      <c r="AC581">
        <v>50</v>
      </c>
      <c r="AD581" t="s">
        <v>125</v>
      </c>
      <c r="AE581" t="s">
        <v>125</v>
      </c>
      <c r="AF581" t="s">
        <v>125</v>
      </c>
      <c r="AG581" t="s">
        <v>125</v>
      </c>
      <c r="AH581" t="s">
        <v>125</v>
      </c>
      <c r="AI581" t="s">
        <v>125</v>
      </c>
      <c r="AJ581" t="s">
        <v>125</v>
      </c>
      <c r="AK581">
        <v>2.81</v>
      </c>
      <c r="AL581">
        <v>4.2300000000000004</v>
      </c>
      <c r="AM581" t="s">
        <v>125</v>
      </c>
      <c r="AN581">
        <v>0.787802</v>
      </c>
      <c r="AO581">
        <v>78.780238999999995</v>
      </c>
      <c r="AP581">
        <v>100</v>
      </c>
      <c r="AQ581">
        <v>1</v>
      </c>
      <c r="AR581">
        <v>100</v>
      </c>
      <c r="AS581">
        <v>100</v>
      </c>
      <c r="AT581" t="s">
        <v>125</v>
      </c>
      <c r="AU581">
        <v>0.86624299999999999</v>
      </c>
      <c r="AV581" t="s">
        <v>125</v>
      </c>
      <c r="AW581" t="s">
        <v>125</v>
      </c>
      <c r="AX581" t="s">
        <v>125</v>
      </c>
      <c r="AY581">
        <v>1</v>
      </c>
      <c r="AZ581" t="s">
        <v>125</v>
      </c>
      <c r="BA581" t="s">
        <v>125</v>
      </c>
      <c r="BB581" t="s">
        <v>125</v>
      </c>
      <c r="BC581" t="s">
        <v>125</v>
      </c>
      <c r="BD581" t="s">
        <v>125</v>
      </c>
      <c r="BE581" t="s">
        <v>125</v>
      </c>
      <c r="BF581" t="s">
        <v>125</v>
      </c>
      <c r="BG581" t="s">
        <v>125</v>
      </c>
      <c r="BH581">
        <v>0</v>
      </c>
      <c r="BI581">
        <v>0.99019599999999997</v>
      </c>
      <c r="BJ581">
        <v>1</v>
      </c>
      <c r="BK581">
        <v>0.98360700000000001</v>
      </c>
      <c r="BL581">
        <v>0.99019599999999997</v>
      </c>
      <c r="BM581">
        <v>1</v>
      </c>
      <c r="BN581">
        <v>0.98360700000000001</v>
      </c>
      <c r="BO581" t="s">
        <v>125</v>
      </c>
      <c r="BP581" t="s">
        <v>125</v>
      </c>
      <c r="BQ581" t="s">
        <v>125</v>
      </c>
      <c r="BR581">
        <v>1.4218E-2</v>
      </c>
      <c r="BS581">
        <v>50</v>
      </c>
      <c r="BT581">
        <v>50</v>
      </c>
      <c r="BU581">
        <v>2.3255999999999999E-2</v>
      </c>
      <c r="BV581">
        <v>50</v>
      </c>
      <c r="BW581">
        <v>50</v>
      </c>
      <c r="BX581" t="s">
        <v>125</v>
      </c>
      <c r="BY581" t="s">
        <v>125</v>
      </c>
      <c r="BZ581" t="s">
        <v>125</v>
      </c>
      <c r="CA581" t="s">
        <v>125</v>
      </c>
      <c r="CB581" t="s">
        <v>125</v>
      </c>
      <c r="CC581" t="s">
        <v>125</v>
      </c>
      <c r="CD581" t="s">
        <v>125</v>
      </c>
      <c r="CE581" t="s">
        <v>125</v>
      </c>
      <c r="CF581" t="s">
        <v>125</v>
      </c>
      <c r="CG581" t="s">
        <v>125</v>
      </c>
      <c r="CH581" t="s">
        <v>125</v>
      </c>
      <c r="CI581" t="s">
        <v>125</v>
      </c>
      <c r="CJ581" t="s">
        <v>125</v>
      </c>
      <c r="CK581" t="s">
        <v>125</v>
      </c>
      <c r="CL581" t="s">
        <v>125</v>
      </c>
      <c r="CM581" t="s">
        <v>125</v>
      </c>
      <c r="CN581" t="s">
        <v>125</v>
      </c>
      <c r="CO581" t="s">
        <v>125</v>
      </c>
      <c r="CP581" t="s">
        <v>125</v>
      </c>
      <c r="CQ581">
        <v>0.68085099999999998</v>
      </c>
      <c r="CR581">
        <v>0.97916700000000001</v>
      </c>
      <c r="CS581">
        <v>45.390070999999999</v>
      </c>
      <c r="CT581">
        <v>50</v>
      </c>
      <c r="CU581" t="s">
        <v>125</v>
      </c>
      <c r="CV581" t="s">
        <v>125</v>
      </c>
      <c r="CW581" t="s">
        <v>125</v>
      </c>
      <c r="CX581" t="s">
        <v>125</v>
      </c>
      <c r="CY581" t="s">
        <v>125</v>
      </c>
      <c r="CZ581" t="s">
        <v>125</v>
      </c>
      <c r="DA581">
        <v>15.314097</v>
      </c>
      <c r="DB581">
        <v>17.400950000000002</v>
      </c>
      <c r="DC581">
        <v>16.332519999999999</v>
      </c>
      <c r="DD581" t="s">
        <v>125</v>
      </c>
      <c r="DE581">
        <v>0</v>
      </c>
      <c r="DH581" t="s">
        <v>332</v>
      </c>
      <c r="DI581" t="s">
        <v>498</v>
      </c>
      <c r="DJ581">
        <v>1</v>
      </c>
      <c r="DK581">
        <v>1</v>
      </c>
      <c r="DL581">
        <v>1</v>
      </c>
      <c r="DM581">
        <v>0</v>
      </c>
      <c r="DN581">
        <v>0</v>
      </c>
      <c r="DO581">
        <v>0</v>
      </c>
      <c r="DQ581" t="s">
        <v>126</v>
      </c>
    </row>
    <row r="582" spans="1:121" x14ac:dyDescent="0.15">
      <c r="A582">
        <v>2018</v>
      </c>
      <c r="B582" t="s">
        <v>169</v>
      </c>
      <c r="C582" t="str">
        <f>"0780011"</f>
        <v>0780011</v>
      </c>
      <c r="D582" t="s">
        <v>738</v>
      </c>
      <c r="E582" t="str">
        <f>"0780211"</f>
        <v>0780211</v>
      </c>
      <c r="F582" t="s">
        <v>328</v>
      </c>
      <c r="G582" t="s">
        <v>329</v>
      </c>
      <c r="H582">
        <v>4</v>
      </c>
      <c r="I582" t="s">
        <v>330</v>
      </c>
      <c r="J582" t="s">
        <v>331</v>
      </c>
      <c r="K582">
        <v>485.133466</v>
      </c>
      <c r="L582">
        <v>550</v>
      </c>
      <c r="M582">
        <v>88.206085000000002</v>
      </c>
      <c r="N582">
        <v>1</v>
      </c>
      <c r="O582">
        <v>0</v>
      </c>
      <c r="P582">
        <v>83.282987000000006</v>
      </c>
      <c r="Q582">
        <v>50</v>
      </c>
      <c r="R582">
        <v>50</v>
      </c>
      <c r="S582">
        <v>70.509737999999999</v>
      </c>
      <c r="T582">
        <v>75</v>
      </c>
      <c r="U582">
        <v>47.006492000000001</v>
      </c>
      <c r="V582">
        <v>50</v>
      </c>
      <c r="W582">
        <v>80.182851999999997</v>
      </c>
      <c r="X582">
        <v>50</v>
      </c>
      <c r="Y582">
        <v>50</v>
      </c>
      <c r="Z582">
        <v>75</v>
      </c>
      <c r="AA582">
        <v>66.677629999999994</v>
      </c>
      <c r="AB582">
        <v>44.451752999999997</v>
      </c>
      <c r="AC582">
        <v>50</v>
      </c>
      <c r="AD582" t="s">
        <v>125</v>
      </c>
      <c r="AE582" t="s">
        <v>125</v>
      </c>
      <c r="AF582" t="s">
        <v>125</v>
      </c>
      <c r="AG582" t="s">
        <v>125</v>
      </c>
      <c r="AH582" t="s">
        <v>125</v>
      </c>
      <c r="AI582" t="s">
        <v>125</v>
      </c>
      <c r="AJ582" t="s">
        <v>125</v>
      </c>
      <c r="AK582">
        <v>4.49</v>
      </c>
      <c r="AL582">
        <v>8.32</v>
      </c>
      <c r="AM582" t="s">
        <v>125</v>
      </c>
      <c r="AN582">
        <v>0.81720899999999996</v>
      </c>
      <c r="AO582">
        <v>81.720855</v>
      </c>
      <c r="AP582">
        <v>100</v>
      </c>
      <c r="AQ582">
        <v>0.83065500000000003</v>
      </c>
      <c r="AR582">
        <v>83.065476000000004</v>
      </c>
      <c r="AS582">
        <v>100</v>
      </c>
      <c r="AT582" t="s">
        <v>125</v>
      </c>
      <c r="AU582">
        <v>0.896007</v>
      </c>
      <c r="AV582" t="s">
        <v>125</v>
      </c>
      <c r="AW582" t="s">
        <v>125</v>
      </c>
      <c r="AX582" t="s">
        <v>125</v>
      </c>
      <c r="AY582">
        <v>0.83851399999999998</v>
      </c>
      <c r="AZ582" t="s">
        <v>125</v>
      </c>
      <c r="BA582" t="s">
        <v>125</v>
      </c>
      <c r="BB582" t="s">
        <v>125</v>
      </c>
      <c r="BC582" t="s">
        <v>125</v>
      </c>
      <c r="BD582" t="s">
        <v>125</v>
      </c>
      <c r="BE582" t="s">
        <v>125</v>
      </c>
      <c r="BF582" t="s">
        <v>125</v>
      </c>
      <c r="BG582" t="s">
        <v>125</v>
      </c>
      <c r="BH582">
        <v>0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 t="s">
        <v>125</v>
      </c>
      <c r="BP582" t="s">
        <v>125</v>
      </c>
      <c r="BQ582" t="s">
        <v>125</v>
      </c>
      <c r="BR582">
        <v>3.7267000000000002E-2</v>
      </c>
      <c r="BS582">
        <v>50</v>
      </c>
      <c r="BT582">
        <v>50</v>
      </c>
      <c r="BU582">
        <v>3.0303E-2</v>
      </c>
      <c r="BV582">
        <v>50</v>
      </c>
      <c r="BW582">
        <v>50</v>
      </c>
      <c r="BX582" t="s">
        <v>125</v>
      </c>
      <c r="BY582" t="s">
        <v>125</v>
      </c>
      <c r="BZ582" t="s">
        <v>125</v>
      </c>
      <c r="CA582" t="s">
        <v>125</v>
      </c>
      <c r="CB582" t="s">
        <v>125</v>
      </c>
      <c r="CC582" t="s">
        <v>125</v>
      </c>
      <c r="CD582" t="s">
        <v>125</v>
      </c>
      <c r="CE582" t="s">
        <v>125</v>
      </c>
      <c r="CF582" t="s">
        <v>125</v>
      </c>
      <c r="CG582" t="s">
        <v>125</v>
      </c>
      <c r="CH582" t="s">
        <v>125</v>
      </c>
      <c r="CI582" t="s">
        <v>125</v>
      </c>
      <c r="CJ582" t="s">
        <v>125</v>
      </c>
      <c r="CK582" t="s">
        <v>125</v>
      </c>
      <c r="CL582" t="s">
        <v>125</v>
      </c>
      <c r="CM582" t="s">
        <v>125</v>
      </c>
      <c r="CN582" t="s">
        <v>125</v>
      </c>
      <c r="CO582" t="s">
        <v>125</v>
      </c>
      <c r="CP582" t="s">
        <v>125</v>
      </c>
      <c r="CQ582">
        <v>0.43333300000000002</v>
      </c>
      <c r="CR582">
        <v>0.90909099999999998</v>
      </c>
      <c r="CS582">
        <v>28.888888999999999</v>
      </c>
      <c r="CT582">
        <v>50</v>
      </c>
      <c r="CU582" t="s">
        <v>125</v>
      </c>
      <c r="CV582" t="s">
        <v>125</v>
      </c>
      <c r="CW582" t="s">
        <v>125</v>
      </c>
      <c r="CX582" t="s">
        <v>125</v>
      </c>
      <c r="CY582" t="s">
        <v>125</v>
      </c>
      <c r="CZ582" t="s">
        <v>125</v>
      </c>
      <c r="DA582">
        <v>15.314097</v>
      </c>
      <c r="DB582">
        <v>17.400950000000002</v>
      </c>
      <c r="DC582">
        <v>16.332519999999999</v>
      </c>
      <c r="DD582" t="s">
        <v>125</v>
      </c>
      <c r="DE582">
        <v>0</v>
      </c>
      <c r="DH582" t="s">
        <v>332</v>
      </c>
      <c r="DI582" t="s">
        <v>739</v>
      </c>
      <c r="DJ582">
        <v>1</v>
      </c>
      <c r="DK582">
        <v>1</v>
      </c>
      <c r="DL582">
        <v>0</v>
      </c>
      <c r="DM582">
        <v>0</v>
      </c>
      <c r="DN582">
        <v>0</v>
      </c>
      <c r="DO582">
        <v>0</v>
      </c>
      <c r="DQ582" t="s">
        <v>126</v>
      </c>
    </row>
    <row r="583" spans="1:121" x14ac:dyDescent="0.15">
      <c r="A583">
        <v>2018</v>
      </c>
      <c r="B583" t="s">
        <v>169</v>
      </c>
      <c r="C583" t="str">
        <f>"0780011"</f>
        <v>0780011</v>
      </c>
      <c r="D583" t="s">
        <v>740</v>
      </c>
      <c r="E583" t="str">
        <f>"0785111"</f>
        <v>0785111</v>
      </c>
      <c r="F583" t="s">
        <v>328</v>
      </c>
      <c r="G583">
        <v>5</v>
      </c>
      <c r="H583">
        <v>8</v>
      </c>
      <c r="I583" t="s">
        <v>330</v>
      </c>
      <c r="J583" t="s">
        <v>331</v>
      </c>
      <c r="K583">
        <v>738.79109300000005</v>
      </c>
      <c r="L583">
        <v>900</v>
      </c>
      <c r="M583">
        <v>82.087898999999993</v>
      </c>
      <c r="N583">
        <v>3</v>
      </c>
      <c r="O583">
        <v>0</v>
      </c>
      <c r="P583">
        <v>80.125366999999997</v>
      </c>
      <c r="Q583">
        <v>50</v>
      </c>
      <c r="R583">
        <v>50</v>
      </c>
      <c r="S583">
        <v>70.419347000000002</v>
      </c>
      <c r="T583">
        <v>75</v>
      </c>
      <c r="U583">
        <v>46.946232000000002</v>
      </c>
      <c r="V583">
        <v>50</v>
      </c>
      <c r="W583">
        <v>76.996583999999999</v>
      </c>
      <c r="X583">
        <v>50</v>
      </c>
      <c r="Y583">
        <v>50</v>
      </c>
      <c r="Z583">
        <v>75</v>
      </c>
      <c r="AA583">
        <v>67.622316999999995</v>
      </c>
      <c r="AB583">
        <v>45.081544999999998</v>
      </c>
      <c r="AC583">
        <v>50</v>
      </c>
      <c r="AD583">
        <v>81.581680000000006</v>
      </c>
      <c r="AE583">
        <v>50</v>
      </c>
      <c r="AF583">
        <v>50</v>
      </c>
      <c r="AG583">
        <v>72.166256000000004</v>
      </c>
      <c r="AH583">
        <v>75</v>
      </c>
      <c r="AI583">
        <v>48.110836999999997</v>
      </c>
      <c r="AJ583">
        <v>50</v>
      </c>
      <c r="AK583">
        <v>4.58</v>
      </c>
      <c r="AL583">
        <v>7.37</v>
      </c>
      <c r="AM583">
        <v>2.83</v>
      </c>
      <c r="AN583">
        <v>0.68298400000000004</v>
      </c>
      <c r="AO583">
        <v>68.298396999999994</v>
      </c>
      <c r="AP583">
        <v>100</v>
      </c>
      <c r="AQ583">
        <v>0.75260899999999997</v>
      </c>
      <c r="AR583">
        <v>75.260863999999998</v>
      </c>
      <c r="AS583">
        <v>100</v>
      </c>
      <c r="AT583">
        <v>0.62692199999999998</v>
      </c>
      <c r="AU583">
        <v>0.71191400000000005</v>
      </c>
      <c r="AV583">
        <v>62.692160999999999</v>
      </c>
      <c r="AW583">
        <v>100</v>
      </c>
      <c r="AX583">
        <v>0.67832899999999996</v>
      </c>
      <c r="AY583">
        <v>0.79082300000000005</v>
      </c>
      <c r="AZ583">
        <v>67.832874000000004</v>
      </c>
      <c r="BA583">
        <v>100</v>
      </c>
      <c r="BB583" t="s">
        <v>125</v>
      </c>
      <c r="BC583" t="s">
        <v>125</v>
      </c>
      <c r="BD583" t="s">
        <v>125</v>
      </c>
      <c r="BE583" t="s">
        <v>125</v>
      </c>
      <c r="BF583" t="s">
        <v>125</v>
      </c>
      <c r="BG583" t="s">
        <v>125</v>
      </c>
      <c r="BH583">
        <v>1</v>
      </c>
      <c r="BI583">
        <v>0.94254899999999997</v>
      </c>
      <c r="BJ583">
        <v>0.96618400000000004</v>
      </c>
      <c r="BK583">
        <v>0.92857100000000004</v>
      </c>
      <c r="BL583">
        <v>0.93895899999999999</v>
      </c>
      <c r="BM583">
        <v>0.96135300000000001</v>
      </c>
      <c r="BN583">
        <v>0.92571400000000004</v>
      </c>
      <c r="BO583">
        <v>0.92941200000000002</v>
      </c>
      <c r="BP583">
        <v>0.94505499999999998</v>
      </c>
      <c r="BQ583">
        <v>0.92073199999999999</v>
      </c>
      <c r="BR583">
        <v>5.0632999999999997E-2</v>
      </c>
      <c r="BS583">
        <v>49.873418000000001</v>
      </c>
      <c r="BT583">
        <v>50</v>
      </c>
      <c r="BU583">
        <v>8.7179000000000006E-2</v>
      </c>
      <c r="BV583">
        <v>42.564103000000003</v>
      </c>
      <c r="BW583">
        <v>50</v>
      </c>
      <c r="BX583" t="s">
        <v>125</v>
      </c>
      <c r="BY583" t="s">
        <v>125</v>
      </c>
      <c r="BZ583" t="s">
        <v>125</v>
      </c>
      <c r="CA583" t="s">
        <v>125</v>
      </c>
      <c r="CB583" t="s">
        <v>125</v>
      </c>
      <c r="CC583" t="s">
        <v>125</v>
      </c>
      <c r="CD583">
        <v>0.92660600000000004</v>
      </c>
      <c r="CE583">
        <v>49.287526999999997</v>
      </c>
      <c r="CF583">
        <v>50</v>
      </c>
      <c r="CG583" t="s">
        <v>125</v>
      </c>
      <c r="CH583" t="s">
        <v>125</v>
      </c>
      <c r="CI583" t="s">
        <v>125</v>
      </c>
      <c r="CJ583" t="s">
        <v>125</v>
      </c>
      <c r="CK583" t="s">
        <v>125</v>
      </c>
      <c r="CL583" t="s">
        <v>125</v>
      </c>
      <c r="CM583" t="s">
        <v>125</v>
      </c>
      <c r="CN583" t="s">
        <v>125</v>
      </c>
      <c r="CO583" t="s">
        <v>125</v>
      </c>
      <c r="CP583" t="s">
        <v>125</v>
      </c>
      <c r="CQ583">
        <v>0.492647</v>
      </c>
      <c r="CR583">
        <v>0.95438599999999996</v>
      </c>
      <c r="CS583">
        <v>32.843136999999999</v>
      </c>
      <c r="CT583">
        <v>50</v>
      </c>
      <c r="CU583" t="s">
        <v>125</v>
      </c>
      <c r="CV583" t="s">
        <v>125</v>
      </c>
      <c r="CW583" t="s">
        <v>125</v>
      </c>
      <c r="CX583" t="s">
        <v>125</v>
      </c>
      <c r="CY583" t="s">
        <v>125</v>
      </c>
      <c r="CZ583" t="s">
        <v>125</v>
      </c>
      <c r="DA583">
        <v>15.314097</v>
      </c>
      <c r="DB583">
        <v>17.400950000000002</v>
      </c>
      <c r="DC583">
        <v>16.332519999999999</v>
      </c>
      <c r="DD583" t="s">
        <v>125</v>
      </c>
      <c r="DE583">
        <v>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Q583" t="s">
        <v>126</v>
      </c>
    </row>
    <row r="584" spans="1:121" x14ac:dyDescent="0.15">
      <c r="A584">
        <v>2018</v>
      </c>
      <c r="B584" t="s">
        <v>169</v>
      </c>
      <c r="C584" t="str">
        <f>"0780011"</f>
        <v>0780011</v>
      </c>
      <c r="D584" t="s">
        <v>741</v>
      </c>
      <c r="E584" t="str">
        <f>"0780511"</f>
        <v>0780511</v>
      </c>
      <c r="F584" t="s">
        <v>328</v>
      </c>
      <c r="G584" t="s">
        <v>329</v>
      </c>
      <c r="H584">
        <v>4</v>
      </c>
      <c r="J584" t="s">
        <v>331</v>
      </c>
      <c r="K584">
        <v>450.05164600000001</v>
      </c>
      <c r="L584">
        <v>550</v>
      </c>
      <c r="M584">
        <v>81.827572000000004</v>
      </c>
      <c r="N584">
        <v>2</v>
      </c>
      <c r="O584">
        <v>0</v>
      </c>
      <c r="P584">
        <v>77.486984000000007</v>
      </c>
      <c r="Q584">
        <v>50</v>
      </c>
      <c r="R584">
        <v>50</v>
      </c>
      <c r="S584">
        <v>71.544713999999999</v>
      </c>
      <c r="T584">
        <v>75</v>
      </c>
      <c r="U584">
        <v>47.696475999999997</v>
      </c>
      <c r="V584">
        <v>50</v>
      </c>
      <c r="W584">
        <v>74.763976</v>
      </c>
      <c r="X584">
        <v>49.842650999999996</v>
      </c>
      <c r="Y584">
        <v>50</v>
      </c>
      <c r="Z584">
        <v>75</v>
      </c>
      <c r="AA584">
        <v>66.372495000000001</v>
      </c>
      <c r="AB584">
        <v>44.248330000000003</v>
      </c>
      <c r="AC584">
        <v>50</v>
      </c>
      <c r="AD584" t="s">
        <v>125</v>
      </c>
      <c r="AE584" t="s">
        <v>125</v>
      </c>
      <c r="AF584" t="s">
        <v>125</v>
      </c>
      <c r="AG584" t="s">
        <v>125</v>
      </c>
      <c r="AH584" t="s">
        <v>125</v>
      </c>
      <c r="AI584" t="s">
        <v>125</v>
      </c>
      <c r="AJ584" t="s">
        <v>125</v>
      </c>
      <c r="AK584">
        <v>3.45</v>
      </c>
      <c r="AL584">
        <v>8.6199999999999992</v>
      </c>
      <c r="AM584" t="s">
        <v>125</v>
      </c>
      <c r="AN584">
        <v>0.55549300000000001</v>
      </c>
      <c r="AO584">
        <v>55.549340999999998</v>
      </c>
      <c r="AP584">
        <v>100</v>
      </c>
      <c r="AQ584">
        <v>0.62420699999999996</v>
      </c>
      <c r="AR584">
        <v>62.420731000000004</v>
      </c>
      <c r="AS584">
        <v>100</v>
      </c>
      <c r="AT584" t="s">
        <v>125</v>
      </c>
      <c r="AU584">
        <v>0.48975400000000002</v>
      </c>
      <c r="AV584" t="s">
        <v>125</v>
      </c>
      <c r="AW584" t="s">
        <v>125</v>
      </c>
      <c r="AX584" t="s">
        <v>125</v>
      </c>
      <c r="AY584">
        <v>0.62092899999999995</v>
      </c>
      <c r="AZ584" t="s">
        <v>125</v>
      </c>
      <c r="BA584" t="s">
        <v>125</v>
      </c>
      <c r="BB584" t="s">
        <v>125</v>
      </c>
      <c r="BC584" t="s">
        <v>125</v>
      </c>
      <c r="BD584" t="s">
        <v>125</v>
      </c>
      <c r="BE584" t="s">
        <v>125</v>
      </c>
      <c r="BF584" t="s">
        <v>125</v>
      </c>
      <c r="BG584" t="s">
        <v>125</v>
      </c>
      <c r="BH584">
        <v>0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 t="s">
        <v>125</v>
      </c>
      <c r="BP584" t="s">
        <v>125</v>
      </c>
      <c r="BQ584" t="s">
        <v>125</v>
      </c>
      <c r="BR584">
        <v>4.4872000000000002E-2</v>
      </c>
      <c r="BS584">
        <v>50</v>
      </c>
      <c r="BT584">
        <v>50</v>
      </c>
      <c r="BU584">
        <v>7.3528999999999997E-2</v>
      </c>
      <c r="BV584">
        <v>45.294117999999997</v>
      </c>
      <c r="BW584">
        <v>50</v>
      </c>
      <c r="BX584" t="s">
        <v>125</v>
      </c>
      <c r="BY584" t="s">
        <v>125</v>
      </c>
      <c r="BZ584" t="s">
        <v>125</v>
      </c>
      <c r="CA584" t="s">
        <v>125</v>
      </c>
      <c r="CB584" t="s">
        <v>125</v>
      </c>
      <c r="CC584" t="s">
        <v>125</v>
      </c>
      <c r="CD584" t="s">
        <v>125</v>
      </c>
      <c r="CE584" t="s">
        <v>125</v>
      </c>
      <c r="CF584" t="s">
        <v>125</v>
      </c>
      <c r="CG584" t="s">
        <v>125</v>
      </c>
      <c r="CH584" t="s">
        <v>125</v>
      </c>
      <c r="CI584" t="s">
        <v>125</v>
      </c>
      <c r="CJ584" t="s">
        <v>125</v>
      </c>
      <c r="CK584" t="s">
        <v>125</v>
      </c>
      <c r="CL584" t="s">
        <v>125</v>
      </c>
      <c r="CM584" t="s">
        <v>125</v>
      </c>
      <c r="CN584" t="s">
        <v>125</v>
      </c>
      <c r="CO584" t="s">
        <v>125</v>
      </c>
      <c r="CP584" t="s">
        <v>125</v>
      </c>
      <c r="CQ584">
        <v>0.67500000000000004</v>
      </c>
      <c r="CR584">
        <v>0.97560999999999998</v>
      </c>
      <c r="CS584">
        <v>45</v>
      </c>
      <c r="CT584">
        <v>50</v>
      </c>
      <c r="CU584" t="s">
        <v>125</v>
      </c>
      <c r="CV584" t="s">
        <v>125</v>
      </c>
      <c r="CW584" t="s">
        <v>125</v>
      </c>
      <c r="CX584" t="s">
        <v>125</v>
      </c>
      <c r="CY584" t="s">
        <v>125</v>
      </c>
      <c r="CZ584" t="s">
        <v>125</v>
      </c>
      <c r="DA584">
        <v>15.314097</v>
      </c>
      <c r="DB584">
        <v>17.400950000000002</v>
      </c>
      <c r="DC584">
        <v>16.332519999999999</v>
      </c>
      <c r="DD584" t="s">
        <v>125</v>
      </c>
      <c r="DE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Q584" t="s">
        <v>126</v>
      </c>
    </row>
    <row r="585" spans="1:121" x14ac:dyDescent="0.15">
      <c r="A585">
        <v>2018</v>
      </c>
      <c r="B585" t="s">
        <v>183</v>
      </c>
      <c r="C585" t="str">
        <f>"0790011"</f>
        <v>0790011</v>
      </c>
      <c r="D585" t="s">
        <v>742</v>
      </c>
      <c r="E585" t="str">
        <f>"0790111"</f>
        <v>0790111</v>
      </c>
      <c r="F585" t="s">
        <v>328</v>
      </c>
      <c r="G585" t="s">
        <v>329</v>
      </c>
      <c r="H585">
        <v>6</v>
      </c>
      <c r="I585" t="s">
        <v>330</v>
      </c>
      <c r="J585" t="s">
        <v>331</v>
      </c>
      <c r="K585">
        <v>623.10528499999998</v>
      </c>
      <c r="L585">
        <v>800</v>
      </c>
      <c r="M585">
        <v>77.888160999999997</v>
      </c>
      <c r="N585">
        <v>2</v>
      </c>
      <c r="O585">
        <v>0</v>
      </c>
      <c r="P585">
        <v>75.383343999999994</v>
      </c>
      <c r="Q585">
        <v>50</v>
      </c>
      <c r="R585">
        <v>50</v>
      </c>
      <c r="S585">
        <v>66.819124000000002</v>
      </c>
      <c r="T585">
        <v>75</v>
      </c>
      <c r="U585">
        <v>44.546083000000003</v>
      </c>
      <c r="V585">
        <v>50</v>
      </c>
      <c r="W585">
        <v>73.686048999999997</v>
      </c>
      <c r="X585">
        <v>49.124032999999997</v>
      </c>
      <c r="Y585">
        <v>50</v>
      </c>
      <c r="Z585">
        <v>75</v>
      </c>
      <c r="AA585">
        <v>63.096532000000003</v>
      </c>
      <c r="AB585">
        <v>42.064354999999999</v>
      </c>
      <c r="AC585">
        <v>50</v>
      </c>
      <c r="AD585">
        <v>84.285281999999995</v>
      </c>
      <c r="AE585">
        <v>50</v>
      </c>
      <c r="AF585">
        <v>50</v>
      </c>
      <c r="AG585" t="s">
        <v>125</v>
      </c>
      <c r="AH585">
        <v>75</v>
      </c>
      <c r="AI585" t="s">
        <v>125</v>
      </c>
      <c r="AJ585" t="s">
        <v>125</v>
      </c>
      <c r="AK585">
        <v>8.18</v>
      </c>
      <c r="AL585">
        <v>11.9</v>
      </c>
      <c r="AM585" t="s">
        <v>125</v>
      </c>
      <c r="AN585">
        <v>0.64568499999999995</v>
      </c>
      <c r="AO585">
        <v>64.568483000000001</v>
      </c>
      <c r="AP585">
        <v>100</v>
      </c>
      <c r="AQ585">
        <v>0.82001400000000002</v>
      </c>
      <c r="AR585">
        <v>82.001407</v>
      </c>
      <c r="AS585">
        <v>100</v>
      </c>
      <c r="AT585">
        <v>0.55845299999999998</v>
      </c>
      <c r="AU585">
        <v>0.67457299999999998</v>
      </c>
      <c r="AV585">
        <v>55.845291000000003</v>
      </c>
      <c r="AW585">
        <v>100</v>
      </c>
      <c r="AX585">
        <v>0.67462599999999995</v>
      </c>
      <c r="AY585">
        <v>0.86816199999999999</v>
      </c>
      <c r="AZ585">
        <v>67.462585000000004</v>
      </c>
      <c r="BA585">
        <v>100</v>
      </c>
      <c r="BB585" t="s">
        <v>125</v>
      </c>
      <c r="BC585" t="s">
        <v>125</v>
      </c>
      <c r="BD585" t="s">
        <v>125</v>
      </c>
      <c r="BE585" t="s">
        <v>125</v>
      </c>
      <c r="BF585" t="s">
        <v>125</v>
      </c>
      <c r="BG585" t="s">
        <v>125</v>
      </c>
      <c r="BH585">
        <v>0</v>
      </c>
      <c r="BI585">
        <v>0.99641599999999997</v>
      </c>
      <c r="BJ585">
        <v>0.98717900000000003</v>
      </c>
      <c r="BK585">
        <v>1</v>
      </c>
      <c r="BL585">
        <v>0.99642900000000001</v>
      </c>
      <c r="BM585">
        <v>0.98734200000000005</v>
      </c>
      <c r="BN585">
        <v>1</v>
      </c>
      <c r="BO585">
        <v>1</v>
      </c>
      <c r="BP585" t="s">
        <v>125</v>
      </c>
      <c r="BQ585">
        <v>1</v>
      </c>
      <c r="BR585">
        <v>0.103926</v>
      </c>
      <c r="BS585">
        <v>39.214781000000002</v>
      </c>
      <c r="BT585">
        <v>50</v>
      </c>
      <c r="BU585">
        <v>0.154472</v>
      </c>
      <c r="BV585">
        <v>29.105691</v>
      </c>
      <c r="BW585">
        <v>50</v>
      </c>
      <c r="BX585" t="s">
        <v>125</v>
      </c>
      <c r="BY585" t="s">
        <v>125</v>
      </c>
      <c r="BZ585" t="s">
        <v>125</v>
      </c>
      <c r="CA585" t="s">
        <v>125</v>
      </c>
      <c r="CB585" t="s">
        <v>125</v>
      </c>
      <c r="CC585" t="s">
        <v>125</v>
      </c>
      <c r="CD585" t="s">
        <v>125</v>
      </c>
      <c r="CE585" t="s">
        <v>125</v>
      </c>
      <c r="CF585" t="s">
        <v>125</v>
      </c>
      <c r="CG585" t="s">
        <v>125</v>
      </c>
      <c r="CH585" t="s">
        <v>125</v>
      </c>
      <c r="CI585" t="s">
        <v>125</v>
      </c>
      <c r="CJ585" t="s">
        <v>125</v>
      </c>
      <c r="CK585" t="s">
        <v>125</v>
      </c>
      <c r="CL585" t="s">
        <v>125</v>
      </c>
      <c r="CM585" t="s">
        <v>125</v>
      </c>
      <c r="CN585" t="s">
        <v>125</v>
      </c>
      <c r="CO585" t="s">
        <v>125</v>
      </c>
      <c r="CP585" t="s">
        <v>125</v>
      </c>
      <c r="CQ585">
        <v>0.73758900000000005</v>
      </c>
      <c r="CR585">
        <v>0.95270299999999997</v>
      </c>
      <c r="CS585">
        <v>49.172576999999997</v>
      </c>
      <c r="CT585">
        <v>50</v>
      </c>
      <c r="CU585" t="s">
        <v>125</v>
      </c>
      <c r="CV585" t="s">
        <v>125</v>
      </c>
      <c r="CW585" t="s">
        <v>125</v>
      </c>
      <c r="CX585" t="s">
        <v>125</v>
      </c>
      <c r="CY585" t="s">
        <v>125</v>
      </c>
      <c r="CZ585" t="s">
        <v>125</v>
      </c>
      <c r="DA585">
        <v>15.314097</v>
      </c>
      <c r="DB585">
        <v>17.400950000000002</v>
      </c>
      <c r="DC585">
        <v>16.332519999999999</v>
      </c>
      <c r="DD585" t="s">
        <v>125</v>
      </c>
      <c r="DE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Q585" t="s">
        <v>126</v>
      </c>
    </row>
    <row r="586" spans="1:121" x14ac:dyDescent="0.15">
      <c r="A586">
        <v>2018</v>
      </c>
      <c r="B586" t="s">
        <v>184</v>
      </c>
      <c r="C586" t="str">
        <f t="shared" ref="C586:C597" si="21">"0800011"</f>
        <v>0800011</v>
      </c>
      <c r="D586" t="s">
        <v>743</v>
      </c>
      <c r="E586" t="str">
        <f>"0800111"</f>
        <v>0800111</v>
      </c>
      <c r="F586" t="s">
        <v>328</v>
      </c>
      <c r="G586" t="s">
        <v>329</v>
      </c>
      <c r="H586">
        <v>5</v>
      </c>
      <c r="I586" t="s">
        <v>336</v>
      </c>
      <c r="J586" t="s">
        <v>331</v>
      </c>
      <c r="K586">
        <v>743.805522</v>
      </c>
      <c r="L586">
        <v>950</v>
      </c>
      <c r="M586">
        <v>78.295317999999995</v>
      </c>
      <c r="N586">
        <v>2</v>
      </c>
      <c r="O586">
        <v>0</v>
      </c>
      <c r="P586">
        <v>71.952019000000007</v>
      </c>
      <c r="Q586">
        <v>47.968012999999999</v>
      </c>
      <c r="R586">
        <v>50</v>
      </c>
      <c r="S586">
        <v>69.748028000000005</v>
      </c>
      <c r="T586">
        <v>75</v>
      </c>
      <c r="U586">
        <v>46.498685000000002</v>
      </c>
      <c r="V586">
        <v>50</v>
      </c>
      <c r="W586">
        <v>63.741909999999997</v>
      </c>
      <c r="X586">
        <v>42.494607000000002</v>
      </c>
      <c r="Y586">
        <v>50</v>
      </c>
      <c r="Z586">
        <v>75</v>
      </c>
      <c r="AA586">
        <v>61.368392999999998</v>
      </c>
      <c r="AB586">
        <v>40.912261999999998</v>
      </c>
      <c r="AC586">
        <v>50</v>
      </c>
      <c r="AD586">
        <v>64.270161000000002</v>
      </c>
      <c r="AE586">
        <v>42.846774000000003</v>
      </c>
      <c r="AF586">
        <v>50</v>
      </c>
      <c r="AG586">
        <v>62.096774000000003</v>
      </c>
      <c r="AH586" t="s">
        <v>125</v>
      </c>
      <c r="AI586">
        <v>41.397849000000001</v>
      </c>
      <c r="AJ586">
        <v>50</v>
      </c>
      <c r="AK586">
        <v>5.25</v>
      </c>
      <c r="AL586">
        <v>13.63</v>
      </c>
      <c r="AM586" t="s">
        <v>125</v>
      </c>
      <c r="AN586">
        <v>0.78682600000000003</v>
      </c>
      <c r="AO586">
        <v>78.682580000000002</v>
      </c>
      <c r="AP586">
        <v>100</v>
      </c>
      <c r="AQ586">
        <v>0.75505900000000004</v>
      </c>
      <c r="AR586">
        <v>75.505849999999995</v>
      </c>
      <c r="AS586">
        <v>100</v>
      </c>
      <c r="AT586">
        <v>0.78291599999999995</v>
      </c>
      <c r="AU586" t="s">
        <v>125</v>
      </c>
      <c r="AV586">
        <v>78.291634999999999</v>
      </c>
      <c r="AW586">
        <v>100</v>
      </c>
      <c r="AX586">
        <v>0.72707900000000003</v>
      </c>
      <c r="AY586" t="s">
        <v>125</v>
      </c>
      <c r="AZ586">
        <v>72.707899999999995</v>
      </c>
      <c r="BA586">
        <v>100</v>
      </c>
      <c r="BB586">
        <v>0.68836600000000003</v>
      </c>
      <c r="BC586">
        <v>34.418298999999998</v>
      </c>
      <c r="BD586">
        <v>50</v>
      </c>
      <c r="BE586">
        <v>0.373587</v>
      </c>
      <c r="BF586">
        <v>18.679338999999999</v>
      </c>
      <c r="BG586">
        <v>50</v>
      </c>
      <c r="BH586">
        <v>0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 t="s">
        <v>125</v>
      </c>
      <c r="BR586">
        <v>9.0651999999999996E-2</v>
      </c>
      <c r="BS586">
        <v>41.869687999999996</v>
      </c>
      <c r="BT586">
        <v>50</v>
      </c>
      <c r="BU586">
        <v>0.10545499999999999</v>
      </c>
      <c r="BV586">
        <v>38.909090999999997</v>
      </c>
      <c r="BW586">
        <v>50</v>
      </c>
      <c r="BX586" t="s">
        <v>125</v>
      </c>
      <c r="BY586" t="s">
        <v>125</v>
      </c>
      <c r="BZ586" t="s">
        <v>125</v>
      </c>
      <c r="CA586" t="s">
        <v>125</v>
      </c>
      <c r="CB586" t="s">
        <v>125</v>
      </c>
      <c r="CC586" t="s">
        <v>125</v>
      </c>
      <c r="CD586" t="s">
        <v>125</v>
      </c>
      <c r="CE586" t="s">
        <v>125</v>
      </c>
      <c r="CF586" t="s">
        <v>125</v>
      </c>
      <c r="CG586" t="s">
        <v>125</v>
      </c>
      <c r="CH586" t="s">
        <v>125</v>
      </c>
      <c r="CI586" t="s">
        <v>125</v>
      </c>
      <c r="CJ586" t="s">
        <v>125</v>
      </c>
      <c r="CK586" t="s">
        <v>125</v>
      </c>
      <c r="CL586" t="s">
        <v>125</v>
      </c>
      <c r="CM586" t="s">
        <v>125</v>
      </c>
      <c r="CN586" t="s">
        <v>125</v>
      </c>
      <c r="CO586" t="s">
        <v>125</v>
      </c>
      <c r="CP586" t="s">
        <v>125</v>
      </c>
      <c r="CQ586">
        <v>0.63934400000000002</v>
      </c>
      <c r="CR586">
        <v>0.96825399999999995</v>
      </c>
      <c r="CS586">
        <v>42.622951</v>
      </c>
      <c r="CT586">
        <v>50</v>
      </c>
      <c r="CU586" t="s">
        <v>125</v>
      </c>
      <c r="CV586" t="s">
        <v>125</v>
      </c>
      <c r="CW586" t="s">
        <v>125</v>
      </c>
      <c r="CX586" t="s">
        <v>125</v>
      </c>
      <c r="CY586" t="s">
        <v>125</v>
      </c>
      <c r="CZ586" t="s">
        <v>125</v>
      </c>
      <c r="DA586">
        <v>15.314097</v>
      </c>
      <c r="DB586">
        <v>17.400950000000002</v>
      </c>
      <c r="DC586">
        <v>16.332519999999999</v>
      </c>
      <c r="DD586" t="s">
        <v>125</v>
      </c>
      <c r="DE586">
        <v>0</v>
      </c>
      <c r="DH586" t="s">
        <v>332</v>
      </c>
      <c r="DI586" t="s">
        <v>529</v>
      </c>
      <c r="DJ586">
        <v>0</v>
      </c>
      <c r="DK586">
        <v>1</v>
      </c>
      <c r="DL586">
        <v>0</v>
      </c>
      <c r="DM586">
        <v>1</v>
      </c>
      <c r="DN586">
        <v>0</v>
      </c>
      <c r="DO586">
        <v>0</v>
      </c>
      <c r="DQ586" t="s">
        <v>126</v>
      </c>
    </row>
    <row r="587" spans="1:121" x14ac:dyDescent="0.15">
      <c r="A587">
        <v>2018</v>
      </c>
      <c r="B587" t="s">
        <v>184</v>
      </c>
      <c r="C587" t="str">
        <f t="shared" si="21"/>
        <v>0800011</v>
      </c>
      <c r="D587" t="s">
        <v>744</v>
      </c>
      <c r="E587" t="str">
        <f>"0801111"</f>
        <v>0801111</v>
      </c>
      <c r="F587" t="s">
        <v>328</v>
      </c>
      <c r="G587" t="s">
        <v>329</v>
      </c>
      <c r="H587">
        <v>5</v>
      </c>
      <c r="I587" t="s">
        <v>336</v>
      </c>
      <c r="J587" t="s">
        <v>331</v>
      </c>
      <c r="K587">
        <v>730.57846600000005</v>
      </c>
      <c r="L587">
        <v>950</v>
      </c>
      <c r="M587">
        <v>76.902996000000002</v>
      </c>
      <c r="N587">
        <v>2</v>
      </c>
      <c r="O587">
        <v>0</v>
      </c>
      <c r="P587">
        <v>68.012563</v>
      </c>
      <c r="Q587">
        <v>45.341709000000002</v>
      </c>
      <c r="R587">
        <v>50</v>
      </c>
      <c r="S587">
        <v>66.850065999999998</v>
      </c>
      <c r="T587">
        <v>75</v>
      </c>
      <c r="U587">
        <v>44.566710999999998</v>
      </c>
      <c r="V587">
        <v>50</v>
      </c>
      <c r="W587">
        <v>66.483155999999994</v>
      </c>
      <c r="X587">
        <v>44.322104000000003</v>
      </c>
      <c r="Y587">
        <v>50</v>
      </c>
      <c r="Z587">
        <v>74.951560000000001</v>
      </c>
      <c r="AA587">
        <v>65.475762000000003</v>
      </c>
      <c r="AB587">
        <v>43.650508000000002</v>
      </c>
      <c r="AC587">
        <v>50</v>
      </c>
      <c r="AD587">
        <v>62.659497999999999</v>
      </c>
      <c r="AE587">
        <v>41.772998999999999</v>
      </c>
      <c r="AF587">
        <v>50</v>
      </c>
      <c r="AG587">
        <v>62.146287000000001</v>
      </c>
      <c r="AH587" t="s">
        <v>125</v>
      </c>
      <c r="AI587">
        <v>41.430858000000001</v>
      </c>
      <c r="AJ587">
        <v>50</v>
      </c>
      <c r="AK587">
        <v>8.14</v>
      </c>
      <c r="AL587">
        <v>9.4700000000000006</v>
      </c>
      <c r="AM587" t="s">
        <v>125</v>
      </c>
      <c r="AN587">
        <v>0.70698099999999997</v>
      </c>
      <c r="AO587">
        <v>70.698069000000004</v>
      </c>
      <c r="AP587">
        <v>100</v>
      </c>
      <c r="AQ587">
        <v>0.77442100000000003</v>
      </c>
      <c r="AR587">
        <v>77.442120000000003</v>
      </c>
      <c r="AS587">
        <v>100</v>
      </c>
      <c r="AT587">
        <v>0.70700700000000005</v>
      </c>
      <c r="AU587">
        <v>0.70674899999999996</v>
      </c>
      <c r="AV587">
        <v>70.700715000000002</v>
      </c>
      <c r="AW587">
        <v>100</v>
      </c>
      <c r="AX587">
        <v>0.77941700000000003</v>
      </c>
      <c r="AY587">
        <v>0.73070900000000005</v>
      </c>
      <c r="AZ587">
        <v>77.941687999999999</v>
      </c>
      <c r="BA587">
        <v>100</v>
      </c>
      <c r="BB587">
        <v>0.53710800000000003</v>
      </c>
      <c r="BC587">
        <v>26.855404</v>
      </c>
      <c r="BD587">
        <v>50</v>
      </c>
      <c r="BE587">
        <v>0.44253500000000001</v>
      </c>
      <c r="BF587">
        <v>22.126774000000001</v>
      </c>
      <c r="BG587">
        <v>50</v>
      </c>
      <c r="BH587">
        <v>0</v>
      </c>
      <c r="BI587">
        <v>0.99690400000000001</v>
      </c>
      <c r="BJ587">
        <v>0.99656400000000001</v>
      </c>
      <c r="BK587">
        <v>1</v>
      </c>
      <c r="BL587">
        <v>0.99380800000000002</v>
      </c>
      <c r="BM587">
        <v>0.99312699999999998</v>
      </c>
      <c r="BN587">
        <v>1</v>
      </c>
      <c r="BO587">
        <v>1</v>
      </c>
      <c r="BP587">
        <v>1</v>
      </c>
      <c r="BQ587" t="s">
        <v>125</v>
      </c>
      <c r="BR587">
        <v>0.10101</v>
      </c>
      <c r="BS587">
        <v>39.797980000000003</v>
      </c>
      <c r="BT587">
        <v>50</v>
      </c>
      <c r="BU587">
        <v>0.103647</v>
      </c>
      <c r="BV587">
        <v>39.270632999999997</v>
      </c>
      <c r="BW587">
        <v>50</v>
      </c>
      <c r="BX587" t="s">
        <v>125</v>
      </c>
      <c r="BY587" t="s">
        <v>125</v>
      </c>
      <c r="BZ587" t="s">
        <v>125</v>
      </c>
      <c r="CA587" t="s">
        <v>125</v>
      </c>
      <c r="CB587" t="s">
        <v>125</v>
      </c>
      <c r="CC587" t="s">
        <v>125</v>
      </c>
      <c r="CD587" t="s">
        <v>125</v>
      </c>
      <c r="CE587" t="s">
        <v>125</v>
      </c>
      <c r="CF587" t="s">
        <v>125</v>
      </c>
      <c r="CG587" t="s">
        <v>125</v>
      </c>
      <c r="CH587" t="s">
        <v>125</v>
      </c>
      <c r="CI587" t="s">
        <v>125</v>
      </c>
      <c r="CJ587" t="s">
        <v>125</v>
      </c>
      <c r="CK587" t="s">
        <v>125</v>
      </c>
      <c r="CL587" t="s">
        <v>125</v>
      </c>
      <c r="CM587" t="s">
        <v>125</v>
      </c>
      <c r="CN587" t="s">
        <v>125</v>
      </c>
      <c r="CO587" t="s">
        <v>125</v>
      </c>
      <c r="CP587" t="s">
        <v>125</v>
      </c>
      <c r="CQ587">
        <v>0.66990300000000003</v>
      </c>
      <c r="CR587">
        <v>1</v>
      </c>
      <c r="CS587">
        <v>44.660193999999997</v>
      </c>
      <c r="CT587">
        <v>50</v>
      </c>
      <c r="CU587" t="s">
        <v>125</v>
      </c>
      <c r="CV587" t="s">
        <v>125</v>
      </c>
      <c r="CW587" t="s">
        <v>125</v>
      </c>
      <c r="CX587" t="s">
        <v>125</v>
      </c>
      <c r="CY587" t="s">
        <v>125</v>
      </c>
      <c r="CZ587" t="s">
        <v>125</v>
      </c>
      <c r="DA587">
        <v>15.314097</v>
      </c>
      <c r="DB587">
        <v>17.400950000000002</v>
      </c>
      <c r="DC587">
        <v>16.332519999999999</v>
      </c>
      <c r="DD587" t="s">
        <v>125</v>
      </c>
      <c r="DE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Q587" t="s">
        <v>126</v>
      </c>
    </row>
    <row r="588" spans="1:121" x14ac:dyDescent="0.15">
      <c r="A588">
        <v>2018</v>
      </c>
      <c r="B588" t="s">
        <v>184</v>
      </c>
      <c r="C588" t="str">
        <f t="shared" si="21"/>
        <v>0800011</v>
      </c>
      <c r="D588" t="s">
        <v>745</v>
      </c>
      <c r="E588" t="str">
        <f>"0806111"</f>
        <v>0806111</v>
      </c>
      <c r="F588" t="s">
        <v>328</v>
      </c>
      <c r="G588">
        <v>9</v>
      </c>
      <c r="H588">
        <v>12</v>
      </c>
      <c r="J588" t="s">
        <v>331</v>
      </c>
      <c r="K588">
        <v>1032.3412069999999</v>
      </c>
      <c r="L588">
        <v>1550</v>
      </c>
      <c r="M588">
        <v>66.602658000000005</v>
      </c>
      <c r="N588">
        <v>3</v>
      </c>
      <c r="O588">
        <v>0</v>
      </c>
      <c r="P588">
        <v>48.263227999999998</v>
      </c>
      <c r="Q588">
        <v>96.526454999999999</v>
      </c>
      <c r="R588">
        <v>150</v>
      </c>
      <c r="S588">
        <v>45.268467999999999</v>
      </c>
      <c r="T588">
        <v>56.532338000000003</v>
      </c>
      <c r="U588">
        <v>90.536936999999995</v>
      </c>
      <c r="V588">
        <v>150</v>
      </c>
      <c r="W588">
        <v>42.566799000000003</v>
      </c>
      <c r="X588">
        <v>85.133598000000006</v>
      </c>
      <c r="Y588">
        <v>150</v>
      </c>
      <c r="Z588">
        <v>49.007463000000001</v>
      </c>
      <c r="AA588">
        <v>40.234234000000001</v>
      </c>
      <c r="AB588">
        <v>80.468468000000001</v>
      </c>
      <c r="AC588">
        <v>150</v>
      </c>
      <c r="AD588">
        <v>48.765127999999997</v>
      </c>
      <c r="AE588">
        <v>65.020171000000005</v>
      </c>
      <c r="AF588">
        <v>100</v>
      </c>
      <c r="AG588">
        <v>46.400758000000003</v>
      </c>
      <c r="AH588">
        <v>55.5</v>
      </c>
      <c r="AI588">
        <v>61.867677</v>
      </c>
      <c r="AJ588">
        <v>100</v>
      </c>
      <c r="AK588">
        <v>11.26</v>
      </c>
      <c r="AL588">
        <v>8.77</v>
      </c>
      <c r="AM588">
        <v>9.09</v>
      </c>
      <c r="AN588" t="s">
        <v>125</v>
      </c>
      <c r="AO588" t="s">
        <v>125</v>
      </c>
      <c r="AP588" t="s">
        <v>125</v>
      </c>
      <c r="AQ588" t="s">
        <v>125</v>
      </c>
      <c r="AR588" t="s">
        <v>125</v>
      </c>
      <c r="AS588" t="s">
        <v>125</v>
      </c>
      <c r="AT588" t="s">
        <v>125</v>
      </c>
      <c r="AU588" t="s">
        <v>125</v>
      </c>
      <c r="AV588" t="s">
        <v>125</v>
      </c>
      <c r="AW588" t="s">
        <v>125</v>
      </c>
      <c r="AX588" t="s">
        <v>125</v>
      </c>
      <c r="AY588" t="s">
        <v>125</v>
      </c>
      <c r="AZ588" t="s">
        <v>125</v>
      </c>
      <c r="BA588" t="s">
        <v>125</v>
      </c>
      <c r="BB588">
        <v>0.39486500000000002</v>
      </c>
      <c r="BC588">
        <v>19.743248000000001</v>
      </c>
      <c r="BD588">
        <v>50</v>
      </c>
      <c r="BE588">
        <v>0.46752300000000002</v>
      </c>
      <c r="BF588">
        <v>23.376127</v>
      </c>
      <c r="BG588">
        <v>50</v>
      </c>
      <c r="BH588">
        <v>1</v>
      </c>
      <c r="BI588">
        <v>0.95138900000000004</v>
      </c>
      <c r="BJ588">
        <v>0.93488400000000005</v>
      </c>
      <c r="BK588">
        <v>1</v>
      </c>
      <c r="BL588">
        <v>0.95138900000000004</v>
      </c>
      <c r="BM588">
        <v>0.93488400000000005</v>
      </c>
      <c r="BN588">
        <v>1</v>
      </c>
      <c r="BO588">
        <v>0.96180600000000005</v>
      </c>
      <c r="BP588">
        <v>0.953704</v>
      </c>
      <c r="BQ588">
        <v>0.98611099999999996</v>
      </c>
      <c r="BR588">
        <v>0.155219</v>
      </c>
      <c r="BS588">
        <v>28.956289000000002</v>
      </c>
      <c r="BT588">
        <v>50</v>
      </c>
      <c r="BU588">
        <v>0.18437100000000001</v>
      </c>
      <c r="BV588">
        <v>23.125762999999999</v>
      </c>
      <c r="BW588">
        <v>50</v>
      </c>
      <c r="BX588">
        <v>0.74606300000000003</v>
      </c>
      <c r="BY588">
        <v>49.737532999999999</v>
      </c>
      <c r="BZ588">
        <v>50</v>
      </c>
      <c r="CA588">
        <v>0.18897600000000001</v>
      </c>
      <c r="CB588">
        <v>12.598425000000001</v>
      </c>
      <c r="CC588">
        <v>50</v>
      </c>
      <c r="CD588">
        <v>0.95665599999999995</v>
      </c>
      <c r="CE588">
        <v>50</v>
      </c>
      <c r="CF588">
        <v>50</v>
      </c>
      <c r="CG588">
        <v>0.90584399999999998</v>
      </c>
      <c r="CH588">
        <v>96.366399999999999</v>
      </c>
      <c r="CI588">
        <v>100</v>
      </c>
      <c r="CJ588">
        <v>1</v>
      </c>
      <c r="CK588">
        <v>0.76683900000000005</v>
      </c>
      <c r="CL588">
        <v>81.578657000000007</v>
      </c>
      <c r="CM588">
        <v>100</v>
      </c>
      <c r="CN588">
        <v>0.57839700000000005</v>
      </c>
      <c r="CO588">
        <v>77.119628000000006</v>
      </c>
      <c r="CP588">
        <v>100</v>
      </c>
      <c r="CQ588">
        <v>0.60278699999999996</v>
      </c>
      <c r="CR588">
        <v>0.98965499999999995</v>
      </c>
      <c r="CS588">
        <v>40.185830000000003</v>
      </c>
      <c r="CT588">
        <v>50</v>
      </c>
      <c r="CU588">
        <v>0.60660099999999995</v>
      </c>
      <c r="CV588">
        <v>50</v>
      </c>
      <c r="CW588">
        <v>50</v>
      </c>
      <c r="CX588">
        <v>0.76683900000000005</v>
      </c>
      <c r="CY588">
        <v>0.94</v>
      </c>
      <c r="CZ588">
        <v>0.17316100000000001</v>
      </c>
      <c r="DA588">
        <v>15.314097</v>
      </c>
      <c r="DB588">
        <v>17.400950000000002</v>
      </c>
      <c r="DC588">
        <v>16.332519999999999</v>
      </c>
      <c r="DD588">
        <v>7.9891730000000001</v>
      </c>
      <c r="DE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Q588" t="s">
        <v>126</v>
      </c>
    </row>
    <row r="589" spans="1:121" x14ac:dyDescent="0.15">
      <c r="A589">
        <v>2018</v>
      </c>
      <c r="B589" t="s">
        <v>184</v>
      </c>
      <c r="C589" t="str">
        <f t="shared" si="21"/>
        <v>0800011</v>
      </c>
      <c r="D589" t="s">
        <v>746</v>
      </c>
      <c r="E589" t="str">
        <f>"0800311"</f>
        <v>0800311</v>
      </c>
      <c r="F589" t="s">
        <v>328</v>
      </c>
      <c r="G589" t="s">
        <v>329</v>
      </c>
      <c r="H589">
        <v>5</v>
      </c>
      <c r="I589" t="s">
        <v>336</v>
      </c>
      <c r="J589" t="s">
        <v>331</v>
      </c>
      <c r="K589">
        <v>745.36253599999998</v>
      </c>
      <c r="L589">
        <v>950</v>
      </c>
      <c r="M589">
        <v>78.459214000000003</v>
      </c>
      <c r="N589">
        <v>2</v>
      </c>
      <c r="O589">
        <v>0</v>
      </c>
      <c r="P589">
        <v>68.593756999999997</v>
      </c>
      <c r="Q589">
        <v>45.729171000000001</v>
      </c>
      <c r="R589">
        <v>50</v>
      </c>
      <c r="S589">
        <v>66.384943000000007</v>
      </c>
      <c r="T589">
        <v>75</v>
      </c>
      <c r="U589">
        <v>44.256628999999997</v>
      </c>
      <c r="V589">
        <v>50</v>
      </c>
      <c r="W589">
        <v>64.883656000000002</v>
      </c>
      <c r="X589">
        <v>43.255771000000003</v>
      </c>
      <c r="Y589">
        <v>50</v>
      </c>
      <c r="Z589">
        <v>75</v>
      </c>
      <c r="AA589">
        <v>61.820853</v>
      </c>
      <c r="AB589">
        <v>41.213901999999997</v>
      </c>
      <c r="AC589">
        <v>50</v>
      </c>
      <c r="AD589">
        <v>62.522776999999998</v>
      </c>
      <c r="AE589">
        <v>41.681851000000002</v>
      </c>
      <c r="AF589">
        <v>50</v>
      </c>
      <c r="AG589">
        <v>61.000695</v>
      </c>
      <c r="AH589" t="s">
        <v>125</v>
      </c>
      <c r="AI589">
        <v>40.66713</v>
      </c>
      <c r="AJ589">
        <v>50</v>
      </c>
      <c r="AK589">
        <v>8.61</v>
      </c>
      <c r="AL589">
        <v>13.17</v>
      </c>
      <c r="AM589" t="s">
        <v>125</v>
      </c>
      <c r="AN589">
        <v>0.67506100000000002</v>
      </c>
      <c r="AO589">
        <v>67.506056999999998</v>
      </c>
      <c r="AP589">
        <v>100</v>
      </c>
      <c r="AQ589">
        <v>0.71911099999999994</v>
      </c>
      <c r="AR589">
        <v>71.911068</v>
      </c>
      <c r="AS589">
        <v>100</v>
      </c>
      <c r="AT589">
        <v>0.70136299999999996</v>
      </c>
      <c r="AU589">
        <v>0.57934699999999995</v>
      </c>
      <c r="AV589">
        <v>70.136342999999997</v>
      </c>
      <c r="AW589">
        <v>100</v>
      </c>
      <c r="AX589">
        <v>0.68751700000000004</v>
      </c>
      <c r="AY589">
        <v>0.83319900000000002</v>
      </c>
      <c r="AZ589">
        <v>68.751701999999995</v>
      </c>
      <c r="BA589">
        <v>100</v>
      </c>
      <c r="BB589">
        <v>0.82974099999999995</v>
      </c>
      <c r="BC589">
        <v>41.487073000000002</v>
      </c>
      <c r="BD589">
        <v>50</v>
      </c>
      <c r="BE589">
        <v>0.58681899999999998</v>
      </c>
      <c r="BF589">
        <v>29.340973999999999</v>
      </c>
      <c r="BG589">
        <v>50</v>
      </c>
      <c r="BH589">
        <v>0</v>
      </c>
      <c r="BI589">
        <v>0.99624100000000004</v>
      </c>
      <c r="BJ589">
        <v>0.99528300000000003</v>
      </c>
      <c r="BK589">
        <v>1</v>
      </c>
      <c r="BL589">
        <v>0.99248099999999995</v>
      </c>
      <c r="BM589">
        <v>0.99056599999999995</v>
      </c>
      <c r="BN589">
        <v>1</v>
      </c>
      <c r="BO589">
        <v>0.97802199999999995</v>
      </c>
      <c r="BP589">
        <v>0.97297299999999998</v>
      </c>
      <c r="BQ589" t="s">
        <v>125</v>
      </c>
      <c r="BR589">
        <v>5.4851999999999998E-2</v>
      </c>
      <c r="BS589">
        <v>49.029536</v>
      </c>
      <c r="BT589">
        <v>50</v>
      </c>
      <c r="BU589">
        <v>6.4689999999999998E-2</v>
      </c>
      <c r="BV589">
        <v>47.061995000000003</v>
      </c>
      <c r="BW589">
        <v>50</v>
      </c>
      <c r="BX589" t="s">
        <v>125</v>
      </c>
      <c r="BY589" t="s">
        <v>125</v>
      </c>
      <c r="BZ589" t="s">
        <v>125</v>
      </c>
      <c r="CA589" t="s">
        <v>125</v>
      </c>
      <c r="CB589" t="s">
        <v>125</v>
      </c>
      <c r="CC589" t="s">
        <v>125</v>
      </c>
      <c r="CD589" t="s">
        <v>125</v>
      </c>
      <c r="CE589" t="s">
        <v>125</v>
      </c>
      <c r="CF589" t="s">
        <v>125</v>
      </c>
      <c r="CG589" t="s">
        <v>125</v>
      </c>
      <c r="CH589" t="s">
        <v>125</v>
      </c>
      <c r="CI589" t="s">
        <v>125</v>
      </c>
      <c r="CJ589" t="s">
        <v>125</v>
      </c>
      <c r="CK589" t="s">
        <v>125</v>
      </c>
      <c r="CL589" t="s">
        <v>125</v>
      </c>
      <c r="CM589" t="s">
        <v>125</v>
      </c>
      <c r="CN589" t="s">
        <v>125</v>
      </c>
      <c r="CO589" t="s">
        <v>125</v>
      </c>
      <c r="CP589" t="s">
        <v>125</v>
      </c>
      <c r="CQ589">
        <v>0.65</v>
      </c>
      <c r="CR589">
        <v>1</v>
      </c>
      <c r="CS589">
        <v>43.333333000000003</v>
      </c>
      <c r="CT589">
        <v>50</v>
      </c>
      <c r="CU589" t="s">
        <v>125</v>
      </c>
      <c r="CV589" t="s">
        <v>125</v>
      </c>
      <c r="CW589" t="s">
        <v>125</v>
      </c>
      <c r="CX589" t="s">
        <v>125</v>
      </c>
      <c r="CY589" t="s">
        <v>125</v>
      </c>
      <c r="CZ589" t="s">
        <v>125</v>
      </c>
      <c r="DA589">
        <v>15.314097</v>
      </c>
      <c r="DB589">
        <v>17.400950000000002</v>
      </c>
      <c r="DC589">
        <v>16.332519999999999</v>
      </c>
      <c r="DD589" t="s">
        <v>125</v>
      </c>
      <c r="DE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Q589" t="s">
        <v>126</v>
      </c>
    </row>
    <row r="590" spans="1:121" x14ac:dyDescent="0.15">
      <c r="A590">
        <v>2018</v>
      </c>
      <c r="B590" t="s">
        <v>184</v>
      </c>
      <c r="C590" t="str">
        <f t="shared" si="21"/>
        <v>0800011</v>
      </c>
      <c r="D590" t="s">
        <v>747</v>
      </c>
      <c r="E590" t="str">
        <f>"0800411"</f>
        <v>0800411</v>
      </c>
      <c r="F590" t="s">
        <v>328</v>
      </c>
      <c r="G590" t="s">
        <v>329</v>
      </c>
      <c r="H590">
        <v>5</v>
      </c>
      <c r="I590" t="s">
        <v>336</v>
      </c>
      <c r="J590" t="s">
        <v>331</v>
      </c>
      <c r="K590">
        <v>737.372028</v>
      </c>
      <c r="L590">
        <v>950</v>
      </c>
      <c r="M590">
        <v>77.618108000000007</v>
      </c>
      <c r="N590">
        <v>2</v>
      </c>
      <c r="O590">
        <v>0</v>
      </c>
      <c r="P590">
        <v>73.184938000000002</v>
      </c>
      <c r="Q590">
        <v>48.789959000000003</v>
      </c>
      <c r="R590">
        <v>50</v>
      </c>
      <c r="S590">
        <v>71.351191999999998</v>
      </c>
      <c r="T590">
        <v>75</v>
      </c>
      <c r="U590">
        <v>47.567461000000002</v>
      </c>
      <c r="V590">
        <v>50</v>
      </c>
      <c r="W590">
        <v>69.827747000000002</v>
      </c>
      <c r="X590">
        <v>46.551831999999997</v>
      </c>
      <c r="Y590">
        <v>50</v>
      </c>
      <c r="Z590">
        <v>75</v>
      </c>
      <c r="AA590">
        <v>67.710162999999994</v>
      </c>
      <c r="AB590">
        <v>45.140109000000002</v>
      </c>
      <c r="AC590">
        <v>50</v>
      </c>
      <c r="AD590">
        <v>63.738391</v>
      </c>
      <c r="AE590">
        <v>42.492260000000002</v>
      </c>
      <c r="AF590">
        <v>50</v>
      </c>
      <c r="AG590">
        <v>61.176112000000003</v>
      </c>
      <c r="AH590" t="s">
        <v>125</v>
      </c>
      <c r="AI590">
        <v>40.784073999999997</v>
      </c>
      <c r="AJ590">
        <v>50</v>
      </c>
      <c r="AK590">
        <v>3.64</v>
      </c>
      <c r="AL590">
        <v>7.28</v>
      </c>
      <c r="AM590" t="s">
        <v>125</v>
      </c>
      <c r="AN590">
        <v>0.69198800000000005</v>
      </c>
      <c r="AO590">
        <v>69.198834000000005</v>
      </c>
      <c r="AP590">
        <v>100</v>
      </c>
      <c r="AQ590">
        <v>0.75255000000000005</v>
      </c>
      <c r="AR590">
        <v>75.254994999999994</v>
      </c>
      <c r="AS590">
        <v>100</v>
      </c>
      <c r="AT590">
        <v>0.68082200000000004</v>
      </c>
      <c r="AU590">
        <v>0.73845499999999997</v>
      </c>
      <c r="AV590">
        <v>68.082182000000003</v>
      </c>
      <c r="AW590">
        <v>100</v>
      </c>
      <c r="AX590">
        <v>0.742344</v>
      </c>
      <c r="AY590">
        <v>0.79435999999999996</v>
      </c>
      <c r="AZ590">
        <v>74.234446000000005</v>
      </c>
      <c r="BA590">
        <v>100</v>
      </c>
      <c r="BB590">
        <v>0.56989500000000004</v>
      </c>
      <c r="BC590">
        <v>28.494734999999999</v>
      </c>
      <c r="BD590">
        <v>50</v>
      </c>
      <c r="BE590">
        <v>0.51311899999999999</v>
      </c>
      <c r="BF590">
        <v>25.655951000000002</v>
      </c>
      <c r="BG590">
        <v>50</v>
      </c>
      <c r="BH590">
        <v>0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 t="s">
        <v>125</v>
      </c>
      <c r="BR590">
        <v>9.6578999999999998E-2</v>
      </c>
      <c r="BS590">
        <v>40.684105000000002</v>
      </c>
      <c r="BT590">
        <v>50</v>
      </c>
      <c r="BU590">
        <v>0.11335000000000001</v>
      </c>
      <c r="BV590">
        <v>37.329974999999997</v>
      </c>
      <c r="BW590">
        <v>50</v>
      </c>
      <c r="BX590" t="s">
        <v>125</v>
      </c>
      <c r="BY590" t="s">
        <v>125</v>
      </c>
      <c r="BZ590" t="s">
        <v>125</v>
      </c>
      <c r="CA590" t="s">
        <v>125</v>
      </c>
      <c r="CB590" t="s">
        <v>125</v>
      </c>
      <c r="CC590" t="s">
        <v>125</v>
      </c>
      <c r="CD590" t="s">
        <v>125</v>
      </c>
      <c r="CE590" t="s">
        <v>125</v>
      </c>
      <c r="CF590" t="s">
        <v>125</v>
      </c>
      <c r="CG590" t="s">
        <v>125</v>
      </c>
      <c r="CH590" t="s">
        <v>125</v>
      </c>
      <c r="CI590" t="s">
        <v>125</v>
      </c>
      <c r="CJ590" t="s">
        <v>125</v>
      </c>
      <c r="CK590" t="s">
        <v>125</v>
      </c>
      <c r="CL590" t="s">
        <v>125</v>
      </c>
      <c r="CM590" t="s">
        <v>125</v>
      </c>
      <c r="CN590" t="s">
        <v>125</v>
      </c>
      <c r="CO590" t="s">
        <v>125</v>
      </c>
      <c r="CP590" t="s">
        <v>125</v>
      </c>
      <c r="CQ590">
        <v>0.70666700000000005</v>
      </c>
      <c r="CR590">
        <v>0.986842</v>
      </c>
      <c r="CS590">
        <v>47.111111000000001</v>
      </c>
      <c r="CT590">
        <v>50</v>
      </c>
      <c r="CU590" t="s">
        <v>125</v>
      </c>
      <c r="CV590" t="s">
        <v>125</v>
      </c>
      <c r="CW590" t="s">
        <v>125</v>
      </c>
      <c r="CX590" t="s">
        <v>125</v>
      </c>
      <c r="CY590" t="s">
        <v>125</v>
      </c>
      <c r="CZ590" t="s">
        <v>125</v>
      </c>
      <c r="DA590">
        <v>15.314097</v>
      </c>
      <c r="DB590">
        <v>17.400950000000002</v>
      </c>
      <c r="DC590">
        <v>16.332519999999999</v>
      </c>
      <c r="DD590" t="s">
        <v>125</v>
      </c>
      <c r="DE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Q590" t="s">
        <v>126</v>
      </c>
    </row>
    <row r="591" spans="1:121" x14ac:dyDescent="0.15">
      <c r="A591">
        <v>2018</v>
      </c>
      <c r="B591" t="s">
        <v>184</v>
      </c>
      <c r="C591" t="str">
        <f t="shared" si="21"/>
        <v>0800011</v>
      </c>
      <c r="D591" t="s">
        <v>748</v>
      </c>
      <c r="E591" t="str">
        <f>"0800511"</f>
        <v>0800511</v>
      </c>
      <c r="F591" t="s">
        <v>328</v>
      </c>
      <c r="G591" t="s">
        <v>339</v>
      </c>
      <c r="H591">
        <v>5</v>
      </c>
      <c r="I591" t="s">
        <v>336</v>
      </c>
      <c r="J591" t="s">
        <v>331</v>
      </c>
      <c r="K591">
        <v>703.038229</v>
      </c>
      <c r="L591">
        <v>950</v>
      </c>
      <c r="M591">
        <v>74.004024000000001</v>
      </c>
      <c r="N591">
        <v>2</v>
      </c>
      <c r="O591">
        <v>0</v>
      </c>
      <c r="P591">
        <v>71.032368000000005</v>
      </c>
      <c r="Q591">
        <v>47.354911999999999</v>
      </c>
      <c r="R591">
        <v>50</v>
      </c>
      <c r="S591">
        <v>69.983643999999998</v>
      </c>
      <c r="T591">
        <v>75</v>
      </c>
      <c r="U591">
        <v>46.655763</v>
      </c>
      <c r="V591">
        <v>50</v>
      </c>
      <c r="W591">
        <v>67.469044999999994</v>
      </c>
      <c r="X591">
        <v>44.979362999999999</v>
      </c>
      <c r="Y591">
        <v>50</v>
      </c>
      <c r="Z591">
        <v>75</v>
      </c>
      <c r="AA591">
        <v>66.501686000000007</v>
      </c>
      <c r="AB591">
        <v>44.334457</v>
      </c>
      <c r="AC591">
        <v>50</v>
      </c>
      <c r="AD591">
        <v>55.816612999999997</v>
      </c>
      <c r="AE591">
        <v>37.211075000000001</v>
      </c>
      <c r="AF591">
        <v>50</v>
      </c>
      <c r="AG591">
        <v>53.169262000000003</v>
      </c>
      <c r="AH591" t="s">
        <v>125</v>
      </c>
      <c r="AI591">
        <v>35.446174999999997</v>
      </c>
      <c r="AJ591">
        <v>50</v>
      </c>
      <c r="AK591">
        <v>5.01</v>
      </c>
      <c r="AL591">
        <v>8.49</v>
      </c>
      <c r="AM591" t="s">
        <v>125</v>
      </c>
      <c r="AN591">
        <v>0.63215100000000002</v>
      </c>
      <c r="AO591">
        <v>63.215055</v>
      </c>
      <c r="AP591">
        <v>100</v>
      </c>
      <c r="AQ591">
        <v>0.65771999999999997</v>
      </c>
      <c r="AR591">
        <v>65.771981999999994</v>
      </c>
      <c r="AS591">
        <v>100</v>
      </c>
      <c r="AT591">
        <v>0.61993200000000004</v>
      </c>
      <c r="AU591" t="s">
        <v>125</v>
      </c>
      <c r="AV591">
        <v>61.993206999999998</v>
      </c>
      <c r="AW591">
        <v>100</v>
      </c>
      <c r="AX591">
        <v>0.64117199999999996</v>
      </c>
      <c r="AY591" t="s">
        <v>125</v>
      </c>
      <c r="AZ591">
        <v>64.117154999999997</v>
      </c>
      <c r="BA591">
        <v>100</v>
      </c>
      <c r="BB591">
        <v>0.60262700000000002</v>
      </c>
      <c r="BC591">
        <v>30.131329999999998</v>
      </c>
      <c r="BD591">
        <v>50</v>
      </c>
      <c r="BE591">
        <v>0.48524800000000001</v>
      </c>
      <c r="BF591">
        <v>24.262376</v>
      </c>
      <c r="BG591">
        <v>50</v>
      </c>
      <c r="BH591">
        <v>0</v>
      </c>
      <c r="BI591">
        <v>0.98601399999999995</v>
      </c>
      <c r="BJ591">
        <v>0.98484799999999995</v>
      </c>
      <c r="BK591">
        <v>1</v>
      </c>
      <c r="BL591">
        <v>0.98601399999999995</v>
      </c>
      <c r="BM591">
        <v>0.98484799999999995</v>
      </c>
      <c r="BN591">
        <v>1</v>
      </c>
      <c r="BO591">
        <v>1</v>
      </c>
      <c r="BP591">
        <v>1</v>
      </c>
      <c r="BQ591" t="s">
        <v>125</v>
      </c>
      <c r="BR591">
        <v>7.9922000000000007E-2</v>
      </c>
      <c r="BS591">
        <v>44.015594999999998</v>
      </c>
      <c r="BT591">
        <v>50</v>
      </c>
      <c r="BU591">
        <v>8.2251000000000005E-2</v>
      </c>
      <c r="BV591">
        <v>43.549784000000002</v>
      </c>
      <c r="BW591">
        <v>50</v>
      </c>
      <c r="BX591" t="s">
        <v>125</v>
      </c>
      <c r="BY591" t="s">
        <v>125</v>
      </c>
      <c r="BZ591" t="s">
        <v>125</v>
      </c>
      <c r="CA591" t="s">
        <v>125</v>
      </c>
      <c r="CB591" t="s">
        <v>125</v>
      </c>
      <c r="CC591" t="s">
        <v>125</v>
      </c>
      <c r="CD591" t="s">
        <v>125</v>
      </c>
      <c r="CE591" t="s">
        <v>125</v>
      </c>
      <c r="CF591" t="s">
        <v>125</v>
      </c>
      <c r="CG591" t="s">
        <v>125</v>
      </c>
      <c r="CH591" t="s">
        <v>125</v>
      </c>
      <c r="CI591" t="s">
        <v>125</v>
      </c>
      <c r="CJ591" t="s">
        <v>125</v>
      </c>
      <c r="CK591" t="s">
        <v>125</v>
      </c>
      <c r="CL591" t="s">
        <v>125</v>
      </c>
      <c r="CM591" t="s">
        <v>125</v>
      </c>
      <c r="CN591" t="s">
        <v>125</v>
      </c>
      <c r="CO591" t="s">
        <v>125</v>
      </c>
      <c r="CP591" t="s">
        <v>125</v>
      </c>
      <c r="CQ591">
        <v>0.76344100000000004</v>
      </c>
      <c r="CR591">
        <v>1</v>
      </c>
      <c r="CS591">
        <v>50</v>
      </c>
      <c r="CT591">
        <v>50</v>
      </c>
      <c r="CU591" t="s">
        <v>125</v>
      </c>
      <c r="CV591" t="s">
        <v>125</v>
      </c>
      <c r="CW591" t="s">
        <v>125</v>
      </c>
      <c r="CX591" t="s">
        <v>125</v>
      </c>
      <c r="CY591" t="s">
        <v>125</v>
      </c>
      <c r="CZ591" t="s">
        <v>125</v>
      </c>
      <c r="DA591">
        <v>15.314097</v>
      </c>
      <c r="DB591">
        <v>17.400950000000002</v>
      </c>
      <c r="DC591">
        <v>16.332519999999999</v>
      </c>
      <c r="DD591" t="s">
        <v>125</v>
      </c>
      <c r="DE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Q591" t="s">
        <v>126</v>
      </c>
    </row>
    <row r="592" spans="1:121" x14ac:dyDescent="0.15">
      <c r="A592">
        <v>2018</v>
      </c>
      <c r="B592" t="s">
        <v>184</v>
      </c>
      <c r="C592" t="str">
        <f t="shared" si="21"/>
        <v>0800011</v>
      </c>
      <c r="D592" t="s">
        <v>749</v>
      </c>
      <c r="E592" t="str">
        <f>"0805211"</f>
        <v>0805211</v>
      </c>
      <c r="F592" t="s">
        <v>328</v>
      </c>
      <c r="G592">
        <v>6</v>
      </c>
      <c r="H592">
        <v>8</v>
      </c>
      <c r="I592" t="s">
        <v>336</v>
      </c>
      <c r="J592" t="s">
        <v>331</v>
      </c>
      <c r="K592">
        <v>624.58248300000002</v>
      </c>
      <c r="L592">
        <v>1000</v>
      </c>
      <c r="M592">
        <v>62.458247999999998</v>
      </c>
      <c r="N592">
        <v>3</v>
      </c>
      <c r="O592">
        <v>1</v>
      </c>
      <c r="P592">
        <v>61.344560999999999</v>
      </c>
      <c r="Q592">
        <v>40.896374000000002</v>
      </c>
      <c r="R592">
        <v>50</v>
      </c>
      <c r="S592">
        <v>58.433157999999999</v>
      </c>
      <c r="T592">
        <v>75</v>
      </c>
      <c r="U592">
        <v>38.955438999999998</v>
      </c>
      <c r="V592">
        <v>50</v>
      </c>
      <c r="W592">
        <v>54.134498999999998</v>
      </c>
      <c r="X592">
        <v>36.089666000000001</v>
      </c>
      <c r="Y592">
        <v>50</v>
      </c>
      <c r="Z592">
        <v>66.412538999999995</v>
      </c>
      <c r="AA592">
        <v>51.603402000000003</v>
      </c>
      <c r="AB592">
        <v>34.402267999999999</v>
      </c>
      <c r="AC592">
        <v>50</v>
      </c>
      <c r="AD592">
        <v>54.283154000000003</v>
      </c>
      <c r="AE592">
        <v>36.188769000000001</v>
      </c>
      <c r="AF592">
        <v>50</v>
      </c>
      <c r="AG592">
        <v>52.419125000000001</v>
      </c>
      <c r="AH592">
        <v>65.241378999999995</v>
      </c>
      <c r="AI592">
        <v>34.946083999999999</v>
      </c>
      <c r="AJ592">
        <v>50</v>
      </c>
      <c r="AK592">
        <v>16.559999999999999</v>
      </c>
      <c r="AL592">
        <v>14.8</v>
      </c>
      <c r="AM592">
        <v>12.82</v>
      </c>
      <c r="AN592">
        <v>0.57291199999999998</v>
      </c>
      <c r="AO592">
        <v>57.291193999999997</v>
      </c>
      <c r="AP592">
        <v>100</v>
      </c>
      <c r="AQ592">
        <v>0.51692700000000003</v>
      </c>
      <c r="AR592">
        <v>51.692689000000001</v>
      </c>
      <c r="AS592">
        <v>100</v>
      </c>
      <c r="AT592">
        <v>0.55099500000000001</v>
      </c>
      <c r="AU592">
        <v>0.68565600000000004</v>
      </c>
      <c r="AV592">
        <v>55.099505000000001</v>
      </c>
      <c r="AW592">
        <v>100</v>
      </c>
      <c r="AX592">
        <v>0.50598399999999999</v>
      </c>
      <c r="AY592">
        <v>0.57035800000000003</v>
      </c>
      <c r="AZ592">
        <v>50.598438000000002</v>
      </c>
      <c r="BA592">
        <v>100</v>
      </c>
      <c r="BB592">
        <v>0.56386000000000003</v>
      </c>
      <c r="BC592">
        <v>28.192986000000001</v>
      </c>
      <c r="BD592">
        <v>50</v>
      </c>
      <c r="BE592">
        <v>0.442743</v>
      </c>
      <c r="BF592">
        <v>22.137163000000001</v>
      </c>
      <c r="BG592">
        <v>50</v>
      </c>
      <c r="BH592">
        <v>1</v>
      </c>
      <c r="BI592">
        <v>0.97689300000000001</v>
      </c>
      <c r="BJ592">
        <v>0.97716899999999995</v>
      </c>
      <c r="BK592">
        <v>0.97541</v>
      </c>
      <c r="BL592">
        <v>0.94215899999999997</v>
      </c>
      <c r="BM592">
        <v>0.93597600000000003</v>
      </c>
      <c r="BN592">
        <v>0.97541</v>
      </c>
      <c r="BO592">
        <v>0.96226400000000001</v>
      </c>
      <c r="BP592">
        <v>0.96087</v>
      </c>
      <c r="BQ592">
        <v>0.97142899999999999</v>
      </c>
      <c r="BR592">
        <v>0.14929200000000001</v>
      </c>
      <c r="BS592">
        <v>30.141570000000002</v>
      </c>
      <c r="BT592">
        <v>50</v>
      </c>
      <c r="BU592">
        <v>0.16769200000000001</v>
      </c>
      <c r="BV592">
        <v>26.461538000000001</v>
      </c>
      <c r="BW592">
        <v>50</v>
      </c>
      <c r="BX592" t="s">
        <v>125</v>
      </c>
      <c r="BY592" t="s">
        <v>125</v>
      </c>
      <c r="BZ592" t="s">
        <v>125</v>
      </c>
      <c r="CA592" t="s">
        <v>125</v>
      </c>
      <c r="CB592" t="s">
        <v>125</v>
      </c>
      <c r="CC592" t="s">
        <v>125</v>
      </c>
      <c r="CD592">
        <v>0.94117600000000001</v>
      </c>
      <c r="CE592">
        <v>50</v>
      </c>
      <c r="CF592">
        <v>50</v>
      </c>
      <c r="CG592" t="s">
        <v>125</v>
      </c>
      <c r="CH592" t="s">
        <v>125</v>
      </c>
      <c r="CI592" t="s">
        <v>125</v>
      </c>
      <c r="CJ592" t="s">
        <v>125</v>
      </c>
      <c r="CK592" t="s">
        <v>125</v>
      </c>
      <c r="CL592" t="s">
        <v>125</v>
      </c>
      <c r="CM592" t="s">
        <v>125</v>
      </c>
      <c r="CN592" t="s">
        <v>125</v>
      </c>
      <c r="CO592" t="s">
        <v>125</v>
      </c>
      <c r="CP592" t="s">
        <v>125</v>
      </c>
      <c r="CQ592">
        <v>0.47233199999999997</v>
      </c>
      <c r="CR592">
        <v>0.97683399999999998</v>
      </c>
      <c r="CS592">
        <v>31.488800999999999</v>
      </c>
      <c r="CT592">
        <v>50</v>
      </c>
      <c r="CU592" t="s">
        <v>125</v>
      </c>
      <c r="CV592" t="s">
        <v>125</v>
      </c>
      <c r="CW592" t="s">
        <v>125</v>
      </c>
      <c r="CX592" t="s">
        <v>125</v>
      </c>
      <c r="CY592" t="s">
        <v>125</v>
      </c>
      <c r="CZ592" t="s">
        <v>125</v>
      </c>
      <c r="DA592">
        <v>15.314097</v>
      </c>
      <c r="DB592">
        <v>17.400950000000002</v>
      </c>
      <c r="DC592">
        <v>16.332519999999999</v>
      </c>
      <c r="DD592" t="s">
        <v>125</v>
      </c>
      <c r="DE592">
        <v>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Q592" t="s">
        <v>126</v>
      </c>
    </row>
    <row r="593" spans="1:121" x14ac:dyDescent="0.15">
      <c r="A593">
        <v>2018</v>
      </c>
      <c r="B593" t="s">
        <v>184</v>
      </c>
      <c r="C593" t="str">
        <f t="shared" si="21"/>
        <v>0800011</v>
      </c>
      <c r="D593" t="s">
        <v>750</v>
      </c>
      <c r="E593" t="str">
        <f>"0800711"</f>
        <v>0800711</v>
      </c>
      <c r="F593" t="s">
        <v>328</v>
      </c>
      <c r="G593" t="s">
        <v>329</v>
      </c>
      <c r="H593">
        <v>5</v>
      </c>
      <c r="I593" t="s">
        <v>336</v>
      </c>
      <c r="J593" t="s">
        <v>331</v>
      </c>
      <c r="K593">
        <v>723.60843699999998</v>
      </c>
      <c r="L593">
        <v>950</v>
      </c>
      <c r="M593">
        <v>76.169308999999998</v>
      </c>
      <c r="N593">
        <v>2</v>
      </c>
      <c r="O593">
        <v>0</v>
      </c>
      <c r="P593">
        <v>71.483532999999994</v>
      </c>
      <c r="Q593">
        <v>47.655689000000002</v>
      </c>
      <c r="R593">
        <v>50</v>
      </c>
      <c r="S593">
        <v>68.937132000000005</v>
      </c>
      <c r="T593">
        <v>75</v>
      </c>
      <c r="U593">
        <v>45.958087999999996</v>
      </c>
      <c r="V593">
        <v>50</v>
      </c>
      <c r="W593">
        <v>63.197093000000002</v>
      </c>
      <c r="X593">
        <v>42.131394999999998</v>
      </c>
      <c r="Y593">
        <v>50</v>
      </c>
      <c r="Z593">
        <v>74.284696999999994</v>
      </c>
      <c r="AA593">
        <v>60.447727999999998</v>
      </c>
      <c r="AB593">
        <v>40.298484999999999</v>
      </c>
      <c r="AC593">
        <v>50</v>
      </c>
      <c r="AD593">
        <v>65.786472000000003</v>
      </c>
      <c r="AE593">
        <v>43.857647999999998</v>
      </c>
      <c r="AF593">
        <v>50</v>
      </c>
      <c r="AG593">
        <v>62.282885</v>
      </c>
      <c r="AH593">
        <v>75</v>
      </c>
      <c r="AI593">
        <v>41.521923999999999</v>
      </c>
      <c r="AJ593">
        <v>50</v>
      </c>
      <c r="AK593">
        <v>6.06</v>
      </c>
      <c r="AL593">
        <v>13.83</v>
      </c>
      <c r="AM593">
        <v>12.71</v>
      </c>
      <c r="AN593">
        <v>0.80919799999999997</v>
      </c>
      <c r="AO593">
        <v>80.919803000000002</v>
      </c>
      <c r="AP593">
        <v>100</v>
      </c>
      <c r="AQ593">
        <v>0.65465200000000001</v>
      </c>
      <c r="AR593">
        <v>65.465179000000006</v>
      </c>
      <c r="AS593">
        <v>100</v>
      </c>
      <c r="AT593">
        <v>0.80334300000000003</v>
      </c>
      <c r="AU593">
        <v>0.83419100000000002</v>
      </c>
      <c r="AV593">
        <v>80.334258000000005</v>
      </c>
      <c r="AW593">
        <v>100</v>
      </c>
      <c r="AX593">
        <v>0.64425399999999999</v>
      </c>
      <c r="AY593">
        <v>0.70013999999999998</v>
      </c>
      <c r="AZ593">
        <v>64.425448000000003</v>
      </c>
      <c r="BA593">
        <v>100</v>
      </c>
      <c r="BB593">
        <v>0.55938399999999999</v>
      </c>
      <c r="BC593">
        <v>27.969204000000001</v>
      </c>
      <c r="BD593">
        <v>50</v>
      </c>
      <c r="BE593">
        <v>0.46688800000000003</v>
      </c>
      <c r="BF593">
        <v>23.344403</v>
      </c>
      <c r="BG593">
        <v>50</v>
      </c>
      <c r="BH593">
        <v>0</v>
      </c>
      <c r="BI593">
        <v>0.99683500000000003</v>
      </c>
      <c r="BJ593">
        <v>0.99606300000000003</v>
      </c>
      <c r="BK593">
        <v>1</v>
      </c>
      <c r="BL593">
        <v>0.99683500000000003</v>
      </c>
      <c r="BM593">
        <v>0.99606300000000003</v>
      </c>
      <c r="BN593">
        <v>1</v>
      </c>
      <c r="BO593">
        <v>0.991228</v>
      </c>
      <c r="BP593">
        <v>0.98924699999999999</v>
      </c>
      <c r="BQ593">
        <v>1</v>
      </c>
      <c r="BR593">
        <v>0.113208</v>
      </c>
      <c r="BS593">
        <v>37.358491000000001</v>
      </c>
      <c r="BT593">
        <v>50</v>
      </c>
      <c r="BU593">
        <v>0.138158</v>
      </c>
      <c r="BV593">
        <v>32.368420999999998</v>
      </c>
      <c r="BW593">
        <v>50</v>
      </c>
      <c r="BX593" t="s">
        <v>125</v>
      </c>
      <c r="BY593" t="s">
        <v>125</v>
      </c>
      <c r="BZ593" t="s">
        <v>125</v>
      </c>
      <c r="CA593" t="s">
        <v>125</v>
      </c>
      <c r="CB593" t="s">
        <v>125</v>
      </c>
      <c r="CC593" t="s">
        <v>125</v>
      </c>
      <c r="CD593" t="s">
        <v>125</v>
      </c>
      <c r="CE593" t="s">
        <v>125</v>
      </c>
      <c r="CF593" t="s">
        <v>125</v>
      </c>
      <c r="CG593" t="s">
        <v>125</v>
      </c>
      <c r="CH593" t="s">
        <v>125</v>
      </c>
      <c r="CI593" t="s">
        <v>125</v>
      </c>
      <c r="CJ593" t="s">
        <v>125</v>
      </c>
      <c r="CK593" t="s">
        <v>125</v>
      </c>
      <c r="CL593" t="s">
        <v>125</v>
      </c>
      <c r="CM593" t="s">
        <v>125</v>
      </c>
      <c r="CN593" t="s">
        <v>125</v>
      </c>
      <c r="CO593" t="s">
        <v>125</v>
      </c>
      <c r="CP593" t="s">
        <v>125</v>
      </c>
      <c r="CQ593">
        <v>0.76521700000000004</v>
      </c>
      <c r="CR593">
        <v>1</v>
      </c>
      <c r="CS593">
        <v>50</v>
      </c>
      <c r="CT593">
        <v>50</v>
      </c>
      <c r="CU593" t="s">
        <v>125</v>
      </c>
      <c r="CV593" t="s">
        <v>125</v>
      </c>
      <c r="CW593" t="s">
        <v>125</v>
      </c>
      <c r="CX593" t="s">
        <v>125</v>
      </c>
      <c r="CY593" t="s">
        <v>125</v>
      </c>
      <c r="CZ593" t="s">
        <v>125</v>
      </c>
      <c r="DA593">
        <v>15.314097</v>
      </c>
      <c r="DB593">
        <v>17.400950000000002</v>
      </c>
      <c r="DC593">
        <v>16.332519999999999</v>
      </c>
      <c r="DD593" t="s">
        <v>125</v>
      </c>
      <c r="DE593">
        <v>0</v>
      </c>
      <c r="DH593" t="s">
        <v>332</v>
      </c>
      <c r="DI593" t="s">
        <v>529</v>
      </c>
      <c r="DJ593">
        <v>0</v>
      </c>
      <c r="DK593">
        <v>1</v>
      </c>
      <c r="DL593">
        <v>0</v>
      </c>
      <c r="DM593">
        <v>1</v>
      </c>
      <c r="DN593">
        <v>0</v>
      </c>
      <c r="DO593">
        <v>0</v>
      </c>
      <c r="DQ593" t="s">
        <v>126</v>
      </c>
    </row>
    <row r="594" spans="1:121" x14ac:dyDescent="0.15">
      <c r="A594">
        <v>2018</v>
      </c>
      <c r="B594" t="s">
        <v>184</v>
      </c>
      <c r="C594" t="str">
        <f t="shared" si="21"/>
        <v>0800011</v>
      </c>
      <c r="D594" t="s">
        <v>751</v>
      </c>
      <c r="E594" t="str">
        <f>"0806211"</f>
        <v>0806211</v>
      </c>
      <c r="F594" t="s">
        <v>328</v>
      </c>
      <c r="G594">
        <v>9</v>
      </c>
      <c r="H594">
        <v>12</v>
      </c>
      <c r="J594" t="s">
        <v>331</v>
      </c>
      <c r="K594">
        <v>974.46498499999996</v>
      </c>
      <c r="L594">
        <v>1550</v>
      </c>
      <c r="M594">
        <v>62.868709000000003</v>
      </c>
      <c r="N594">
        <v>3</v>
      </c>
      <c r="O594">
        <v>0</v>
      </c>
      <c r="P594">
        <v>47.030988000000001</v>
      </c>
      <c r="Q594">
        <v>94.061976999999999</v>
      </c>
      <c r="R594">
        <v>150</v>
      </c>
      <c r="S594">
        <v>43.801802000000002</v>
      </c>
      <c r="T594">
        <v>56.401961</v>
      </c>
      <c r="U594">
        <v>87.603604000000004</v>
      </c>
      <c r="V594">
        <v>150</v>
      </c>
      <c r="W594">
        <v>41.881072000000003</v>
      </c>
      <c r="X594">
        <v>83.762144000000006</v>
      </c>
      <c r="Y594">
        <v>150</v>
      </c>
      <c r="Z594">
        <v>49.823529000000001</v>
      </c>
      <c r="AA594">
        <v>39.144143999999997</v>
      </c>
      <c r="AB594">
        <v>78.288287999999994</v>
      </c>
      <c r="AC594">
        <v>150</v>
      </c>
      <c r="AD594">
        <v>50.829059999999998</v>
      </c>
      <c r="AE594">
        <v>67.772080000000003</v>
      </c>
      <c r="AF594">
        <v>100</v>
      </c>
      <c r="AG594">
        <v>47.499738000000001</v>
      </c>
      <c r="AH594">
        <v>60.425339000000001</v>
      </c>
      <c r="AI594">
        <v>63.332984000000003</v>
      </c>
      <c r="AJ594">
        <v>100</v>
      </c>
      <c r="AK594">
        <v>12.6</v>
      </c>
      <c r="AL594">
        <v>10.67</v>
      </c>
      <c r="AM594">
        <v>12.92</v>
      </c>
      <c r="AN594" t="s">
        <v>125</v>
      </c>
      <c r="AO594" t="s">
        <v>125</v>
      </c>
      <c r="AP594" t="s">
        <v>125</v>
      </c>
      <c r="AQ594" t="s">
        <v>125</v>
      </c>
      <c r="AR594" t="s">
        <v>125</v>
      </c>
      <c r="AS594" t="s">
        <v>125</v>
      </c>
      <c r="AT594" t="s">
        <v>125</v>
      </c>
      <c r="AU594" t="s">
        <v>125</v>
      </c>
      <c r="AV594" t="s">
        <v>125</v>
      </c>
      <c r="AW594" t="s">
        <v>125</v>
      </c>
      <c r="AX594" t="s">
        <v>125</v>
      </c>
      <c r="AY594" t="s">
        <v>125</v>
      </c>
      <c r="AZ594" t="s">
        <v>125</v>
      </c>
      <c r="BA594" t="s">
        <v>125</v>
      </c>
      <c r="BB594">
        <v>0.27370899999999998</v>
      </c>
      <c r="BC594">
        <v>13.685472000000001</v>
      </c>
      <c r="BD594">
        <v>50</v>
      </c>
      <c r="BE594">
        <v>0.404831</v>
      </c>
      <c r="BF594">
        <v>20.241541000000002</v>
      </c>
      <c r="BG594">
        <v>50</v>
      </c>
      <c r="BH594">
        <v>0</v>
      </c>
      <c r="BI594">
        <v>0.97727299999999995</v>
      </c>
      <c r="BJ594">
        <v>0.96951200000000004</v>
      </c>
      <c r="BK594">
        <v>1</v>
      </c>
      <c r="BL594">
        <v>0.97727299999999995</v>
      </c>
      <c r="BM594">
        <v>0.96951200000000004</v>
      </c>
      <c r="BN594">
        <v>1</v>
      </c>
      <c r="BO594">
        <v>0.95927600000000002</v>
      </c>
      <c r="BP594">
        <v>0.95121999999999995</v>
      </c>
      <c r="BQ594">
        <v>0.982456</v>
      </c>
      <c r="BR594">
        <v>0.22404399999999999</v>
      </c>
      <c r="BS594">
        <v>15.191257</v>
      </c>
      <c r="BT594">
        <v>50</v>
      </c>
      <c r="BU594">
        <v>0.25915899999999997</v>
      </c>
      <c r="BV594">
        <v>8.1682500000000005</v>
      </c>
      <c r="BW594">
        <v>50</v>
      </c>
      <c r="BX594">
        <v>0.806593</v>
      </c>
      <c r="BY594">
        <v>50</v>
      </c>
      <c r="BZ594">
        <v>50</v>
      </c>
      <c r="CA594">
        <v>0.14065900000000001</v>
      </c>
      <c r="CB594">
        <v>9.3772889999999993</v>
      </c>
      <c r="CC594">
        <v>50</v>
      </c>
      <c r="CD594">
        <v>0.93172699999999997</v>
      </c>
      <c r="CE594">
        <v>49.559941999999999</v>
      </c>
      <c r="CF594">
        <v>50</v>
      </c>
      <c r="CG594">
        <v>0.81578899999999999</v>
      </c>
      <c r="CH594">
        <v>86.786113999999998</v>
      </c>
      <c r="CI594">
        <v>100</v>
      </c>
      <c r="CJ594">
        <v>1</v>
      </c>
      <c r="CK594">
        <v>0.72770000000000001</v>
      </c>
      <c r="CL594">
        <v>77.414844000000002</v>
      </c>
      <c r="CM594">
        <v>100</v>
      </c>
      <c r="CN594">
        <v>0.55440400000000001</v>
      </c>
      <c r="CO594">
        <v>73.920552999999998</v>
      </c>
      <c r="CP594">
        <v>100</v>
      </c>
      <c r="CQ594">
        <v>0.71089999999999998</v>
      </c>
      <c r="CR594">
        <v>1</v>
      </c>
      <c r="CS594">
        <v>47.393365000000003</v>
      </c>
      <c r="CT594">
        <v>50</v>
      </c>
      <c r="CU594">
        <v>0.57486300000000001</v>
      </c>
      <c r="CV594">
        <v>47.905282</v>
      </c>
      <c r="CW594">
        <v>50</v>
      </c>
      <c r="CX594">
        <v>0.72770000000000001</v>
      </c>
      <c r="CY594">
        <v>0.94</v>
      </c>
      <c r="CZ594">
        <v>0.21229999999999999</v>
      </c>
      <c r="DA594">
        <v>15.314097</v>
      </c>
      <c r="DB594">
        <v>17.400950000000002</v>
      </c>
      <c r="DC594">
        <v>16.332519999999999</v>
      </c>
      <c r="DD594">
        <v>7.9891730000000001</v>
      </c>
      <c r="DE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Q594" t="s">
        <v>126</v>
      </c>
    </row>
    <row r="595" spans="1:121" x14ac:dyDescent="0.15">
      <c r="A595">
        <v>2018</v>
      </c>
      <c r="B595" t="s">
        <v>184</v>
      </c>
      <c r="C595" t="str">
        <f t="shared" si="21"/>
        <v>0800011</v>
      </c>
      <c r="D595" t="s">
        <v>752</v>
      </c>
      <c r="E595" t="str">
        <f>"0800811"</f>
        <v>0800811</v>
      </c>
      <c r="F595" t="s">
        <v>328</v>
      </c>
      <c r="G595" t="s">
        <v>329</v>
      </c>
      <c r="H595">
        <v>5</v>
      </c>
      <c r="I595" t="s">
        <v>336</v>
      </c>
      <c r="J595" t="s">
        <v>331</v>
      </c>
      <c r="K595">
        <v>647.60120300000005</v>
      </c>
      <c r="L595">
        <v>950</v>
      </c>
      <c r="M595">
        <v>68.168548000000001</v>
      </c>
      <c r="N595">
        <v>3</v>
      </c>
      <c r="O595">
        <v>0</v>
      </c>
      <c r="P595">
        <v>65.344348999999994</v>
      </c>
      <c r="Q595">
        <v>43.562899000000002</v>
      </c>
      <c r="R595">
        <v>50</v>
      </c>
      <c r="S595">
        <v>64.303222000000005</v>
      </c>
      <c r="T595" t="s">
        <v>125</v>
      </c>
      <c r="U595">
        <v>42.868814999999998</v>
      </c>
      <c r="V595">
        <v>50</v>
      </c>
      <c r="W595">
        <v>60.002178999999998</v>
      </c>
      <c r="X595">
        <v>40.001452999999998</v>
      </c>
      <c r="Y595">
        <v>50</v>
      </c>
      <c r="Z595" t="s">
        <v>125</v>
      </c>
      <c r="AA595">
        <v>58.898629</v>
      </c>
      <c r="AB595">
        <v>39.265751999999999</v>
      </c>
      <c r="AC595">
        <v>50</v>
      </c>
      <c r="AD595">
        <v>57.994492999999999</v>
      </c>
      <c r="AE595">
        <v>38.662995000000002</v>
      </c>
      <c r="AF595">
        <v>50</v>
      </c>
      <c r="AG595">
        <v>56.956161999999999</v>
      </c>
      <c r="AH595" t="s">
        <v>125</v>
      </c>
      <c r="AI595">
        <v>37.970775000000003</v>
      </c>
      <c r="AJ595">
        <v>50</v>
      </c>
      <c r="AK595" t="s">
        <v>125</v>
      </c>
      <c r="AL595" t="s">
        <v>125</v>
      </c>
      <c r="AM595" t="s">
        <v>125</v>
      </c>
      <c r="AN595">
        <v>0.63319300000000001</v>
      </c>
      <c r="AO595">
        <v>63.319310000000002</v>
      </c>
      <c r="AP595">
        <v>100</v>
      </c>
      <c r="AQ595">
        <v>0.581507</v>
      </c>
      <c r="AR595">
        <v>58.150657000000002</v>
      </c>
      <c r="AS595">
        <v>100</v>
      </c>
      <c r="AT595">
        <v>0.62801700000000005</v>
      </c>
      <c r="AU595" t="s">
        <v>125</v>
      </c>
      <c r="AV595">
        <v>62.801695000000002</v>
      </c>
      <c r="AW595">
        <v>100</v>
      </c>
      <c r="AX595">
        <v>0.57079899999999995</v>
      </c>
      <c r="AY595" t="s">
        <v>125</v>
      </c>
      <c r="AZ595">
        <v>57.079931000000002</v>
      </c>
      <c r="BA595">
        <v>100</v>
      </c>
      <c r="BB595">
        <v>0.58605300000000005</v>
      </c>
      <c r="BC595">
        <v>29.302655000000001</v>
      </c>
      <c r="BD595">
        <v>50</v>
      </c>
      <c r="BE595">
        <v>0.35357100000000002</v>
      </c>
      <c r="BF595">
        <v>17.678536000000001</v>
      </c>
      <c r="BG595">
        <v>50</v>
      </c>
      <c r="BH595">
        <v>0</v>
      </c>
      <c r="BI595">
        <v>1</v>
      </c>
      <c r="BJ595">
        <v>1</v>
      </c>
      <c r="BK595" t="s">
        <v>125</v>
      </c>
      <c r="BL595">
        <v>1</v>
      </c>
      <c r="BM595">
        <v>1</v>
      </c>
      <c r="BN595" t="s">
        <v>125</v>
      </c>
      <c r="BO595">
        <v>1</v>
      </c>
      <c r="BP595">
        <v>1</v>
      </c>
      <c r="BQ595" t="s">
        <v>125</v>
      </c>
      <c r="BR595">
        <v>0.128631</v>
      </c>
      <c r="BS595">
        <v>34.273859000000002</v>
      </c>
      <c r="BT595">
        <v>50</v>
      </c>
      <c r="BU595">
        <v>0.13669100000000001</v>
      </c>
      <c r="BV595">
        <v>32.661870999999998</v>
      </c>
      <c r="BW595">
        <v>50</v>
      </c>
      <c r="BX595" t="s">
        <v>125</v>
      </c>
      <c r="BY595" t="s">
        <v>125</v>
      </c>
      <c r="BZ595" t="s">
        <v>125</v>
      </c>
      <c r="CA595" t="s">
        <v>125</v>
      </c>
      <c r="CB595" t="s">
        <v>125</v>
      </c>
      <c r="CC595" t="s">
        <v>125</v>
      </c>
      <c r="CD595" t="s">
        <v>125</v>
      </c>
      <c r="CE595" t="s">
        <v>125</v>
      </c>
      <c r="CF595" t="s">
        <v>125</v>
      </c>
      <c r="CG595" t="s">
        <v>125</v>
      </c>
      <c r="CH595" t="s">
        <v>125</v>
      </c>
      <c r="CI595" t="s">
        <v>125</v>
      </c>
      <c r="CJ595" t="s">
        <v>125</v>
      </c>
      <c r="CK595" t="s">
        <v>125</v>
      </c>
      <c r="CL595" t="s">
        <v>125</v>
      </c>
      <c r="CM595" t="s">
        <v>125</v>
      </c>
      <c r="CN595" t="s">
        <v>125</v>
      </c>
      <c r="CO595" t="s">
        <v>125</v>
      </c>
      <c r="CP595" t="s">
        <v>125</v>
      </c>
      <c r="CQ595">
        <v>0.81176499999999996</v>
      </c>
      <c r="CR595">
        <v>0.96590900000000002</v>
      </c>
      <c r="CS595">
        <v>50</v>
      </c>
      <c r="CT595">
        <v>50</v>
      </c>
      <c r="CU595" t="s">
        <v>125</v>
      </c>
      <c r="CV595" t="s">
        <v>125</v>
      </c>
      <c r="CW595" t="s">
        <v>125</v>
      </c>
      <c r="CX595" t="s">
        <v>125</v>
      </c>
      <c r="CY595" t="s">
        <v>125</v>
      </c>
      <c r="CZ595" t="s">
        <v>125</v>
      </c>
      <c r="DA595">
        <v>15.314097</v>
      </c>
      <c r="DB595">
        <v>17.400950000000002</v>
      </c>
      <c r="DC595">
        <v>16.332519999999999</v>
      </c>
      <c r="DD595" t="s">
        <v>125</v>
      </c>
      <c r="DE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Q595" t="s">
        <v>126</v>
      </c>
    </row>
    <row r="596" spans="1:121" x14ac:dyDescent="0.15">
      <c r="A596">
        <v>2018</v>
      </c>
      <c r="B596" t="s">
        <v>184</v>
      </c>
      <c r="C596" t="str">
        <f t="shared" si="21"/>
        <v>0800011</v>
      </c>
      <c r="D596" t="s">
        <v>410</v>
      </c>
      <c r="E596" t="str">
        <f>"0801011"</f>
        <v>0801011</v>
      </c>
      <c r="F596" t="s">
        <v>328</v>
      </c>
      <c r="G596" t="s">
        <v>329</v>
      </c>
      <c r="H596">
        <v>5</v>
      </c>
      <c r="I596" t="s">
        <v>336</v>
      </c>
      <c r="J596" t="s">
        <v>331</v>
      </c>
      <c r="K596">
        <v>796.68166399999996</v>
      </c>
      <c r="L596">
        <v>950</v>
      </c>
      <c r="M596">
        <v>83.861227999999997</v>
      </c>
      <c r="N596">
        <v>2</v>
      </c>
      <c r="O596">
        <v>0</v>
      </c>
      <c r="P596">
        <v>76.652869999999993</v>
      </c>
      <c r="Q596">
        <v>50</v>
      </c>
      <c r="R596">
        <v>50</v>
      </c>
      <c r="S596">
        <v>71.867080999999999</v>
      </c>
      <c r="T596">
        <v>75</v>
      </c>
      <c r="U596">
        <v>47.911386999999998</v>
      </c>
      <c r="V596">
        <v>50</v>
      </c>
      <c r="W596">
        <v>72.687172000000004</v>
      </c>
      <c r="X596">
        <v>48.458114000000002</v>
      </c>
      <c r="Y596">
        <v>50</v>
      </c>
      <c r="Z596">
        <v>75</v>
      </c>
      <c r="AA596">
        <v>67.465056000000004</v>
      </c>
      <c r="AB596">
        <v>44.976703999999998</v>
      </c>
      <c r="AC596">
        <v>50</v>
      </c>
      <c r="AD596">
        <v>73.361164000000002</v>
      </c>
      <c r="AE596">
        <v>48.907443000000001</v>
      </c>
      <c r="AF596">
        <v>50</v>
      </c>
      <c r="AG596">
        <v>68.286738</v>
      </c>
      <c r="AH596">
        <v>75</v>
      </c>
      <c r="AI596">
        <v>45.524492000000002</v>
      </c>
      <c r="AJ596">
        <v>50</v>
      </c>
      <c r="AK596">
        <v>3.13</v>
      </c>
      <c r="AL596">
        <v>7.53</v>
      </c>
      <c r="AM596">
        <v>6.71</v>
      </c>
      <c r="AN596">
        <v>0.75251100000000004</v>
      </c>
      <c r="AO596">
        <v>75.251075</v>
      </c>
      <c r="AP596">
        <v>100</v>
      </c>
      <c r="AQ596">
        <v>0.83309999999999995</v>
      </c>
      <c r="AR596">
        <v>83.310011000000003</v>
      </c>
      <c r="AS596">
        <v>100</v>
      </c>
      <c r="AT596">
        <v>0.68043500000000001</v>
      </c>
      <c r="AU596">
        <v>0.84370900000000004</v>
      </c>
      <c r="AV596">
        <v>68.043499999999995</v>
      </c>
      <c r="AW596">
        <v>100</v>
      </c>
      <c r="AX596">
        <v>0.81363300000000005</v>
      </c>
      <c r="AY596">
        <v>0.85773299999999997</v>
      </c>
      <c r="AZ596">
        <v>81.363254999999995</v>
      </c>
      <c r="BA596">
        <v>100</v>
      </c>
      <c r="BB596">
        <v>0.633494</v>
      </c>
      <c r="BC596">
        <v>31.674706</v>
      </c>
      <c r="BD596">
        <v>50</v>
      </c>
      <c r="BE596">
        <v>0.61370400000000003</v>
      </c>
      <c r="BF596">
        <v>30.685220999999999</v>
      </c>
      <c r="BG596">
        <v>50</v>
      </c>
      <c r="BH596">
        <v>0</v>
      </c>
      <c r="BI596">
        <v>0.99363100000000004</v>
      </c>
      <c r="BJ596">
        <v>1</v>
      </c>
      <c r="BK596">
        <v>0.98412699999999997</v>
      </c>
      <c r="BL596">
        <v>0.99363100000000004</v>
      </c>
      <c r="BM596">
        <v>1</v>
      </c>
      <c r="BN596">
        <v>0.98412699999999997</v>
      </c>
      <c r="BO596">
        <v>1</v>
      </c>
      <c r="BP596">
        <v>1</v>
      </c>
      <c r="BQ596">
        <v>1</v>
      </c>
      <c r="BR596">
        <v>0.06</v>
      </c>
      <c r="BS596">
        <v>48</v>
      </c>
      <c r="BT596">
        <v>50</v>
      </c>
      <c r="BU596">
        <v>8.7121000000000004E-2</v>
      </c>
      <c r="BV596">
        <v>42.575758</v>
      </c>
      <c r="BW596">
        <v>50</v>
      </c>
      <c r="BX596" t="s">
        <v>125</v>
      </c>
      <c r="BY596" t="s">
        <v>125</v>
      </c>
      <c r="BZ596" t="s">
        <v>125</v>
      </c>
      <c r="CA596" t="s">
        <v>125</v>
      </c>
      <c r="CB596" t="s">
        <v>125</v>
      </c>
      <c r="CC596" t="s">
        <v>125</v>
      </c>
      <c r="CD596" t="s">
        <v>125</v>
      </c>
      <c r="CE596" t="s">
        <v>125</v>
      </c>
      <c r="CF596" t="s">
        <v>125</v>
      </c>
      <c r="CG596" t="s">
        <v>125</v>
      </c>
      <c r="CH596" t="s">
        <v>125</v>
      </c>
      <c r="CI596" t="s">
        <v>125</v>
      </c>
      <c r="CJ596" t="s">
        <v>125</v>
      </c>
      <c r="CK596" t="s">
        <v>125</v>
      </c>
      <c r="CL596" t="s">
        <v>125</v>
      </c>
      <c r="CM596" t="s">
        <v>125</v>
      </c>
      <c r="CN596" t="s">
        <v>125</v>
      </c>
      <c r="CO596" t="s">
        <v>125</v>
      </c>
      <c r="CP596" t="s">
        <v>125</v>
      </c>
      <c r="CQ596">
        <v>0.75</v>
      </c>
      <c r="CR596">
        <v>0.9375</v>
      </c>
      <c r="CS596">
        <v>50</v>
      </c>
      <c r="CT596">
        <v>50</v>
      </c>
      <c r="CU596" t="s">
        <v>125</v>
      </c>
      <c r="CV596" t="s">
        <v>125</v>
      </c>
      <c r="CW596" t="s">
        <v>125</v>
      </c>
      <c r="CX596" t="s">
        <v>125</v>
      </c>
      <c r="CY596" t="s">
        <v>125</v>
      </c>
      <c r="CZ596" t="s">
        <v>125</v>
      </c>
      <c r="DA596">
        <v>15.314097</v>
      </c>
      <c r="DB596">
        <v>17.400950000000002</v>
      </c>
      <c r="DC596">
        <v>16.332519999999999</v>
      </c>
      <c r="DD596" t="s">
        <v>125</v>
      </c>
      <c r="DE596">
        <v>0</v>
      </c>
      <c r="DH596" t="s">
        <v>332</v>
      </c>
      <c r="DI596" t="s">
        <v>432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Q596" t="s">
        <v>126</v>
      </c>
    </row>
    <row r="597" spans="1:121" x14ac:dyDescent="0.15">
      <c r="A597">
        <v>2018</v>
      </c>
      <c r="B597" t="s">
        <v>184</v>
      </c>
      <c r="C597" t="str">
        <f t="shared" si="21"/>
        <v>0800011</v>
      </c>
      <c r="D597" t="s">
        <v>753</v>
      </c>
      <c r="E597" t="str">
        <f>"0805411"</f>
        <v>0805411</v>
      </c>
      <c r="F597" t="s">
        <v>328</v>
      </c>
      <c r="G597">
        <v>6</v>
      </c>
      <c r="H597">
        <v>8</v>
      </c>
      <c r="I597" t="s">
        <v>336</v>
      </c>
      <c r="J597" t="s">
        <v>331</v>
      </c>
      <c r="K597">
        <v>591.09015699999998</v>
      </c>
      <c r="L597">
        <v>1000</v>
      </c>
      <c r="M597">
        <v>59.109015999999997</v>
      </c>
      <c r="N597">
        <v>3</v>
      </c>
      <c r="O597">
        <v>1</v>
      </c>
      <c r="P597">
        <v>59.887188000000002</v>
      </c>
      <c r="Q597">
        <v>39.924791999999997</v>
      </c>
      <c r="R597">
        <v>50</v>
      </c>
      <c r="S597">
        <v>55.432048000000002</v>
      </c>
      <c r="T597">
        <v>71.969712999999999</v>
      </c>
      <c r="U597">
        <v>36.954698999999998</v>
      </c>
      <c r="V597">
        <v>50</v>
      </c>
      <c r="W597">
        <v>54.529953999999996</v>
      </c>
      <c r="X597">
        <v>36.353302999999997</v>
      </c>
      <c r="Y597">
        <v>50</v>
      </c>
      <c r="Z597">
        <v>68.197687000000002</v>
      </c>
      <c r="AA597">
        <v>49.538488000000001</v>
      </c>
      <c r="AB597">
        <v>33.025658999999997</v>
      </c>
      <c r="AC597">
        <v>50</v>
      </c>
      <c r="AD597">
        <v>57.204444000000002</v>
      </c>
      <c r="AE597">
        <v>38.136296000000002</v>
      </c>
      <c r="AF597">
        <v>50</v>
      </c>
      <c r="AG597">
        <v>53.561236999999998</v>
      </c>
      <c r="AH597">
        <v>66.957029000000006</v>
      </c>
      <c r="AI597">
        <v>35.707490999999997</v>
      </c>
      <c r="AJ597">
        <v>50</v>
      </c>
      <c r="AK597">
        <v>16.53</v>
      </c>
      <c r="AL597">
        <v>18.649999999999999</v>
      </c>
      <c r="AM597">
        <v>13.39</v>
      </c>
      <c r="AN597">
        <v>0.48819899999999999</v>
      </c>
      <c r="AO597">
        <v>48.819853000000002</v>
      </c>
      <c r="AP597">
        <v>100</v>
      </c>
      <c r="AQ597">
        <v>0.50321300000000002</v>
      </c>
      <c r="AR597">
        <v>50.321350000000002</v>
      </c>
      <c r="AS597">
        <v>100</v>
      </c>
      <c r="AT597">
        <v>0.48839500000000002</v>
      </c>
      <c r="AU597">
        <v>0.48767100000000002</v>
      </c>
      <c r="AV597">
        <v>48.839452000000001</v>
      </c>
      <c r="AW597">
        <v>100</v>
      </c>
      <c r="AX597">
        <v>0.47511900000000001</v>
      </c>
      <c r="AY597">
        <v>0.57741900000000002</v>
      </c>
      <c r="AZ597">
        <v>47.511933999999997</v>
      </c>
      <c r="BA597">
        <v>100</v>
      </c>
      <c r="BB597">
        <v>0.54988000000000004</v>
      </c>
      <c r="BC597">
        <v>27.493987000000001</v>
      </c>
      <c r="BD597">
        <v>50</v>
      </c>
      <c r="BE597">
        <v>0.38207999999999998</v>
      </c>
      <c r="BF597">
        <v>19.103988999999999</v>
      </c>
      <c r="BG597">
        <v>50</v>
      </c>
      <c r="BH597">
        <v>0</v>
      </c>
      <c r="BI597">
        <v>0.98031500000000005</v>
      </c>
      <c r="BJ597">
        <v>0.97508899999999998</v>
      </c>
      <c r="BK597">
        <v>0.995</v>
      </c>
      <c r="BL597">
        <v>0.985564</v>
      </c>
      <c r="BM597">
        <v>0.98220600000000002</v>
      </c>
      <c r="BN597">
        <v>0.995</v>
      </c>
      <c r="BO597">
        <v>0.97692299999999999</v>
      </c>
      <c r="BP597">
        <v>0.97382199999999997</v>
      </c>
      <c r="BQ597">
        <v>0.98550700000000002</v>
      </c>
      <c r="BR597">
        <v>0.17716499999999999</v>
      </c>
      <c r="BS597">
        <v>24.566928999999998</v>
      </c>
      <c r="BT597">
        <v>50</v>
      </c>
      <c r="BU597">
        <v>0.218247</v>
      </c>
      <c r="BV597">
        <v>16.350625999999998</v>
      </c>
      <c r="BW597">
        <v>50</v>
      </c>
      <c r="BX597" t="s">
        <v>125</v>
      </c>
      <c r="BY597" t="s">
        <v>125</v>
      </c>
      <c r="BZ597" t="s">
        <v>125</v>
      </c>
      <c r="CA597" t="s">
        <v>125</v>
      </c>
      <c r="CB597" t="s">
        <v>125</v>
      </c>
      <c r="CC597" t="s">
        <v>125</v>
      </c>
      <c r="CD597">
        <v>0.974576</v>
      </c>
      <c r="CE597">
        <v>50</v>
      </c>
      <c r="CF597">
        <v>50</v>
      </c>
      <c r="CG597" t="s">
        <v>125</v>
      </c>
      <c r="CH597" t="s">
        <v>125</v>
      </c>
      <c r="CI597" t="s">
        <v>125</v>
      </c>
      <c r="CJ597" t="s">
        <v>125</v>
      </c>
      <c r="CK597" t="s">
        <v>125</v>
      </c>
      <c r="CL597" t="s">
        <v>125</v>
      </c>
      <c r="CM597" t="s">
        <v>125</v>
      </c>
      <c r="CN597" t="s">
        <v>125</v>
      </c>
      <c r="CO597" t="s">
        <v>125</v>
      </c>
      <c r="CP597" t="s">
        <v>125</v>
      </c>
      <c r="CQ597">
        <v>0.56969700000000001</v>
      </c>
      <c r="CR597">
        <v>0.93927899999999998</v>
      </c>
      <c r="CS597">
        <v>37.979798000000002</v>
      </c>
      <c r="CT597">
        <v>50</v>
      </c>
      <c r="CU597" t="s">
        <v>125</v>
      </c>
      <c r="CV597" t="s">
        <v>125</v>
      </c>
      <c r="CW597" t="s">
        <v>125</v>
      </c>
      <c r="CX597" t="s">
        <v>125</v>
      </c>
      <c r="CY597" t="s">
        <v>125</v>
      </c>
      <c r="CZ597" t="s">
        <v>125</v>
      </c>
      <c r="DA597">
        <v>15.314097</v>
      </c>
      <c r="DB597">
        <v>17.400950000000002</v>
      </c>
      <c r="DC597">
        <v>16.332519999999999</v>
      </c>
      <c r="DD597" t="s">
        <v>125</v>
      </c>
      <c r="DE597">
        <v>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Q597" t="s">
        <v>126</v>
      </c>
    </row>
    <row r="598" spans="1:121" x14ac:dyDescent="0.15">
      <c r="A598">
        <v>2018</v>
      </c>
      <c r="B598" t="s">
        <v>161</v>
      </c>
      <c r="C598" t="str">
        <f t="shared" ref="C598:C608" si="22">"0830011"</f>
        <v>0830011</v>
      </c>
      <c r="D598" t="s">
        <v>754</v>
      </c>
      <c r="E598" t="str">
        <f>"0830211"</f>
        <v>0830211</v>
      </c>
      <c r="F598" t="s">
        <v>328</v>
      </c>
      <c r="G598" t="s">
        <v>329</v>
      </c>
      <c r="H598">
        <v>5</v>
      </c>
      <c r="I598" t="s">
        <v>336</v>
      </c>
      <c r="J598" t="s">
        <v>331</v>
      </c>
      <c r="K598">
        <v>583.71594800000003</v>
      </c>
      <c r="L598">
        <v>850</v>
      </c>
      <c r="M598">
        <v>68.672465000000003</v>
      </c>
      <c r="N598">
        <v>3</v>
      </c>
      <c r="O598">
        <v>0</v>
      </c>
      <c r="P598">
        <v>63.220415000000003</v>
      </c>
      <c r="Q598">
        <v>42.146943</v>
      </c>
      <c r="R598">
        <v>50</v>
      </c>
      <c r="S598">
        <v>58.365546000000002</v>
      </c>
      <c r="T598">
        <v>72.698967999999994</v>
      </c>
      <c r="U598">
        <v>38.910364000000001</v>
      </c>
      <c r="V598">
        <v>50</v>
      </c>
      <c r="W598">
        <v>58.659736000000002</v>
      </c>
      <c r="X598">
        <v>39.106490999999998</v>
      </c>
      <c r="Y598">
        <v>50</v>
      </c>
      <c r="Z598">
        <v>68.251283000000001</v>
      </c>
      <c r="AA598">
        <v>53.686342000000003</v>
      </c>
      <c r="AB598">
        <v>35.790894999999999</v>
      </c>
      <c r="AC598">
        <v>50</v>
      </c>
      <c r="AD598">
        <v>55.220574999999997</v>
      </c>
      <c r="AE598">
        <v>36.813716999999997</v>
      </c>
      <c r="AF598">
        <v>50</v>
      </c>
      <c r="AG598">
        <v>51.042183999999999</v>
      </c>
      <c r="AH598" t="s">
        <v>125</v>
      </c>
      <c r="AI598">
        <v>34.028122000000003</v>
      </c>
      <c r="AJ598">
        <v>50</v>
      </c>
      <c r="AK598">
        <v>14.33</v>
      </c>
      <c r="AL598">
        <v>14.56</v>
      </c>
      <c r="AM598" t="s">
        <v>125</v>
      </c>
      <c r="AN598">
        <v>0.64895599999999998</v>
      </c>
      <c r="AO598">
        <v>64.895598000000007</v>
      </c>
      <c r="AP598">
        <v>100</v>
      </c>
      <c r="AQ598">
        <v>0.63358499999999995</v>
      </c>
      <c r="AR598">
        <v>63.358538000000003</v>
      </c>
      <c r="AS598">
        <v>100</v>
      </c>
      <c r="AT598">
        <v>0.64107000000000003</v>
      </c>
      <c r="AU598">
        <v>0.66331899999999999</v>
      </c>
      <c r="AV598">
        <v>64.107031000000006</v>
      </c>
      <c r="AW598">
        <v>100</v>
      </c>
      <c r="AX598">
        <v>0.52698999999999996</v>
      </c>
      <c r="AY598">
        <v>0.82393400000000006</v>
      </c>
      <c r="AZ598">
        <v>52.698999000000001</v>
      </c>
      <c r="BA598">
        <v>100</v>
      </c>
      <c r="BB598" t="s">
        <v>125</v>
      </c>
      <c r="BC598" t="s">
        <v>125</v>
      </c>
      <c r="BD598" t="s">
        <v>125</v>
      </c>
      <c r="BE598" t="s">
        <v>125</v>
      </c>
      <c r="BF598" t="s">
        <v>125</v>
      </c>
      <c r="BG598" t="s">
        <v>125</v>
      </c>
      <c r="BH598">
        <v>0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 t="s">
        <v>125</v>
      </c>
      <c r="BR598">
        <v>8.4806000000000006E-2</v>
      </c>
      <c r="BS598">
        <v>43.038868999999998</v>
      </c>
      <c r="BT598">
        <v>50</v>
      </c>
      <c r="BU598">
        <v>0.104046</v>
      </c>
      <c r="BV598">
        <v>39.190750999999999</v>
      </c>
      <c r="BW598">
        <v>50</v>
      </c>
      <c r="BX598" t="s">
        <v>125</v>
      </c>
      <c r="BY598" t="s">
        <v>125</v>
      </c>
      <c r="BZ598" t="s">
        <v>125</v>
      </c>
      <c r="CA598" t="s">
        <v>125</v>
      </c>
      <c r="CB598" t="s">
        <v>125</v>
      </c>
      <c r="CC598" t="s">
        <v>125</v>
      </c>
      <c r="CD598" t="s">
        <v>125</v>
      </c>
      <c r="CE598" t="s">
        <v>125</v>
      </c>
      <c r="CF598" t="s">
        <v>125</v>
      </c>
      <c r="CG598" t="s">
        <v>125</v>
      </c>
      <c r="CH598" t="s">
        <v>125</v>
      </c>
      <c r="CI598" t="s">
        <v>125</v>
      </c>
      <c r="CJ598" t="s">
        <v>125</v>
      </c>
      <c r="CK598" t="s">
        <v>125</v>
      </c>
      <c r="CL598" t="s">
        <v>125</v>
      </c>
      <c r="CM598" t="s">
        <v>125</v>
      </c>
      <c r="CN598" t="s">
        <v>125</v>
      </c>
      <c r="CO598" t="s">
        <v>125</v>
      </c>
      <c r="CP598" t="s">
        <v>125</v>
      </c>
      <c r="CQ598">
        <v>0.44444400000000001</v>
      </c>
      <c r="CR598">
        <v>0.97826100000000005</v>
      </c>
      <c r="CS598">
        <v>29.629629999999999</v>
      </c>
      <c r="CT598">
        <v>50</v>
      </c>
      <c r="CU598" t="s">
        <v>125</v>
      </c>
      <c r="CV598" t="s">
        <v>125</v>
      </c>
      <c r="CW598" t="s">
        <v>125</v>
      </c>
      <c r="CX598" t="s">
        <v>125</v>
      </c>
      <c r="CY598" t="s">
        <v>125</v>
      </c>
      <c r="CZ598" t="s">
        <v>125</v>
      </c>
      <c r="DA598">
        <v>15.314097</v>
      </c>
      <c r="DB598">
        <v>17.400950000000002</v>
      </c>
      <c r="DC598">
        <v>16.332519999999999</v>
      </c>
      <c r="DD598" t="s">
        <v>125</v>
      </c>
      <c r="DE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Q598" t="s">
        <v>126</v>
      </c>
    </row>
    <row r="599" spans="1:121" x14ac:dyDescent="0.15">
      <c r="A599">
        <v>2018</v>
      </c>
      <c r="B599" t="s">
        <v>161</v>
      </c>
      <c r="C599" t="str">
        <f t="shared" si="22"/>
        <v>0830011</v>
      </c>
      <c r="D599" t="s">
        <v>755</v>
      </c>
      <c r="E599" t="str">
        <f>"0830511"</f>
        <v>0830511</v>
      </c>
      <c r="F599" t="s">
        <v>328</v>
      </c>
      <c r="G599" t="s">
        <v>339</v>
      </c>
      <c r="H599">
        <v>5</v>
      </c>
      <c r="I599" t="s">
        <v>336</v>
      </c>
      <c r="J599" t="s">
        <v>331</v>
      </c>
      <c r="K599">
        <v>589.666381</v>
      </c>
      <c r="L599">
        <v>850</v>
      </c>
      <c r="M599">
        <v>69.372515000000007</v>
      </c>
      <c r="N599">
        <v>3</v>
      </c>
      <c r="O599">
        <v>0</v>
      </c>
      <c r="P599">
        <v>70.142152999999993</v>
      </c>
      <c r="Q599">
        <v>46.761436000000003</v>
      </c>
      <c r="R599">
        <v>50</v>
      </c>
      <c r="S599">
        <v>63.351007000000003</v>
      </c>
      <c r="T599">
        <v>75</v>
      </c>
      <c r="U599">
        <v>42.234005000000003</v>
      </c>
      <c r="V599">
        <v>50</v>
      </c>
      <c r="W599">
        <v>65.363698999999997</v>
      </c>
      <c r="X599">
        <v>43.575799000000004</v>
      </c>
      <c r="Y599">
        <v>50</v>
      </c>
      <c r="Z599">
        <v>74.461695000000006</v>
      </c>
      <c r="AA599">
        <v>58.620477999999999</v>
      </c>
      <c r="AB599">
        <v>39.080319000000003</v>
      </c>
      <c r="AC599">
        <v>50</v>
      </c>
      <c r="AD599">
        <v>65.417051000000001</v>
      </c>
      <c r="AE599">
        <v>43.611367000000001</v>
      </c>
      <c r="AF599">
        <v>50</v>
      </c>
      <c r="AG599">
        <v>61.398542999999997</v>
      </c>
      <c r="AH599">
        <v>70.400000000000006</v>
      </c>
      <c r="AI599">
        <v>40.932361999999998</v>
      </c>
      <c r="AJ599">
        <v>50</v>
      </c>
      <c r="AK599">
        <v>11.64</v>
      </c>
      <c r="AL599">
        <v>15.84</v>
      </c>
      <c r="AM599">
        <v>9</v>
      </c>
      <c r="AN599">
        <v>0.70992500000000003</v>
      </c>
      <c r="AO599">
        <v>70.992509999999996</v>
      </c>
      <c r="AP599">
        <v>100</v>
      </c>
      <c r="AQ599">
        <v>0.583565</v>
      </c>
      <c r="AR599">
        <v>58.356496999999997</v>
      </c>
      <c r="AS599">
        <v>100</v>
      </c>
      <c r="AT599">
        <v>0.67018800000000001</v>
      </c>
      <c r="AU599">
        <v>0.76385400000000003</v>
      </c>
      <c r="AV599">
        <v>67.018827000000002</v>
      </c>
      <c r="AW599">
        <v>100</v>
      </c>
      <c r="AX599">
        <v>0.54430800000000001</v>
      </c>
      <c r="AY599">
        <v>0.63684200000000002</v>
      </c>
      <c r="AZ599">
        <v>54.430809000000004</v>
      </c>
      <c r="BA599">
        <v>100</v>
      </c>
      <c r="BB599" t="s">
        <v>125</v>
      </c>
      <c r="BC599" t="s">
        <v>125</v>
      </c>
      <c r="BD599" t="s">
        <v>125</v>
      </c>
      <c r="BE599" t="s">
        <v>125</v>
      </c>
      <c r="BF599" t="s">
        <v>125</v>
      </c>
      <c r="BG599" t="s">
        <v>125</v>
      </c>
      <c r="BH599">
        <v>0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9.0032000000000001E-2</v>
      </c>
      <c r="BS599">
        <v>41.993569000000001</v>
      </c>
      <c r="BT599">
        <v>50</v>
      </c>
      <c r="BU599">
        <v>0.13953499999999999</v>
      </c>
      <c r="BV599">
        <v>32.093023000000002</v>
      </c>
      <c r="BW599">
        <v>50</v>
      </c>
      <c r="BX599" t="s">
        <v>125</v>
      </c>
      <c r="BY599" t="s">
        <v>125</v>
      </c>
      <c r="BZ599" t="s">
        <v>125</v>
      </c>
      <c r="CA599" t="s">
        <v>125</v>
      </c>
      <c r="CB599" t="s">
        <v>125</v>
      </c>
      <c r="CC599" t="s">
        <v>125</v>
      </c>
      <c r="CD599" t="s">
        <v>125</v>
      </c>
      <c r="CE599" t="s">
        <v>125</v>
      </c>
      <c r="CF599" t="s">
        <v>125</v>
      </c>
      <c r="CG599" t="s">
        <v>125</v>
      </c>
      <c r="CH599" t="s">
        <v>125</v>
      </c>
      <c r="CI599" t="s">
        <v>125</v>
      </c>
      <c r="CJ599" t="s">
        <v>125</v>
      </c>
      <c r="CK599" t="s">
        <v>125</v>
      </c>
      <c r="CL599" t="s">
        <v>125</v>
      </c>
      <c r="CM599" t="s">
        <v>125</v>
      </c>
      <c r="CN599" t="s">
        <v>125</v>
      </c>
      <c r="CO599" t="s">
        <v>125</v>
      </c>
      <c r="CP599" t="s">
        <v>125</v>
      </c>
      <c r="CQ599">
        <v>0.51515200000000005</v>
      </c>
      <c r="CR599">
        <v>0.6875</v>
      </c>
      <c r="CS599">
        <v>8.5858589999999992</v>
      </c>
      <c r="CT599">
        <v>50</v>
      </c>
      <c r="CU599" t="s">
        <v>125</v>
      </c>
      <c r="CV599" t="s">
        <v>125</v>
      </c>
      <c r="CW599" t="s">
        <v>125</v>
      </c>
      <c r="CX599" t="s">
        <v>125</v>
      </c>
      <c r="CY599" t="s">
        <v>125</v>
      </c>
      <c r="CZ599" t="s">
        <v>125</v>
      </c>
      <c r="DA599">
        <v>15.314097</v>
      </c>
      <c r="DB599">
        <v>17.400950000000002</v>
      </c>
      <c r="DC599">
        <v>16.332519999999999</v>
      </c>
      <c r="DD599" t="s">
        <v>125</v>
      </c>
      <c r="DE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Q599" t="s">
        <v>126</v>
      </c>
    </row>
    <row r="600" spans="1:121" x14ac:dyDescent="0.15">
      <c r="A600">
        <v>2018</v>
      </c>
      <c r="B600" t="s">
        <v>161</v>
      </c>
      <c r="C600" t="str">
        <f t="shared" si="22"/>
        <v>0830011</v>
      </c>
      <c r="D600" t="s">
        <v>756</v>
      </c>
      <c r="E600" t="str">
        <f>"0831511"</f>
        <v>0831511</v>
      </c>
      <c r="F600" t="s">
        <v>328</v>
      </c>
      <c r="G600">
        <v>6</v>
      </c>
      <c r="H600">
        <v>6</v>
      </c>
      <c r="J600" t="s">
        <v>331</v>
      </c>
      <c r="K600">
        <v>465.055249</v>
      </c>
      <c r="L600">
        <v>750</v>
      </c>
      <c r="M600">
        <v>62.007365999999998</v>
      </c>
      <c r="N600">
        <v>3</v>
      </c>
      <c r="O600">
        <v>0</v>
      </c>
      <c r="P600">
        <v>69.084322999999998</v>
      </c>
      <c r="Q600">
        <v>46.056215000000002</v>
      </c>
      <c r="R600">
        <v>50</v>
      </c>
      <c r="S600">
        <v>62.805455000000002</v>
      </c>
      <c r="T600">
        <v>75</v>
      </c>
      <c r="U600">
        <v>41.870303999999997</v>
      </c>
      <c r="V600">
        <v>50</v>
      </c>
      <c r="W600">
        <v>59.434812999999998</v>
      </c>
      <c r="X600">
        <v>39.623207999999998</v>
      </c>
      <c r="Y600">
        <v>50</v>
      </c>
      <c r="Z600">
        <v>66.816023000000001</v>
      </c>
      <c r="AA600">
        <v>53.043765</v>
      </c>
      <c r="AB600">
        <v>35.36251</v>
      </c>
      <c r="AC600">
        <v>50</v>
      </c>
      <c r="AD600" t="s">
        <v>125</v>
      </c>
      <c r="AE600" t="s">
        <v>125</v>
      </c>
      <c r="AF600" t="s">
        <v>125</v>
      </c>
      <c r="AG600" t="s">
        <v>125</v>
      </c>
      <c r="AH600" t="s">
        <v>125</v>
      </c>
      <c r="AI600" t="s">
        <v>125</v>
      </c>
      <c r="AJ600" t="s">
        <v>125</v>
      </c>
      <c r="AK600">
        <v>12.19</v>
      </c>
      <c r="AL600">
        <v>13.77</v>
      </c>
      <c r="AM600" t="s">
        <v>125</v>
      </c>
      <c r="AN600">
        <v>0.57994100000000004</v>
      </c>
      <c r="AO600">
        <v>57.994081000000001</v>
      </c>
      <c r="AP600">
        <v>100</v>
      </c>
      <c r="AQ600">
        <v>0.43300699999999998</v>
      </c>
      <c r="AR600">
        <v>43.300677999999998</v>
      </c>
      <c r="AS600">
        <v>100</v>
      </c>
      <c r="AT600">
        <v>0.564778</v>
      </c>
      <c r="AU600">
        <v>0.59638500000000005</v>
      </c>
      <c r="AV600">
        <v>56.477767</v>
      </c>
      <c r="AW600">
        <v>100</v>
      </c>
      <c r="AX600">
        <v>0.42798599999999998</v>
      </c>
      <c r="AY600">
        <v>0.43841599999999997</v>
      </c>
      <c r="AZ600">
        <v>42.798606999999997</v>
      </c>
      <c r="BA600">
        <v>100</v>
      </c>
      <c r="BB600" t="s">
        <v>125</v>
      </c>
      <c r="BC600" t="s">
        <v>125</v>
      </c>
      <c r="BD600" t="s">
        <v>125</v>
      </c>
      <c r="BE600" t="s">
        <v>125</v>
      </c>
      <c r="BF600" t="s">
        <v>125</v>
      </c>
      <c r="BG600" t="s">
        <v>125</v>
      </c>
      <c r="BH600">
        <v>0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 t="s">
        <v>125</v>
      </c>
      <c r="BP600" t="s">
        <v>125</v>
      </c>
      <c r="BQ600" t="s">
        <v>125</v>
      </c>
      <c r="BR600">
        <v>9.4636999999999999E-2</v>
      </c>
      <c r="BS600">
        <v>41.072555000000001</v>
      </c>
      <c r="BT600">
        <v>50</v>
      </c>
      <c r="BU600">
        <v>0.149701</v>
      </c>
      <c r="BV600">
        <v>30.05988</v>
      </c>
      <c r="BW600">
        <v>50</v>
      </c>
      <c r="BX600" t="s">
        <v>125</v>
      </c>
      <c r="BY600" t="s">
        <v>125</v>
      </c>
      <c r="BZ600" t="s">
        <v>125</v>
      </c>
      <c r="CA600" t="s">
        <v>125</v>
      </c>
      <c r="CB600" t="s">
        <v>125</v>
      </c>
      <c r="CC600" t="s">
        <v>125</v>
      </c>
      <c r="CD600" t="s">
        <v>125</v>
      </c>
      <c r="CE600" t="s">
        <v>125</v>
      </c>
      <c r="CF600" t="s">
        <v>125</v>
      </c>
      <c r="CG600" t="s">
        <v>125</v>
      </c>
      <c r="CH600" t="s">
        <v>125</v>
      </c>
      <c r="CI600" t="s">
        <v>125</v>
      </c>
      <c r="CJ600" t="s">
        <v>125</v>
      </c>
      <c r="CK600" t="s">
        <v>125</v>
      </c>
      <c r="CL600" t="s">
        <v>125</v>
      </c>
      <c r="CM600" t="s">
        <v>125</v>
      </c>
      <c r="CN600" t="s">
        <v>125</v>
      </c>
      <c r="CO600" t="s">
        <v>125</v>
      </c>
      <c r="CP600" t="s">
        <v>125</v>
      </c>
      <c r="CQ600">
        <v>0.456592</v>
      </c>
      <c r="CR600">
        <v>0.98107299999999997</v>
      </c>
      <c r="CS600">
        <v>30.439443000000001</v>
      </c>
      <c r="CT600">
        <v>50</v>
      </c>
      <c r="CU600" t="s">
        <v>125</v>
      </c>
      <c r="CV600" t="s">
        <v>125</v>
      </c>
      <c r="CW600" t="s">
        <v>125</v>
      </c>
      <c r="CX600" t="s">
        <v>125</v>
      </c>
      <c r="CY600" t="s">
        <v>125</v>
      </c>
      <c r="CZ600" t="s">
        <v>125</v>
      </c>
      <c r="DA600">
        <v>15.314097</v>
      </c>
      <c r="DB600">
        <v>17.400950000000002</v>
      </c>
      <c r="DC600">
        <v>16.332519999999999</v>
      </c>
      <c r="DD600" t="s">
        <v>125</v>
      </c>
      <c r="DE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Q600" t="s">
        <v>126</v>
      </c>
    </row>
    <row r="601" spans="1:121" x14ac:dyDescent="0.15">
      <c r="A601">
        <v>2018</v>
      </c>
      <c r="B601" t="s">
        <v>161</v>
      </c>
      <c r="C601" t="str">
        <f t="shared" si="22"/>
        <v>0830011</v>
      </c>
      <c r="D601" t="s">
        <v>757</v>
      </c>
      <c r="E601" t="str">
        <f>"0831311"</f>
        <v>0831311</v>
      </c>
      <c r="F601" t="s">
        <v>328</v>
      </c>
      <c r="G601" t="s">
        <v>339</v>
      </c>
      <c r="H601">
        <v>5</v>
      </c>
      <c r="J601" t="s">
        <v>331</v>
      </c>
      <c r="K601">
        <v>665.64696100000003</v>
      </c>
      <c r="L601">
        <v>850</v>
      </c>
      <c r="M601">
        <v>78.311407000000003</v>
      </c>
      <c r="N601">
        <v>2</v>
      </c>
      <c r="O601">
        <v>0</v>
      </c>
      <c r="P601">
        <v>72.144509999999997</v>
      </c>
      <c r="Q601">
        <v>48.096339999999998</v>
      </c>
      <c r="R601">
        <v>50</v>
      </c>
      <c r="S601">
        <v>67.956159999999997</v>
      </c>
      <c r="T601">
        <v>75</v>
      </c>
      <c r="U601">
        <v>45.304105999999997</v>
      </c>
      <c r="V601">
        <v>50</v>
      </c>
      <c r="W601">
        <v>70.152788999999999</v>
      </c>
      <c r="X601">
        <v>46.768526000000001</v>
      </c>
      <c r="Y601">
        <v>50</v>
      </c>
      <c r="Z601">
        <v>72.360884999999996</v>
      </c>
      <c r="AA601">
        <v>67.503074999999995</v>
      </c>
      <c r="AB601">
        <v>45.002049999999997</v>
      </c>
      <c r="AC601">
        <v>50</v>
      </c>
      <c r="AD601">
        <v>63.213217999999998</v>
      </c>
      <c r="AE601">
        <v>42.142144999999999</v>
      </c>
      <c r="AF601">
        <v>50</v>
      </c>
      <c r="AG601">
        <v>62.06129</v>
      </c>
      <c r="AH601">
        <v>64.310292000000004</v>
      </c>
      <c r="AI601">
        <v>41.374194000000003</v>
      </c>
      <c r="AJ601">
        <v>50</v>
      </c>
      <c r="AK601">
        <v>7.04</v>
      </c>
      <c r="AL601">
        <v>4.8499999999999996</v>
      </c>
      <c r="AM601">
        <v>2.2400000000000002</v>
      </c>
      <c r="AN601">
        <v>0.76487300000000003</v>
      </c>
      <c r="AO601">
        <v>76.487307999999999</v>
      </c>
      <c r="AP601">
        <v>100</v>
      </c>
      <c r="AQ601">
        <v>0.634768</v>
      </c>
      <c r="AR601">
        <v>63.476790000000001</v>
      </c>
      <c r="AS601">
        <v>100</v>
      </c>
      <c r="AT601">
        <v>0.82838000000000001</v>
      </c>
      <c r="AU601">
        <v>0.71724299999999996</v>
      </c>
      <c r="AV601">
        <v>82.837951000000004</v>
      </c>
      <c r="AW601">
        <v>100</v>
      </c>
      <c r="AX601">
        <v>0.605989</v>
      </c>
      <c r="AY601">
        <v>0.65635200000000005</v>
      </c>
      <c r="AZ601">
        <v>60.598860999999999</v>
      </c>
      <c r="BA601">
        <v>100</v>
      </c>
      <c r="BB601" t="s">
        <v>125</v>
      </c>
      <c r="BC601" t="s">
        <v>125</v>
      </c>
      <c r="BD601" t="s">
        <v>125</v>
      </c>
      <c r="BE601" t="s">
        <v>125</v>
      </c>
      <c r="BF601" t="s">
        <v>125</v>
      </c>
      <c r="BG601" t="s">
        <v>125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6.1856000000000001E-2</v>
      </c>
      <c r="BS601">
        <v>47.628866000000002</v>
      </c>
      <c r="BT601">
        <v>50</v>
      </c>
      <c r="BU601">
        <v>0.08</v>
      </c>
      <c r="BV601">
        <v>44</v>
      </c>
      <c r="BW601">
        <v>50</v>
      </c>
      <c r="BX601" t="s">
        <v>125</v>
      </c>
      <c r="BY601" t="s">
        <v>125</v>
      </c>
      <c r="BZ601" t="s">
        <v>125</v>
      </c>
      <c r="CA601" t="s">
        <v>125</v>
      </c>
      <c r="CB601" t="s">
        <v>125</v>
      </c>
      <c r="CC601" t="s">
        <v>125</v>
      </c>
      <c r="CD601" t="s">
        <v>125</v>
      </c>
      <c r="CE601" t="s">
        <v>125</v>
      </c>
      <c r="CF601" t="s">
        <v>125</v>
      </c>
      <c r="CG601" t="s">
        <v>125</v>
      </c>
      <c r="CH601" t="s">
        <v>125</v>
      </c>
      <c r="CI601" t="s">
        <v>125</v>
      </c>
      <c r="CJ601" t="s">
        <v>125</v>
      </c>
      <c r="CK601" t="s">
        <v>125</v>
      </c>
      <c r="CL601" t="s">
        <v>125</v>
      </c>
      <c r="CM601" t="s">
        <v>125</v>
      </c>
      <c r="CN601" t="s">
        <v>125</v>
      </c>
      <c r="CO601" t="s">
        <v>125</v>
      </c>
      <c r="CP601" t="s">
        <v>125</v>
      </c>
      <c r="CQ601">
        <v>0.65789500000000001</v>
      </c>
      <c r="CR601">
        <v>0.82608700000000002</v>
      </c>
      <c r="CS601">
        <v>21.929825000000001</v>
      </c>
      <c r="CT601">
        <v>50</v>
      </c>
      <c r="CU601" t="s">
        <v>125</v>
      </c>
      <c r="CV601" t="s">
        <v>125</v>
      </c>
      <c r="CW601" t="s">
        <v>125</v>
      </c>
      <c r="CX601" t="s">
        <v>125</v>
      </c>
      <c r="CY601" t="s">
        <v>125</v>
      </c>
      <c r="CZ601" t="s">
        <v>125</v>
      </c>
      <c r="DA601">
        <v>15.314097</v>
      </c>
      <c r="DB601">
        <v>17.400950000000002</v>
      </c>
      <c r="DC601">
        <v>16.332519999999999</v>
      </c>
      <c r="DD601" t="s">
        <v>125</v>
      </c>
      <c r="DE601">
        <v>0</v>
      </c>
      <c r="DH601" t="s">
        <v>332</v>
      </c>
      <c r="DI601" t="s">
        <v>524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Q601" t="s">
        <v>126</v>
      </c>
    </row>
    <row r="602" spans="1:121" x14ac:dyDescent="0.15">
      <c r="A602">
        <v>2018</v>
      </c>
      <c r="B602" t="s">
        <v>161</v>
      </c>
      <c r="C602" t="str">
        <f t="shared" si="22"/>
        <v>0830011</v>
      </c>
      <c r="D602" t="s">
        <v>758</v>
      </c>
      <c r="E602" t="str">
        <f>"0830911"</f>
        <v>0830911</v>
      </c>
      <c r="F602" t="s">
        <v>328</v>
      </c>
      <c r="G602" t="s">
        <v>339</v>
      </c>
      <c r="H602">
        <v>5</v>
      </c>
      <c r="I602" t="s">
        <v>336</v>
      </c>
      <c r="J602" t="s">
        <v>331</v>
      </c>
      <c r="K602">
        <v>650.50717299999997</v>
      </c>
      <c r="L602">
        <v>950</v>
      </c>
      <c r="M602">
        <v>68.474439000000004</v>
      </c>
      <c r="N602">
        <v>3</v>
      </c>
      <c r="O602">
        <v>1</v>
      </c>
      <c r="P602">
        <v>67.723901999999995</v>
      </c>
      <c r="Q602">
        <v>45.149267999999999</v>
      </c>
      <c r="R602">
        <v>50</v>
      </c>
      <c r="S602">
        <v>58.227203000000003</v>
      </c>
      <c r="T602">
        <v>75</v>
      </c>
      <c r="U602">
        <v>38.818134999999998</v>
      </c>
      <c r="V602">
        <v>50</v>
      </c>
      <c r="W602">
        <v>66.983834000000002</v>
      </c>
      <c r="X602">
        <v>44.655889999999999</v>
      </c>
      <c r="Y602">
        <v>50</v>
      </c>
      <c r="Z602">
        <v>75</v>
      </c>
      <c r="AA602">
        <v>57.705835</v>
      </c>
      <c r="AB602">
        <v>38.470556999999999</v>
      </c>
      <c r="AC602">
        <v>50</v>
      </c>
      <c r="AD602">
        <v>66.340221999999997</v>
      </c>
      <c r="AE602">
        <v>44.226815000000002</v>
      </c>
      <c r="AF602">
        <v>50</v>
      </c>
      <c r="AG602">
        <v>52.981368000000003</v>
      </c>
      <c r="AH602" t="s">
        <v>125</v>
      </c>
      <c r="AI602">
        <v>35.320912</v>
      </c>
      <c r="AJ602">
        <v>50</v>
      </c>
      <c r="AK602">
        <v>16.77</v>
      </c>
      <c r="AL602">
        <v>17.29</v>
      </c>
      <c r="AM602" t="s">
        <v>125</v>
      </c>
      <c r="AN602">
        <v>0.54029499999999997</v>
      </c>
      <c r="AO602">
        <v>54.029451000000002</v>
      </c>
      <c r="AP602">
        <v>100</v>
      </c>
      <c r="AQ602">
        <v>0.60520700000000005</v>
      </c>
      <c r="AR602">
        <v>60.520698000000003</v>
      </c>
      <c r="AS602">
        <v>100</v>
      </c>
      <c r="AT602">
        <v>0.38381300000000002</v>
      </c>
      <c r="AU602">
        <v>0.78479600000000005</v>
      </c>
      <c r="AV602">
        <v>38.381323999999999</v>
      </c>
      <c r="AW602">
        <v>100</v>
      </c>
      <c r="AX602">
        <v>0.51245099999999999</v>
      </c>
      <c r="AY602">
        <v>0.74724000000000002</v>
      </c>
      <c r="AZ602">
        <v>51.245088000000003</v>
      </c>
      <c r="BA602">
        <v>100</v>
      </c>
      <c r="BB602">
        <v>0.89940500000000001</v>
      </c>
      <c r="BC602">
        <v>44.970269999999999</v>
      </c>
      <c r="BD602">
        <v>50</v>
      </c>
      <c r="BE602">
        <v>0.70860199999999995</v>
      </c>
      <c r="BF602">
        <v>35.430114000000003</v>
      </c>
      <c r="BG602">
        <v>50</v>
      </c>
      <c r="BH602">
        <v>0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9.2165999999999998E-2</v>
      </c>
      <c r="BS602">
        <v>41.56682</v>
      </c>
      <c r="BT602">
        <v>50</v>
      </c>
      <c r="BU602">
        <v>0.10958900000000001</v>
      </c>
      <c r="BV602">
        <v>38.082191999999999</v>
      </c>
      <c r="BW602">
        <v>50</v>
      </c>
      <c r="BX602" t="s">
        <v>125</v>
      </c>
      <c r="BY602" t="s">
        <v>125</v>
      </c>
      <c r="BZ602" t="s">
        <v>125</v>
      </c>
      <c r="CA602" t="s">
        <v>125</v>
      </c>
      <c r="CB602" t="s">
        <v>125</v>
      </c>
      <c r="CC602" t="s">
        <v>125</v>
      </c>
      <c r="CD602" t="s">
        <v>125</v>
      </c>
      <c r="CE602" t="s">
        <v>125</v>
      </c>
      <c r="CF602" t="s">
        <v>125</v>
      </c>
      <c r="CG602" t="s">
        <v>125</v>
      </c>
      <c r="CH602" t="s">
        <v>125</v>
      </c>
      <c r="CI602" t="s">
        <v>125</v>
      </c>
      <c r="CJ602" t="s">
        <v>125</v>
      </c>
      <c r="CK602" t="s">
        <v>125</v>
      </c>
      <c r="CL602" t="s">
        <v>125</v>
      </c>
      <c r="CM602" t="s">
        <v>125</v>
      </c>
      <c r="CN602" t="s">
        <v>125</v>
      </c>
      <c r="CO602" t="s">
        <v>125</v>
      </c>
      <c r="CP602" t="s">
        <v>125</v>
      </c>
      <c r="CQ602">
        <v>0.59459499999999998</v>
      </c>
      <c r="CR602">
        <v>0.94871799999999995</v>
      </c>
      <c r="CS602">
        <v>39.63964</v>
      </c>
      <c r="CT602">
        <v>50</v>
      </c>
      <c r="CU602" t="s">
        <v>125</v>
      </c>
      <c r="CV602" t="s">
        <v>125</v>
      </c>
      <c r="CW602" t="s">
        <v>125</v>
      </c>
      <c r="CX602" t="s">
        <v>125</v>
      </c>
      <c r="CY602" t="s">
        <v>125</v>
      </c>
      <c r="CZ602" t="s">
        <v>125</v>
      </c>
      <c r="DA602">
        <v>15.314097</v>
      </c>
      <c r="DB602">
        <v>17.400950000000002</v>
      </c>
      <c r="DC602">
        <v>16.332519999999999</v>
      </c>
      <c r="DD602" t="s">
        <v>125</v>
      </c>
      <c r="DE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Q602" t="s">
        <v>126</v>
      </c>
    </row>
    <row r="603" spans="1:121" x14ac:dyDescent="0.15">
      <c r="A603">
        <v>2018</v>
      </c>
      <c r="B603" t="s">
        <v>161</v>
      </c>
      <c r="C603" t="str">
        <f t="shared" si="22"/>
        <v>0830011</v>
      </c>
      <c r="D603" t="s">
        <v>759</v>
      </c>
      <c r="E603" t="str">
        <f>"0836211"</f>
        <v>0836211</v>
      </c>
      <c r="F603" t="s">
        <v>328</v>
      </c>
      <c r="G603">
        <v>9</v>
      </c>
      <c r="H603">
        <v>12</v>
      </c>
      <c r="J603" t="s">
        <v>331</v>
      </c>
      <c r="K603">
        <v>1018.610814</v>
      </c>
      <c r="L603">
        <v>1450</v>
      </c>
      <c r="M603">
        <v>70.249021999999997</v>
      </c>
      <c r="N603">
        <v>3</v>
      </c>
      <c r="O603">
        <v>1</v>
      </c>
      <c r="P603">
        <v>53.744855999999999</v>
      </c>
      <c r="Q603">
        <v>107.489712</v>
      </c>
      <c r="R603">
        <v>150</v>
      </c>
      <c r="S603">
        <v>44.931418000000001</v>
      </c>
      <c r="T603">
        <v>62.152411999999998</v>
      </c>
      <c r="U603">
        <v>89.862835000000004</v>
      </c>
      <c r="V603">
        <v>150</v>
      </c>
      <c r="W603">
        <v>49.909464999999997</v>
      </c>
      <c r="X603">
        <v>99.818929999999995</v>
      </c>
      <c r="Y603">
        <v>150</v>
      </c>
      <c r="Z603">
        <v>58.328946999999999</v>
      </c>
      <c r="AA603">
        <v>41.083525000000002</v>
      </c>
      <c r="AB603">
        <v>82.167050000000003</v>
      </c>
      <c r="AC603">
        <v>150</v>
      </c>
      <c r="AD603">
        <v>46.704019000000002</v>
      </c>
      <c r="AE603">
        <v>62.272025999999997</v>
      </c>
      <c r="AF603">
        <v>100</v>
      </c>
      <c r="AG603">
        <v>39.985348000000002</v>
      </c>
      <c r="AH603">
        <v>53.066735000000001</v>
      </c>
      <c r="AI603">
        <v>53.313797000000001</v>
      </c>
      <c r="AJ603">
        <v>100</v>
      </c>
      <c r="AK603">
        <v>17.22</v>
      </c>
      <c r="AL603">
        <v>17.239999999999998</v>
      </c>
      <c r="AM603">
        <v>13.08</v>
      </c>
      <c r="AN603" t="s">
        <v>125</v>
      </c>
      <c r="AO603" t="s">
        <v>125</v>
      </c>
      <c r="AP603" t="s">
        <v>125</v>
      </c>
      <c r="AQ603" t="s">
        <v>125</v>
      </c>
      <c r="AR603" t="s">
        <v>125</v>
      </c>
      <c r="AS603" t="s">
        <v>125</v>
      </c>
      <c r="AT603" t="s">
        <v>125</v>
      </c>
      <c r="AU603" t="s">
        <v>125</v>
      </c>
      <c r="AV603" t="s">
        <v>125</v>
      </c>
      <c r="AW603" t="s">
        <v>125</v>
      </c>
      <c r="AX603" t="s">
        <v>125</v>
      </c>
      <c r="AY603" t="s">
        <v>125</v>
      </c>
      <c r="AZ603" t="s">
        <v>125</v>
      </c>
      <c r="BA603" t="s">
        <v>125</v>
      </c>
      <c r="BB603" t="s">
        <v>125</v>
      </c>
      <c r="BC603" t="s">
        <v>125</v>
      </c>
      <c r="BD603" t="s">
        <v>125</v>
      </c>
      <c r="BE603" t="s">
        <v>125</v>
      </c>
      <c r="BF603" t="s">
        <v>125</v>
      </c>
      <c r="BG603" t="s">
        <v>125</v>
      </c>
      <c r="BH603">
        <v>0</v>
      </c>
      <c r="BI603">
        <v>0.98101300000000002</v>
      </c>
      <c r="BJ603">
        <v>0.98742099999999999</v>
      </c>
      <c r="BK603">
        <v>0.974522</v>
      </c>
      <c r="BL603">
        <v>0.98101300000000002</v>
      </c>
      <c r="BM603">
        <v>0.98742099999999999</v>
      </c>
      <c r="BN603">
        <v>0.974522</v>
      </c>
      <c r="BO603">
        <v>0.97777800000000004</v>
      </c>
      <c r="BP603">
        <v>0.97484300000000002</v>
      </c>
      <c r="BQ603">
        <v>0.980769</v>
      </c>
      <c r="BR603">
        <v>0.14701400000000001</v>
      </c>
      <c r="BS603">
        <v>30.597242999999999</v>
      </c>
      <c r="BT603">
        <v>50</v>
      </c>
      <c r="BU603">
        <v>0.203101</v>
      </c>
      <c r="BV603">
        <v>19.379845</v>
      </c>
      <c r="BW603">
        <v>50</v>
      </c>
      <c r="BX603">
        <v>0.82758600000000004</v>
      </c>
      <c r="BY603">
        <v>50</v>
      </c>
      <c r="BZ603">
        <v>50</v>
      </c>
      <c r="CA603">
        <v>0.36453200000000002</v>
      </c>
      <c r="CB603">
        <v>24.302135</v>
      </c>
      <c r="CC603">
        <v>50</v>
      </c>
      <c r="CD603">
        <v>0.91036399999999995</v>
      </c>
      <c r="CE603">
        <v>48.423625000000001</v>
      </c>
      <c r="CF603">
        <v>50</v>
      </c>
      <c r="CG603">
        <v>0.96808499999999997</v>
      </c>
      <c r="CH603">
        <v>100</v>
      </c>
      <c r="CI603">
        <v>100</v>
      </c>
      <c r="CJ603">
        <v>0</v>
      </c>
      <c r="CK603">
        <v>0.94904500000000003</v>
      </c>
      <c r="CL603">
        <v>100</v>
      </c>
      <c r="CM603">
        <v>100</v>
      </c>
      <c r="CN603">
        <v>0.73550700000000002</v>
      </c>
      <c r="CO603">
        <v>98.067633000000001</v>
      </c>
      <c r="CP603">
        <v>100</v>
      </c>
      <c r="CQ603">
        <v>0.64184399999999997</v>
      </c>
      <c r="CR603">
        <v>0.82697900000000002</v>
      </c>
      <c r="CS603">
        <v>21.394798999999999</v>
      </c>
      <c r="CT603">
        <v>50</v>
      </c>
      <c r="CU603">
        <v>0.37825399999999998</v>
      </c>
      <c r="CV603">
        <v>31.521184000000002</v>
      </c>
      <c r="CW603">
        <v>50</v>
      </c>
      <c r="CX603">
        <v>0.94904500000000003</v>
      </c>
      <c r="CY603">
        <v>0.94</v>
      </c>
      <c r="CZ603">
        <v>-9.0449999999999992E-3</v>
      </c>
      <c r="DA603">
        <v>15.314097</v>
      </c>
      <c r="DB603">
        <v>17.400950000000002</v>
      </c>
      <c r="DC603">
        <v>16.332519999999999</v>
      </c>
      <c r="DD603">
        <v>7.9891730000000001</v>
      </c>
      <c r="DE603">
        <v>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Q603" t="s">
        <v>126</v>
      </c>
    </row>
    <row r="604" spans="1:121" x14ac:dyDescent="0.15">
      <c r="A604">
        <v>2018</v>
      </c>
      <c r="B604" t="s">
        <v>161</v>
      </c>
      <c r="C604" t="str">
        <f t="shared" si="22"/>
        <v>0830011</v>
      </c>
      <c r="D604" t="s">
        <v>760</v>
      </c>
      <c r="E604" t="str">
        <f>"0831211"</f>
        <v>0831211</v>
      </c>
      <c r="F604" t="s">
        <v>328</v>
      </c>
      <c r="G604" t="s">
        <v>339</v>
      </c>
      <c r="H604">
        <v>5</v>
      </c>
      <c r="J604" t="s">
        <v>331</v>
      </c>
      <c r="K604">
        <v>695.53592700000002</v>
      </c>
      <c r="L604">
        <v>800</v>
      </c>
      <c r="M604">
        <v>86.941991000000002</v>
      </c>
      <c r="N604">
        <v>1</v>
      </c>
      <c r="O604">
        <v>0</v>
      </c>
      <c r="P604">
        <v>78.800257999999999</v>
      </c>
      <c r="Q604">
        <v>50</v>
      </c>
      <c r="R604">
        <v>50</v>
      </c>
      <c r="S604">
        <v>73.555025000000001</v>
      </c>
      <c r="T604">
        <v>75</v>
      </c>
      <c r="U604">
        <v>49.036682999999996</v>
      </c>
      <c r="V604">
        <v>50</v>
      </c>
      <c r="W604">
        <v>77.900311000000002</v>
      </c>
      <c r="X604">
        <v>50</v>
      </c>
      <c r="Y604">
        <v>50</v>
      </c>
      <c r="Z604">
        <v>75</v>
      </c>
      <c r="AA604">
        <v>73.139629999999997</v>
      </c>
      <c r="AB604">
        <v>48.759754000000001</v>
      </c>
      <c r="AC604">
        <v>50</v>
      </c>
      <c r="AD604">
        <v>70.521659</v>
      </c>
      <c r="AE604">
        <v>47.014439000000003</v>
      </c>
      <c r="AF604">
        <v>50</v>
      </c>
      <c r="AG604" t="s">
        <v>125</v>
      </c>
      <c r="AH604">
        <v>75</v>
      </c>
      <c r="AI604" t="s">
        <v>125</v>
      </c>
      <c r="AJ604" t="s">
        <v>125</v>
      </c>
      <c r="AK604">
        <v>1.44</v>
      </c>
      <c r="AL604">
        <v>1.86</v>
      </c>
      <c r="AM604" t="s">
        <v>125</v>
      </c>
      <c r="AN604">
        <v>0.73337799999999997</v>
      </c>
      <c r="AO604">
        <v>73.337841999999995</v>
      </c>
      <c r="AP604">
        <v>100</v>
      </c>
      <c r="AQ604">
        <v>0.70108800000000004</v>
      </c>
      <c r="AR604">
        <v>70.108825999999993</v>
      </c>
      <c r="AS604">
        <v>100</v>
      </c>
      <c r="AT604">
        <v>0.79159100000000004</v>
      </c>
      <c r="AU604">
        <v>0.71055000000000001</v>
      </c>
      <c r="AV604">
        <v>79.159119000000004</v>
      </c>
      <c r="AW604">
        <v>100</v>
      </c>
      <c r="AX604">
        <v>0.81965399999999999</v>
      </c>
      <c r="AY604">
        <v>0.65459199999999995</v>
      </c>
      <c r="AZ604">
        <v>81.965418</v>
      </c>
      <c r="BA604">
        <v>100</v>
      </c>
      <c r="BB604" t="s">
        <v>125</v>
      </c>
      <c r="BC604" t="s">
        <v>125</v>
      </c>
      <c r="BD604" t="s">
        <v>125</v>
      </c>
      <c r="BE604" t="s">
        <v>125</v>
      </c>
      <c r="BF604" t="s">
        <v>125</v>
      </c>
      <c r="BG604" t="s">
        <v>125</v>
      </c>
      <c r="BH604">
        <v>0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 t="s">
        <v>125</v>
      </c>
      <c r="BQ604">
        <v>1</v>
      </c>
      <c r="BR604">
        <v>2.7397000000000001E-2</v>
      </c>
      <c r="BS604">
        <v>50</v>
      </c>
      <c r="BT604">
        <v>50</v>
      </c>
      <c r="BU604">
        <v>3.8462000000000003E-2</v>
      </c>
      <c r="BV604">
        <v>50</v>
      </c>
      <c r="BW604">
        <v>50</v>
      </c>
      <c r="BX604" t="s">
        <v>125</v>
      </c>
      <c r="BY604" t="s">
        <v>125</v>
      </c>
      <c r="BZ604" t="s">
        <v>125</v>
      </c>
      <c r="CA604" t="s">
        <v>125</v>
      </c>
      <c r="CB604" t="s">
        <v>125</v>
      </c>
      <c r="CC604" t="s">
        <v>125</v>
      </c>
      <c r="CD604" t="s">
        <v>125</v>
      </c>
      <c r="CE604" t="s">
        <v>125</v>
      </c>
      <c r="CF604" t="s">
        <v>125</v>
      </c>
      <c r="CG604" t="s">
        <v>125</v>
      </c>
      <c r="CH604" t="s">
        <v>125</v>
      </c>
      <c r="CI604" t="s">
        <v>125</v>
      </c>
      <c r="CJ604" t="s">
        <v>125</v>
      </c>
      <c r="CK604" t="s">
        <v>125</v>
      </c>
      <c r="CL604" t="s">
        <v>125</v>
      </c>
      <c r="CM604" t="s">
        <v>125</v>
      </c>
      <c r="CN604" t="s">
        <v>125</v>
      </c>
      <c r="CO604" t="s">
        <v>125</v>
      </c>
      <c r="CP604" t="s">
        <v>125</v>
      </c>
      <c r="CQ604">
        <v>0.69230800000000003</v>
      </c>
      <c r="CR604">
        <v>1.026316</v>
      </c>
      <c r="CS604">
        <v>46.153846000000001</v>
      </c>
      <c r="CT604">
        <v>50</v>
      </c>
      <c r="CU604" t="s">
        <v>125</v>
      </c>
      <c r="CV604" t="s">
        <v>125</v>
      </c>
      <c r="CW604" t="s">
        <v>125</v>
      </c>
      <c r="CX604" t="s">
        <v>125</v>
      </c>
      <c r="CY604" t="s">
        <v>125</v>
      </c>
      <c r="CZ604" t="s">
        <v>125</v>
      </c>
      <c r="DA604">
        <v>15.314097</v>
      </c>
      <c r="DB604">
        <v>17.400950000000002</v>
      </c>
      <c r="DC604">
        <v>16.332519999999999</v>
      </c>
      <c r="DD604" t="s">
        <v>125</v>
      </c>
      <c r="DE604">
        <v>0</v>
      </c>
      <c r="DH604" t="s">
        <v>332</v>
      </c>
      <c r="DI604" t="s">
        <v>699</v>
      </c>
      <c r="DJ604">
        <v>1</v>
      </c>
      <c r="DK604">
        <v>0</v>
      </c>
      <c r="DL604">
        <v>0</v>
      </c>
      <c r="DM604">
        <v>1</v>
      </c>
      <c r="DN604">
        <v>1</v>
      </c>
      <c r="DO604">
        <v>0</v>
      </c>
      <c r="DQ604" t="s">
        <v>126</v>
      </c>
    </row>
    <row r="605" spans="1:121" x14ac:dyDescent="0.15">
      <c r="A605">
        <v>2018</v>
      </c>
      <c r="B605" t="s">
        <v>161</v>
      </c>
      <c r="C605" t="str">
        <f t="shared" si="22"/>
        <v>0830011</v>
      </c>
      <c r="D605" t="s">
        <v>761</v>
      </c>
      <c r="E605" t="str">
        <f>"0831111"</f>
        <v>0831111</v>
      </c>
      <c r="F605" t="s">
        <v>328</v>
      </c>
      <c r="G605" t="s">
        <v>329</v>
      </c>
      <c r="H605">
        <v>5</v>
      </c>
      <c r="I605" t="s">
        <v>336</v>
      </c>
      <c r="J605" t="s">
        <v>331</v>
      </c>
      <c r="K605">
        <v>615.13911800000005</v>
      </c>
      <c r="L605">
        <v>850</v>
      </c>
      <c r="M605">
        <v>72.369308000000004</v>
      </c>
      <c r="N605">
        <v>2</v>
      </c>
      <c r="O605">
        <v>0</v>
      </c>
      <c r="P605">
        <v>69.185062000000002</v>
      </c>
      <c r="Q605">
        <v>46.123373999999998</v>
      </c>
      <c r="R605">
        <v>50</v>
      </c>
      <c r="S605">
        <v>63.586235000000002</v>
      </c>
      <c r="T605">
        <v>75</v>
      </c>
      <c r="U605">
        <v>42.390822999999997</v>
      </c>
      <c r="V605">
        <v>50</v>
      </c>
      <c r="W605">
        <v>64.092117000000002</v>
      </c>
      <c r="X605">
        <v>42.728077999999996</v>
      </c>
      <c r="Y605">
        <v>50</v>
      </c>
      <c r="Z605">
        <v>70.320954</v>
      </c>
      <c r="AA605">
        <v>59.346336000000001</v>
      </c>
      <c r="AB605">
        <v>39.564224000000003</v>
      </c>
      <c r="AC605">
        <v>50</v>
      </c>
      <c r="AD605">
        <v>60.461053999999997</v>
      </c>
      <c r="AE605">
        <v>40.307369999999999</v>
      </c>
      <c r="AF605">
        <v>50</v>
      </c>
      <c r="AG605">
        <v>55.30227</v>
      </c>
      <c r="AH605" t="s">
        <v>125</v>
      </c>
      <c r="AI605">
        <v>36.868180000000002</v>
      </c>
      <c r="AJ605">
        <v>50</v>
      </c>
      <c r="AK605">
        <v>11.41</v>
      </c>
      <c r="AL605">
        <v>10.97</v>
      </c>
      <c r="AM605" t="s">
        <v>125</v>
      </c>
      <c r="AN605">
        <v>0.62334100000000003</v>
      </c>
      <c r="AO605">
        <v>62.334072999999997</v>
      </c>
      <c r="AP605">
        <v>100</v>
      </c>
      <c r="AQ605">
        <v>0.68670100000000001</v>
      </c>
      <c r="AR605">
        <v>68.670056000000002</v>
      </c>
      <c r="AS605">
        <v>100</v>
      </c>
      <c r="AT605">
        <v>0.60169399999999995</v>
      </c>
      <c r="AU605">
        <v>0.66663399999999995</v>
      </c>
      <c r="AV605">
        <v>60.169434000000003</v>
      </c>
      <c r="AW605">
        <v>100</v>
      </c>
      <c r="AX605">
        <v>0.71369400000000005</v>
      </c>
      <c r="AY605">
        <v>0.63379399999999997</v>
      </c>
      <c r="AZ605">
        <v>71.369373999999993</v>
      </c>
      <c r="BA605">
        <v>100</v>
      </c>
      <c r="BB605" t="s">
        <v>125</v>
      </c>
      <c r="BC605" t="s">
        <v>125</v>
      </c>
      <c r="BD605" t="s">
        <v>125</v>
      </c>
      <c r="BE605" t="s">
        <v>125</v>
      </c>
      <c r="BF605" t="s">
        <v>125</v>
      </c>
      <c r="BG605" t="s">
        <v>125</v>
      </c>
      <c r="BH605">
        <v>0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 t="s">
        <v>125</v>
      </c>
      <c r="BR605">
        <v>7.1684999999999999E-2</v>
      </c>
      <c r="BS605">
        <v>45.663082000000003</v>
      </c>
      <c r="BT605">
        <v>50</v>
      </c>
      <c r="BU605">
        <v>9.6154000000000003E-2</v>
      </c>
      <c r="BV605">
        <v>40.769230999999998</v>
      </c>
      <c r="BW605">
        <v>50</v>
      </c>
      <c r="BX605" t="s">
        <v>125</v>
      </c>
      <c r="BY605" t="s">
        <v>125</v>
      </c>
      <c r="BZ605" t="s">
        <v>125</v>
      </c>
      <c r="CA605" t="s">
        <v>125</v>
      </c>
      <c r="CB605" t="s">
        <v>125</v>
      </c>
      <c r="CC605" t="s">
        <v>125</v>
      </c>
      <c r="CD605" t="s">
        <v>125</v>
      </c>
      <c r="CE605" t="s">
        <v>125</v>
      </c>
      <c r="CF605" t="s">
        <v>125</v>
      </c>
      <c r="CG605" t="s">
        <v>125</v>
      </c>
      <c r="CH605" t="s">
        <v>125</v>
      </c>
      <c r="CI605" t="s">
        <v>125</v>
      </c>
      <c r="CJ605" t="s">
        <v>125</v>
      </c>
      <c r="CK605" t="s">
        <v>125</v>
      </c>
      <c r="CL605" t="s">
        <v>125</v>
      </c>
      <c r="CM605" t="s">
        <v>125</v>
      </c>
      <c r="CN605" t="s">
        <v>125</v>
      </c>
      <c r="CO605" t="s">
        <v>125</v>
      </c>
      <c r="CP605" t="s">
        <v>125</v>
      </c>
      <c r="CQ605">
        <v>0.272727</v>
      </c>
      <c r="CR605">
        <v>0.97058800000000001</v>
      </c>
      <c r="CS605">
        <v>18.181818</v>
      </c>
      <c r="CT605">
        <v>50</v>
      </c>
      <c r="CU605" t="s">
        <v>125</v>
      </c>
      <c r="CV605" t="s">
        <v>125</v>
      </c>
      <c r="CW605" t="s">
        <v>125</v>
      </c>
      <c r="CX605" t="s">
        <v>125</v>
      </c>
      <c r="CY605" t="s">
        <v>125</v>
      </c>
      <c r="CZ605" t="s">
        <v>125</v>
      </c>
      <c r="DA605">
        <v>15.314097</v>
      </c>
      <c r="DB605">
        <v>17.400950000000002</v>
      </c>
      <c r="DC605">
        <v>16.332519999999999</v>
      </c>
      <c r="DD605" t="s">
        <v>125</v>
      </c>
      <c r="DE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Q605" t="s">
        <v>126</v>
      </c>
    </row>
    <row r="606" spans="1:121" x14ac:dyDescent="0.15">
      <c r="A606">
        <v>2018</v>
      </c>
      <c r="B606" t="s">
        <v>161</v>
      </c>
      <c r="C606" t="str">
        <f t="shared" si="22"/>
        <v>0830011</v>
      </c>
      <c r="D606" t="s">
        <v>762</v>
      </c>
      <c r="E606" t="str">
        <f>"0830111"</f>
        <v>0830111</v>
      </c>
      <c r="F606" t="s">
        <v>328</v>
      </c>
      <c r="G606" t="s">
        <v>339</v>
      </c>
      <c r="H606">
        <v>5</v>
      </c>
      <c r="I606" t="s">
        <v>336</v>
      </c>
      <c r="J606" t="s">
        <v>331</v>
      </c>
      <c r="K606">
        <v>600.43977400000006</v>
      </c>
      <c r="L606">
        <v>850</v>
      </c>
      <c r="M606">
        <v>70.639972999999998</v>
      </c>
      <c r="N606">
        <v>2</v>
      </c>
      <c r="O606">
        <v>0</v>
      </c>
      <c r="P606">
        <v>62.847839</v>
      </c>
      <c r="Q606">
        <v>41.898558999999999</v>
      </c>
      <c r="R606">
        <v>50</v>
      </c>
      <c r="S606">
        <v>57.596488999999998</v>
      </c>
      <c r="T606">
        <v>70.673379999999995</v>
      </c>
      <c r="U606">
        <v>38.397658999999997</v>
      </c>
      <c r="V606">
        <v>50</v>
      </c>
      <c r="W606">
        <v>59.143034999999998</v>
      </c>
      <c r="X606">
        <v>39.428690000000003</v>
      </c>
      <c r="Y606">
        <v>50</v>
      </c>
      <c r="Z606">
        <v>65.104279000000005</v>
      </c>
      <c r="AA606">
        <v>55.034610999999998</v>
      </c>
      <c r="AB606">
        <v>36.689740999999998</v>
      </c>
      <c r="AC606">
        <v>50</v>
      </c>
      <c r="AD606">
        <v>64.293424000000002</v>
      </c>
      <c r="AE606">
        <v>42.862282999999998</v>
      </c>
      <c r="AF606">
        <v>50</v>
      </c>
      <c r="AG606">
        <v>57.891655</v>
      </c>
      <c r="AH606" t="s">
        <v>125</v>
      </c>
      <c r="AI606">
        <v>38.594436999999999</v>
      </c>
      <c r="AJ606">
        <v>50</v>
      </c>
      <c r="AK606">
        <v>13.07</v>
      </c>
      <c r="AL606">
        <v>10.06</v>
      </c>
      <c r="AM606" t="s">
        <v>125</v>
      </c>
      <c r="AN606">
        <v>0.59465000000000001</v>
      </c>
      <c r="AO606">
        <v>59.464981000000002</v>
      </c>
      <c r="AP606">
        <v>100</v>
      </c>
      <c r="AQ606">
        <v>0.57336900000000002</v>
      </c>
      <c r="AR606">
        <v>57.336869</v>
      </c>
      <c r="AS606">
        <v>100</v>
      </c>
      <c r="AT606">
        <v>0.56770100000000001</v>
      </c>
      <c r="AU606">
        <v>0.63629899999999995</v>
      </c>
      <c r="AV606">
        <v>56.770065000000002</v>
      </c>
      <c r="AW606">
        <v>100</v>
      </c>
      <c r="AX606">
        <v>0.66175499999999998</v>
      </c>
      <c r="AY606">
        <v>0.43945099999999998</v>
      </c>
      <c r="AZ606">
        <v>66.175461999999996</v>
      </c>
      <c r="BA606">
        <v>100</v>
      </c>
      <c r="BB606" t="s">
        <v>125</v>
      </c>
      <c r="BC606" t="s">
        <v>125</v>
      </c>
      <c r="BD606" t="s">
        <v>125</v>
      </c>
      <c r="BE606" t="s">
        <v>125</v>
      </c>
      <c r="BF606" t="s">
        <v>125</v>
      </c>
      <c r="BG606" t="s">
        <v>125</v>
      </c>
      <c r="BH606">
        <v>0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 t="s">
        <v>125</v>
      </c>
      <c r="BR606">
        <v>7.3427000000000006E-2</v>
      </c>
      <c r="BS606">
        <v>45.314684999999997</v>
      </c>
      <c r="BT606">
        <v>50</v>
      </c>
      <c r="BU606">
        <v>8.9887999999999996E-2</v>
      </c>
      <c r="BV606">
        <v>42.022472</v>
      </c>
      <c r="BW606">
        <v>50</v>
      </c>
      <c r="BX606" t="s">
        <v>125</v>
      </c>
      <c r="BY606" t="s">
        <v>125</v>
      </c>
      <c r="BZ606" t="s">
        <v>125</v>
      </c>
      <c r="CA606" t="s">
        <v>125</v>
      </c>
      <c r="CB606" t="s">
        <v>125</v>
      </c>
      <c r="CC606" t="s">
        <v>125</v>
      </c>
      <c r="CD606" t="s">
        <v>125</v>
      </c>
      <c r="CE606" t="s">
        <v>125</v>
      </c>
      <c r="CF606" t="s">
        <v>125</v>
      </c>
      <c r="CG606" t="s">
        <v>125</v>
      </c>
      <c r="CH606" t="s">
        <v>125</v>
      </c>
      <c r="CI606" t="s">
        <v>125</v>
      </c>
      <c r="CJ606" t="s">
        <v>125</v>
      </c>
      <c r="CK606" t="s">
        <v>125</v>
      </c>
      <c r="CL606" t="s">
        <v>125</v>
      </c>
      <c r="CM606" t="s">
        <v>125</v>
      </c>
      <c r="CN606" t="s">
        <v>125</v>
      </c>
      <c r="CO606" t="s">
        <v>125</v>
      </c>
      <c r="CP606" t="s">
        <v>125</v>
      </c>
      <c r="CQ606">
        <v>0.53225800000000001</v>
      </c>
      <c r="CR606">
        <v>1.3191489999999999</v>
      </c>
      <c r="CS606">
        <v>35.483871000000001</v>
      </c>
      <c r="CT606">
        <v>50</v>
      </c>
      <c r="CU606" t="s">
        <v>125</v>
      </c>
      <c r="CV606" t="s">
        <v>125</v>
      </c>
      <c r="CW606" t="s">
        <v>125</v>
      </c>
      <c r="CX606" t="s">
        <v>125</v>
      </c>
      <c r="CY606" t="s">
        <v>125</v>
      </c>
      <c r="CZ606" t="s">
        <v>125</v>
      </c>
      <c r="DA606">
        <v>15.314097</v>
      </c>
      <c r="DB606">
        <v>17.400950000000002</v>
      </c>
      <c r="DC606">
        <v>16.332519999999999</v>
      </c>
      <c r="DD606" t="s">
        <v>125</v>
      </c>
      <c r="DE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Q606" t="s">
        <v>126</v>
      </c>
    </row>
    <row r="607" spans="1:121" x14ac:dyDescent="0.15">
      <c r="A607">
        <v>2018</v>
      </c>
      <c r="B607" t="s">
        <v>161</v>
      </c>
      <c r="C607" t="str">
        <f t="shared" si="22"/>
        <v>0830011</v>
      </c>
      <c r="D607" t="s">
        <v>763</v>
      </c>
      <c r="E607" t="str">
        <f>"0831411"</f>
        <v>0831411</v>
      </c>
      <c r="F607" t="s">
        <v>328</v>
      </c>
      <c r="G607" t="s">
        <v>339</v>
      </c>
      <c r="H607">
        <v>5</v>
      </c>
      <c r="J607" t="s">
        <v>331</v>
      </c>
      <c r="K607">
        <v>578.13947900000005</v>
      </c>
      <c r="L607">
        <v>800</v>
      </c>
      <c r="M607">
        <v>72.267435000000006</v>
      </c>
      <c r="N607">
        <v>2</v>
      </c>
      <c r="O607">
        <v>0</v>
      </c>
      <c r="P607">
        <v>71.583612000000002</v>
      </c>
      <c r="Q607">
        <v>47.722408000000001</v>
      </c>
      <c r="R607">
        <v>50</v>
      </c>
      <c r="S607">
        <v>60.417023</v>
      </c>
      <c r="T607">
        <v>75</v>
      </c>
      <c r="U607">
        <v>40.278015000000003</v>
      </c>
      <c r="V607">
        <v>50</v>
      </c>
      <c r="W607">
        <v>66.072333999999998</v>
      </c>
      <c r="X607">
        <v>44.048223</v>
      </c>
      <c r="Y607">
        <v>50</v>
      </c>
      <c r="Z607">
        <v>71.922921000000002</v>
      </c>
      <c r="AA607">
        <v>56.631613000000002</v>
      </c>
      <c r="AB607">
        <v>37.754409000000003</v>
      </c>
      <c r="AC607">
        <v>50</v>
      </c>
      <c r="AD607">
        <v>72.432615999999996</v>
      </c>
      <c r="AE607">
        <v>48.288411000000004</v>
      </c>
      <c r="AF607">
        <v>50</v>
      </c>
      <c r="AG607" t="s">
        <v>125</v>
      </c>
      <c r="AH607">
        <v>75</v>
      </c>
      <c r="AI607" t="s">
        <v>125</v>
      </c>
      <c r="AJ607" t="s">
        <v>125</v>
      </c>
      <c r="AK607">
        <v>14.58</v>
      </c>
      <c r="AL607">
        <v>15.29</v>
      </c>
      <c r="AM607" t="s">
        <v>125</v>
      </c>
      <c r="AN607">
        <v>0.59378299999999995</v>
      </c>
      <c r="AO607">
        <v>59.378323000000002</v>
      </c>
      <c r="AP607">
        <v>100</v>
      </c>
      <c r="AQ607">
        <v>0.67782600000000004</v>
      </c>
      <c r="AR607">
        <v>67.782562999999996</v>
      </c>
      <c r="AS607">
        <v>100</v>
      </c>
      <c r="AT607">
        <v>0.42506899999999997</v>
      </c>
      <c r="AU607">
        <v>0.69564899999999996</v>
      </c>
      <c r="AV607">
        <v>42.506872999999999</v>
      </c>
      <c r="AW607">
        <v>100</v>
      </c>
      <c r="AX607">
        <v>0.59372499999999995</v>
      </c>
      <c r="AY607">
        <v>0.72958000000000001</v>
      </c>
      <c r="AZ607">
        <v>59.372503000000002</v>
      </c>
      <c r="BA607">
        <v>100</v>
      </c>
      <c r="BB607" t="s">
        <v>125</v>
      </c>
      <c r="BC607" t="s">
        <v>125</v>
      </c>
      <c r="BD607" t="s">
        <v>125</v>
      </c>
      <c r="BE607" t="s">
        <v>125</v>
      </c>
      <c r="BF607" t="s">
        <v>125</v>
      </c>
      <c r="BG607" t="s">
        <v>125</v>
      </c>
      <c r="BH607">
        <v>0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 t="s">
        <v>125</v>
      </c>
      <c r="BQ607">
        <v>1</v>
      </c>
      <c r="BR607">
        <v>3.3195000000000002E-2</v>
      </c>
      <c r="BS607">
        <v>50</v>
      </c>
      <c r="BT607">
        <v>50</v>
      </c>
      <c r="BU607">
        <v>0.05</v>
      </c>
      <c r="BV607">
        <v>50</v>
      </c>
      <c r="BW607">
        <v>50</v>
      </c>
      <c r="BX607" t="s">
        <v>125</v>
      </c>
      <c r="BY607" t="s">
        <v>125</v>
      </c>
      <c r="BZ607" t="s">
        <v>125</v>
      </c>
      <c r="CA607" t="s">
        <v>125</v>
      </c>
      <c r="CB607" t="s">
        <v>125</v>
      </c>
      <c r="CC607" t="s">
        <v>125</v>
      </c>
      <c r="CD607" t="s">
        <v>125</v>
      </c>
      <c r="CE607" t="s">
        <v>125</v>
      </c>
      <c r="CF607" t="s">
        <v>125</v>
      </c>
      <c r="CG607" t="s">
        <v>125</v>
      </c>
      <c r="CH607" t="s">
        <v>125</v>
      </c>
      <c r="CI607" t="s">
        <v>125</v>
      </c>
      <c r="CJ607" t="s">
        <v>125</v>
      </c>
      <c r="CK607" t="s">
        <v>125</v>
      </c>
      <c r="CL607" t="s">
        <v>125</v>
      </c>
      <c r="CM607" t="s">
        <v>125</v>
      </c>
      <c r="CN607" t="s">
        <v>125</v>
      </c>
      <c r="CO607" t="s">
        <v>125</v>
      </c>
      <c r="CP607" t="s">
        <v>125</v>
      </c>
      <c r="CQ607">
        <v>0.46511599999999997</v>
      </c>
      <c r="CR607">
        <v>0.97727299999999995</v>
      </c>
      <c r="CS607">
        <v>31.007752</v>
      </c>
      <c r="CT607">
        <v>50</v>
      </c>
      <c r="CU607" t="s">
        <v>125</v>
      </c>
      <c r="CV607" t="s">
        <v>125</v>
      </c>
      <c r="CW607" t="s">
        <v>125</v>
      </c>
      <c r="CX607" t="s">
        <v>125</v>
      </c>
      <c r="CY607" t="s">
        <v>125</v>
      </c>
      <c r="CZ607" t="s">
        <v>125</v>
      </c>
      <c r="DA607">
        <v>15.314097</v>
      </c>
      <c r="DB607">
        <v>17.400950000000002</v>
      </c>
      <c r="DC607">
        <v>16.332519999999999</v>
      </c>
      <c r="DD607" t="s">
        <v>125</v>
      </c>
      <c r="DE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Q607" t="s">
        <v>126</v>
      </c>
    </row>
    <row r="608" spans="1:121" x14ac:dyDescent="0.15">
      <c r="A608">
        <v>2018</v>
      </c>
      <c r="B608" t="s">
        <v>161</v>
      </c>
      <c r="C608" t="str">
        <f t="shared" si="22"/>
        <v>0830011</v>
      </c>
      <c r="D608" t="s">
        <v>764</v>
      </c>
      <c r="E608" t="str">
        <f>"0835411"</f>
        <v>0835411</v>
      </c>
      <c r="F608" t="s">
        <v>328</v>
      </c>
      <c r="G608">
        <v>7</v>
      </c>
      <c r="H608">
        <v>8</v>
      </c>
      <c r="J608" t="s">
        <v>331</v>
      </c>
      <c r="K608">
        <v>589.29137400000002</v>
      </c>
      <c r="L608">
        <v>900</v>
      </c>
      <c r="M608">
        <v>65.476819000000006</v>
      </c>
      <c r="N608">
        <v>4</v>
      </c>
      <c r="O608">
        <v>1</v>
      </c>
      <c r="P608">
        <v>64.063520999999994</v>
      </c>
      <c r="Q608">
        <v>42.709014000000003</v>
      </c>
      <c r="R608">
        <v>50</v>
      </c>
      <c r="S608">
        <v>54.034379000000001</v>
      </c>
      <c r="T608">
        <v>74.659681000000006</v>
      </c>
      <c r="U608">
        <v>36.022919000000002</v>
      </c>
      <c r="V608">
        <v>50</v>
      </c>
      <c r="W608">
        <v>55.463704999999997</v>
      </c>
      <c r="X608">
        <v>36.975802999999999</v>
      </c>
      <c r="Y608">
        <v>50</v>
      </c>
      <c r="Z608">
        <v>65.640541999999996</v>
      </c>
      <c r="AA608">
        <v>45.799124999999997</v>
      </c>
      <c r="AB608">
        <v>30.53275</v>
      </c>
      <c r="AC608">
        <v>50</v>
      </c>
      <c r="AD608">
        <v>61.674303000000002</v>
      </c>
      <c r="AE608">
        <v>41.116202000000001</v>
      </c>
      <c r="AF608">
        <v>50</v>
      </c>
      <c r="AG608">
        <v>54.863836999999997</v>
      </c>
      <c r="AH608">
        <v>69.486307999999994</v>
      </c>
      <c r="AI608">
        <v>36.575892000000003</v>
      </c>
      <c r="AJ608">
        <v>50</v>
      </c>
      <c r="AK608">
        <v>20.62</v>
      </c>
      <c r="AL608">
        <v>19.84</v>
      </c>
      <c r="AM608">
        <v>14.62</v>
      </c>
      <c r="AN608">
        <v>0.611344</v>
      </c>
      <c r="AO608">
        <v>61.134402000000001</v>
      </c>
      <c r="AP608">
        <v>100</v>
      </c>
      <c r="AQ608">
        <v>0.50892899999999996</v>
      </c>
      <c r="AR608">
        <v>50.892856999999999</v>
      </c>
      <c r="AS608">
        <v>100</v>
      </c>
      <c r="AT608">
        <v>0.56423999999999996</v>
      </c>
      <c r="AU608">
        <v>0.65861199999999998</v>
      </c>
      <c r="AV608">
        <v>56.424019000000001</v>
      </c>
      <c r="AW608">
        <v>100</v>
      </c>
      <c r="AX608">
        <v>0.46831600000000001</v>
      </c>
      <c r="AY608">
        <v>0.54968300000000003</v>
      </c>
      <c r="AZ608">
        <v>46.831595</v>
      </c>
      <c r="BA608">
        <v>100</v>
      </c>
      <c r="BB608" t="s">
        <v>125</v>
      </c>
      <c r="BC608" t="s">
        <v>125</v>
      </c>
      <c r="BD608" t="s">
        <v>125</v>
      </c>
      <c r="BE608" t="s">
        <v>125</v>
      </c>
      <c r="BF608" t="s">
        <v>125</v>
      </c>
      <c r="BG608" t="s">
        <v>125</v>
      </c>
      <c r="BH608">
        <v>0</v>
      </c>
      <c r="BI608">
        <v>0.99837100000000001</v>
      </c>
      <c r="BJ608">
        <v>0.996923</v>
      </c>
      <c r="BK608">
        <v>1</v>
      </c>
      <c r="BL608">
        <v>0.99674300000000005</v>
      </c>
      <c r="BM608">
        <v>0.99384600000000001</v>
      </c>
      <c r="BN608">
        <v>1</v>
      </c>
      <c r="BO608">
        <v>0.996753</v>
      </c>
      <c r="BP608">
        <v>0.99411799999999995</v>
      </c>
      <c r="BQ608">
        <v>1</v>
      </c>
      <c r="BR608">
        <v>9.6090999999999996E-2</v>
      </c>
      <c r="BS608">
        <v>40.781759000000001</v>
      </c>
      <c r="BT608">
        <v>50</v>
      </c>
      <c r="BU608">
        <v>0.14779900000000001</v>
      </c>
      <c r="BV608">
        <v>30.440252000000001</v>
      </c>
      <c r="BW608">
        <v>50</v>
      </c>
      <c r="BX608" t="s">
        <v>125</v>
      </c>
      <c r="BY608" t="s">
        <v>125</v>
      </c>
      <c r="BZ608" t="s">
        <v>125</v>
      </c>
      <c r="CA608" t="s">
        <v>125</v>
      </c>
      <c r="CB608" t="s">
        <v>125</v>
      </c>
      <c r="CC608" t="s">
        <v>125</v>
      </c>
      <c r="CD608">
        <v>0.91973199999999999</v>
      </c>
      <c r="CE608">
        <v>48.921937999999997</v>
      </c>
      <c r="CF608">
        <v>50</v>
      </c>
      <c r="CG608" t="s">
        <v>125</v>
      </c>
      <c r="CH608" t="s">
        <v>125</v>
      </c>
      <c r="CI608" t="s">
        <v>125</v>
      </c>
      <c r="CJ608" t="s">
        <v>125</v>
      </c>
      <c r="CK608" t="s">
        <v>125</v>
      </c>
      <c r="CL608" t="s">
        <v>125</v>
      </c>
      <c r="CM608" t="s">
        <v>125</v>
      </c>
      <c r="CN608" t="s">
        <v>125</v>
      </c>
      <c r="CO608" t="s">
        <v>125</v>
      </c>
      <c r="CP608" t="s">
        <v>125</v>
      </c>
      <c r="CQ608">
        <v>0.44897999999999999</v>
      </c>
      <c r="CR608">
        <v>0.95454499999999998</v>
      </c>
      <c r="CS608">
        <v>29.931972999999999</v>
      </c>
      <c r="CT608">
        <v>50</v>
      </c>
      <c r="CU608" t="s">
        <v>125</v>
      </c>
      <c r="CV608" t="s">
        <v>125</v>
      </c>
      <c r="CW608" t="s">
        <v>125</v>
      </c>
      <c r="CX608" t="s">
        <v>125</v>
      </c>
      <c r="CY608" t="s">
        <v>125</v>
      </c>
      <c r="CZ608" t="s">
        <v>125</v>
      </c>
      <c r="DA608">
        <v>15.314097</v>
      </c>
      <c r="DB608">
        <v>17.400950000000002</v>
      </c>
      <c r="DC608">
        <v>16.332519999999999</v>
      </c>
      <c r="DD608" t="s">
        <v>125</v>
      </c>
      <c r="DE608">
        <v>1</v>
      </c>
      <c r="DF608" t="s">
        <v>385</v>
      </c>
      <c r="DG608" t="s">
        <v>418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Q608" t="s">
        <v>126</v>
      </c>
    </row>
    <row r="609" spans="1:121" x14ac:dyDescent="0.15">
      <c r="A609">
        <v>2018</v>
      </c>
      <c r="B609" t="s">
        <v>138</v>
      </c>
      <c r="C609" t="str">
        <f t="shared" ref="C609:C621" si="23">"0840011"</f>
        <v>0840011</v>
      </c>
      <c r="D609" t="s">
        <v>765</v>
      </c>
      <c r="E609" t="str">
        <f>"0840111"</f>
        <v>0840111</v>
      </c>
      <c r="F609" t="s">
        <v>328</v>
      </c>
      <c r="G609" t="s">
        <v>339</v>
      </c>
      <c r="H609">
        <v>5</v>
      </c>
      <c r="J609" t="s">
        <v>331</v>
      </c>
      <c r="K609">
        <v>583.34381299999995</v>
      </c>
      <c r="L609">
        <v>800</v>
      </c>
      <c r="M609">
        <v>72.917976999999993</v>
      </c>
      <c r="N609">
        <v>3</v>
      </c>
      <c r="O609">
        <v>1</v>
      </c>
      <c r="P609">
        <v>73.328243000000001</v>
      </c>
      <c r="Q609">
        <v>48.885494999999999</v>
      </c>
      <c r="R609">
        <v>50</v>
      </c>
      <c r="S609">
        <v>63.64622</v>
      </c>
      <c r="T609">
        <v>75</v>
      </c>
      <c r="U609">
        <v>42.430813000000001</v>
      </c>
      <c r="V609">
        <v>50</v>
      </c>
      <c r="W609">
        <v>69.509079999999997</v>
      </c>
      <c r="X609">
        <v>46.339387000000002</v>
      </c>
      <c r="Y609">
        <v>50</v>
      </c>
      <c r="Z609">
        <v>75</v>
      </c>
      <c r="AA609">
        <v>56.68553</v>
      </c>
      <c r="AB609">
        <v>37.790353000000003</v>
      </c>
      <c r="AC609">
        <v>50</v>
      </c>
      <c r="AD609">
        <v>70.751752999999994</v>
      </c>
      <c r="AE609">
        <v>47.167834999999997</v>
      </c>
      <c r="AF609">
        <v>50</v>
      </c>
      <c r="AG609" t="s">
        <v>125</v>
      </c>
      <c r="AH609">
        <v>75</v>
      </c>
      <c r="AI609" t="s">
        <v>125</v>
      </c>
      <c r="AJ609" t="s">
        <v>125</v>
      </c>
      <c r="AK609">
        <v>11.35</v>
      </c>
      <c r="AL609">
        <v>18.309999999999999</v>
      </c>
      <c r="AM609" t="s">
        <v>125</v>
      </c>
      <c r="AN609">
        <v>0.67502499999999999</v>
      </c>
      <c r="AO609">
        <v>67.502545999999995</v>
      </c>
      <c r="AP609">
        <v>100</v>
      </c>
      <c r="AQ609">
        <v>0.59510300000000005</v>
      </c>
      <c r="AR609">
        <v>59.510272000000001</v>
      </c>
      <c r="AS609">
        <v>100</v>
      </c>
      <c r="AT609">
        <v>0.55906999999999996</v>
      </c>
      <c r="AU609">
        <v>0.71759200000000001</v>
      </c>
      <c r="AV609">
        <v>55.906958000000003</v>
      </c>
      <c r="AW609">
        <v>100</v>
      </c>
      <c r="AX609">
        <v>0.44522499999999998</v>
      </c>
      <c r="AY609">
        <v>0.65082700000000004</v>
      </c>
      <c r="AZ609">
        <v>44.522497000000001</v>
      </c>
      <c r="BA609">
        <v>100</v>
      </c>
      <c r="BB609" t="s">
        <v>125</v>
      </c>
      <c r="BC609" t="s">
        <v>125</v>
      </c>
      <c r="BD609" t="s">
        <v>125</v>
      </c>
      <c r="BE609" t="s">
        <v>125</v>
      </c>
      <c r="BF609" t="s">
        <v>125</v>
      </c>
      <c r="BG609" t="s">
        <v>125</v>
      </c>
      <c r="BH609">
        <v>0</v>
      </c>
      <c r="BI609">
        <v>0.98726100000000006</v>
      </c>
      <c r="BJ609">
        <v>1</v>
      </c>
      <c r="BK609">
        <v>0.98039200000000004</v>
      </c>
      <c r="BL609">
        <v>0.98726100000000006</v>
      </c>
      <c r="BM609">
        <v>1</v>
      </c>
      <c r="BN609">
        <v>0.98039200000000004</v>
      </c>
      <c r="BO609">
        <v>0.98</v>
      </c>
      <c r="BP609" t="s">
        <v>125</v>
      </c>
      <c r="BQ609">
        <v>0.96875</v>
      </c>
      <c r="BR609">
        <v>5.1852000000000002E-2</v>
      </c>
      <c r="BS609">
        <v>49.629629999999999</v>
      </c>
      <c r="BT609">
        <v>50</v>
      </c>
      <c r="BU609">
        <v>6.5789E-2</v>
      </c>
      <c r="BV609">
        <v>46.842104999999997</v>
      </c>
      <c r="BW609">
        <v>50</v>
      </c>
      <c r="BX609" t="s">
        <v>125</v>
      </c>
      <c r="BY609" t="s">
        <v>125</v>
      </c>
      <c r="BZ609" t="s">
        <v>125</v>
      </c>
      <c r="CA609" t="s">
        <v>125</v>
      </c>
      <c r="CB609" t="s">
        <v>125</v>
      </c>
      <c r="CC609" t="s">
        <v>125</v>
      </c>
      <c r="CD609" t="s">
        <v>125</v>
      </c>
      <c r="CE609" t="s">
        <v>125</v>
      </c>
      <c r="CF609" t="s">
        <v>125</v>
      </c>
      <c r="CG609" t="s">
        <v>125</v>
      </c>
      <c r="CH609" t="s">
        <v>125</v>
      </c>
      <c r="CI609" t="s">
        <v>125</v>
      </c>
      <c r="CJ609" t="s">
        <v>125</v>
      </c>
      <c r="CK609" t="s">
        <v>125</v>
      </c>
      <c r="CL609" t="s">
        <v>125</v>
      </c>
      <c r="CM609" t="s">
        <v>125</v>
      </c>
      <c r="CN609" t="s">
        <v>125</v>
      </c>
      <c r="CO609" t="s">
        <v>125</v>
      </c>
      <c r="CP609" t="s">
        <v>125</v>
      </c>
      <c r="CQ609">
        <v>0.55223900000000004</v>
      </c>
      <c r="CR609">
        <v>1.0151520000000001</v>
      </c>
      <c r="CS609">
        <v>36.815919999999998</v>
      </c>
      <c r="CT609">
        <v>50</v>
      </c>
      <c r="CU609" t="s">
        <v>125</v>
      </c>
      <c r="CV609" t="s">
        <v>125</v>
      </c>
      <c r="CW609" t="s">
        <v>125</v>
      </c>
      <c r="CX609" t="s">
        <v>125</v>
      </c>
      <c r="CY609" t="s">
        <v>125</v>
      </c>
      <c r="CZ609" t="s">
        <v>125</v>
      </c>
      <c r="DA609">
        <v>15.314097</v>
      </c>
      <c r="DB609">
        <v>17.400950000000002</v>
      </c>
      <c r="DC609">
        <v>16.332519999999999</v>
      </c>
      <c r="DD609" t="s">
        <v>125</v>
      </c>
      <c r="DE609">
        <v>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Q609" t="s">
        <v>126</v>
      </c>
    </row>
    <row r="610" spans="1:121" x14ac:dyDescent="0.15">
      <c r="A610">
        <v>2018</v>
      </c>
      <c r="B610" t="s">
        <v>138</v>
      </c>
      <c r="C610" t="str">
        <f t="shared" si="23"/>
        <v>0840011</v>
      </c>
      <c r="D610" t="s">
        <v>766</v>
      </c>
      <c r="E610" t="str">
        <f>"0845111"</f>
        <v>0845111</v>
      </c>
      <c r="F610" t="s">
        <v>328</v>
      </c>
      <c r="G610">
        <v>6</v>
      </c>
      <c r="H610">
        <v>8</v>
      </c>
      <c r="I610" t="s">
        <v>330</v>
      </c>
      <c r="J610" t="s">
        <v>331</v>
      </c>
      <c r="K610">
        <v>640.36938299999997</v>
      </c>
      <c r="L610">
        <v>900</v>
      </c>
      <c r="M610">
        <v>71.152153999999996</v>
      </c>
      <c r="N610">
        <v>3</v>
      </c>
      <c r="O610">
        <v>1</v>
      </c>
      <c r="P610">
        <v>73.698482999999996</v>
      </c>
      <c r="Q610">
        <v>49.132322000000002</v>
      </c>
      <c r="R610">
        <v>50</v>
      </c>
      <c r="S610">
        <v>62.711070999999997</v>
      </c>
      <c r="T610">
        <v>75</v>
      </c>
      <c r="U610">
        <v>41.807380999999999</v>
      </c>
      <c r="V610">
        <v>50</v>
      </c>
      <c r="W610">
        <v>67.850457000000006</v>
      </c>
      <c r="X610">
        <v>45.233637999999999</v>
      </c>
      <c r="Y610">
        <v>50</v>
      </c>
      <c r="Z610">
        <v>74.116332</v>
      </c>
      <c r="AA610">
        <v>56.432640999999997</v>
      </c>
      <c r="AB610">
        <v>37.621760000000002</v>
      </c>
      <c r="AC610">
        <v>50</v>
      </c>
      <c r="AD610">
        <v>70.602023000000003</v>
      </c>
      <c r="AE610">
        <v>47.068015000000003</v>
      </c>
      <c r="AF610">
        <v>50</v>
      </c>
      <c r="AG610">
        <v>63.005780999999999</v>
      </c>
      <c r="AH610">
        <v>74.400143999999997</v>
      </c>
      <c r="AI610">
        <v>42.003853999999997</v>
      </c>
      <c r="AJ610">
        <v>50</v>
      </c>
      <c r="AK610">
        <v>12.28</v>
      </c>
      <c r="AL610">
        <v>17.68</v>
      </c>
      <c r="AM610">
        <v>11.39</v>
      </c>
      <c r="AN610">
        <v>0.61562600000000001</v>
      </c>
      <c r="AO610">
        <v>61.562614000000004</v>
      </c>
      <c r="AP610">
        <v>100</v>
      </c>
      <c r="AQ610">
        <v>0.49488500000000002</v>
      </c>
      <c r="AR610">
        <v>49.488480000000003</v>
      </c>
      <c r="AS610">
        <v>100</v>
      </c>
      <c r="AT610">
        <v>0.56474500000000005</v>
      </c>
      <c r="AU610">
        <v>0.64168700000000001</v>
      </c>
      <c r="AV610">
        <v>56.474519000000001</v>
      </c>
      <c r="AW610">
        <v>100</v>
      </c>
      <c r="AX610">
        <v>0.43895499999999998</v>
      </c>
      <c r="AY610">
        <v>0.52364900000000003</v>
      </c>
      <c r="AZ610">
        <v>43.895465000000002</v>
      </c>
      <c r="BA610">
        <v>100</v>
      </c>
      <c r="BB610" t="s">
        <v>125</v>
      </c>
      <c r="BC610" t="s">
        <v>125</v>
      </c>
      <c r="BD610" t="s">
        <v>125</v>
      </c>
      <c r="BE610" t="s">
        <v>125</v>
      </c>
      <c r="BF610" t="s">
        <v>125</v>
      </c>
      <c r="BG610" t="s">
        <v>125</v>
      </c>
      <c r="BH610">
        <v>0</v>
      </c>
      <c r="BI610">
        <v>0.98746900000000004</v>
      </c>
      <c r="BJ610">
        <v>0.98581600000000003</v>
      </c>
      <c r="BK610">
        <v>0.98837200000000003</v>
      </c>
      <c r="BL610">
        <v>0.982456</v>
      </c>
      <c r="BM610">
        <v>0.98581600000000003</v>
      </c>
      <c r="BN610">
        <v>0.98062000000000005</v>
      </c>
      <c r="BO610">
        <v>0.99328899999999998</v>
      </c>
      <c r="BP610">
        <v>1</v>
      </c>
      <c r="BQ610">
        <v>0.98989899999999997</v>
      </c>
      <c r="BR610">
        <v>7.5377E-2</v>
      </c>
      <c r="BS610">
        <v>44.924622999999997</v>
      </c>
      <c r="BT610">
        <v>50</v>
      </c>
      <c r="BU610">
        <v>0.147059</v>
      </c>
      <c r="BV610">
        <v>30.588235000000001</v>
      </c>
      <c r="BW610">
        <v>50</v>
      </c>
      <c r="BX610" t="s">
        <v>125</v>
      </c>
      <c r="BY610" t="s">
        <v>125</v>
      </c>
      <c r="BZ610" t="s">
        <v>125</v>
      </c>
      <c r="CA610" t="s">
        <v>125</v>
      </c>
      <c r="CB610" t="s">
        <v>125</v>
      </c>
      <c r="CC610" t="s">
        <v>125</v>
      </c>
      <c r="CD610">
        <v>0.953488</v>
      </c>
      <c r="CE610">
        <v>50</v>
      </c>
      <c r="CF610">
        <v>50</v>
      </c>
      <c r="CG610" t="s">
        <v>125</v>
      </c>
      <c r="CH610" t="s">
        <v>125</v>
      </c>
      <c r="CI610" t="s">
        <v>125</v>
      </c>
      <c r="CJ610" t="s">
        <v>125</v>
      </c>
      <c r="CK610" t="s">
        <v>125</v>
      </c>
      <c r="CL610" t="s">
        <v>125</v>
      </c>
      <c r="CM610" t="s">
        <v>125</v>
      </c>
      <c r="CN610" t="s">
        <v>125</v>
      </c>
      <c r="CO610" t="s">
        <v>125</v>
      </c>
      <c r="CP610" t="s">
        <v>125</v>
      </c>
      <c r="CQ610">
        <v>0.60852700000000004</v>
      </c>
      <c r="CR610">
        <v>0.96268699999999996</v>
      </c>
      <c r="CS610">
        <v>40.568474999999999</v>
      </c>
      <c r="CT610">
        <v>50</v>
      </c>
      <c r="CU610" t="s">
        <v>125</v>
      </c>
      <c r="CV610" t="s">
        <v>125</v>
      </c>
      <c r="CW610" t="s">
        <v>125</v>
      </c>
      <c r="CX610" t="s">
        <v>125</v>
      </c>
      <c r="CY610" t="s">
        <v>125</v>
      </c>
      <c r="CZ610" t="s">
        <v>125</v>
      </c>
      <c r="DA610">
        <v>15.314097</v>
      </c>
      <c r="DB610">
        <v>17.400950000000002</v>
      </c>
      <c r="DC610">
        <v>16.332519999999999</v>
      </c>
      <c r="DD610" t="s">
        <v>125</v>
      </c>
      <c r="DE610">
        <v>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Q610" t="s">
        <v>126</v>
      </c>
    </row>
    <row r="611" spans="1:121" x14ac:dyDescent="0.15">
      <c r="A611">
        <v>2018</v>
      </c>
      <c r="B611" t="s">
        <v>138</v>
      </c>
      <c r="C611" t="str">
        <f t="shared" si="23"/>
        <v>0840011</v>
      </c>
      <c r="D611" t="s">
        <v>767</v>
      </c>
      <c r="E611" t="str">
        <f>"0845211"</f>
        <v>0845211</v>
      </c>
      <c r="F611" t="s">
        <v>328</v>
      </c>
      <c r="G611">
        <v>6</v>
      </c>
      <c r="H611">
        <v>8</v>
      </c>
      <c r="J611" t="s">
        <v>331</v>
      </c>
      <c r="K611">
        <v>681.34502399999997</v>
      </c>
      <c r="L611">
        <v>900</v>
      </c>
      <c r="M611">
        <v>75.705003000000005</v>
      </c>
      <c r="N611">
        <v>3</v>
      </c>
      <c r="O611">
        <v>0</v>
      </c>
      <c r="P611">
        <v>75.022488999999993</v>
      </c>
      <c r="Q611">
        <v>50</v>
      </c>
      <c r="R611">
        <v>50</v>
      </c>
      <c r="S611">
        <v>64.667625000000001</v>
      </c>
      <c r="T611">
        <v>75</v>
      </c>
      <c r="U611">
        <v>43.111750000000001</v>
      </c>
      <c r="V611">
        <v>50</v>
      </c>
      <c r="W611">
        <v>71.438270000000003</v>
      </c>
      <c r="X611">
        <v>47.625512999999998</v>
      </c>
      <c r="Y611">
        <v>50</v>
      </c>
      <c r="Z611">
        <v>75</v>
      </c>
      <c r="AA611">
        <v>57.807910999999997</v>
      </c>
      <c r="AB611">
        <v>38.538608000000004</v>
      </c>
      <c r="AC611">
        <v>50</v>
      </c>
      <c r="AD611">
        <v>72.194356999999997</v>
      </c>
      <c r="AE611">
        <v>48.129572000000003</v>
      </c>
      <c r="AF611">
        <v>50</v>
      </c>
      <c r="AG611">
        <v>60.140309000000002</v>
      </c>
      <c r="AH611">
        <v>75</v>
      </c>
      <c r="AI611">
        <v>40.093539</v>
      </c>
      <c r="AJ611">
        <v>50</v>
      </c>
      <c r="AK611">
        <v>10.33</v>
      </c>
      <c r="AL611">
        <v>17.190000000000001</v>
      </c>
      <c r="AM611">
        <v>14.85</v>
      </c>
      <c r="AN611">
        <v>0.61015900000000001</v>
      </c>
      <c r="AO611">
        <v>61.015895</v>
      </c>
      <c r="AP611">
        <v>100</v>
      </c>
      <c r="AQ611">
        <v>0.63801600000000003</v>
      </c>
      <c r="AR611">
        <v>63.801644000000003</v>
      </c>
      <c r="AS611">
        <v>100</v>
      </c>
      <c r="AT611">
        <v>0.61602299999999999</v>
      </c>
      <c r="AU611">
        <v>0.60807199999999995</v>
      </c>
      <c r="AV611">
        <v>61.602285999999999</v>
      </c>
      <c r="AW611">
        <v>100</v>
      </c>
      <c r="AX611">
        <v>0.55081100000000005</v>
      </c>
      <c r="AY611">
        <v>0.66840200000000005</v>
      </c>
      <c r="AZ611">
        <v>55.081054000000002</v>
      </c>
      <c r="BA611">
        <v>100</v>
      </c>
      <c r="BB611" t="s">
        <v>125</v>
      </c>
      <c r="BC611" t="s">
        <v>125</v>
      </c>
      <c r="BD611" t="s">
        <v>125</v>
      </c>
      <c r="BE611" t="s">
        <v>125</v>
      </c>
      <c r="BF611" t="s">
        <v>125</v>
      </c>
      <c r="BG611" t="s">
        <v>125</v>
      </c>
      <c r="BH611">
        <v>1</v>
      </c>
      <c r="BI611">
        <v>0.88651000000000002</v>
      </c>
      <c r="BJ611">
        <v>0.860927</v>
      </c>
      <c r="BK611">
        <v>0.89873400000000003</v>
      </c>
      <c r="BL611">
        <v>0.90149900000000005</v>
      </c>
      <c r="BM611">
        <v>0.860927</v>
      </c>
      <c r="BN611">
        <v>0.92088599999999998</v>
      </c>
      <c r="BO611">
        <v>0.76729599999999998</v>
      </c>
      <c r="BP611">
        <v>0.66666700000000001</v>
      </c>
      <c r="BQ611">
        <v>0.80701800000000001</v>
      </c>
      <c r="BR611">
        <v>8.1545000000000006E-2</v>
      </c>
      <c r="BS611">
        <v>43.690987</v>
      </c>
      <c r="BT611">
        <v>50</v>
      </c>
      <c r="BU611">
        <v>0.152174</v>
      </c>
      <c r="BV611">
        <v>29.565217000000001</v>
      </c>
      <c r="BW611">
        <v>50</v>
      </c>
      <c r="BX611" t="s">
        <v>125</v>
      </c>
      <c r="BY611" t="s">
        <v>125</v>
      </c>
      <c r="BZ611" t="s">
        <v>125</v>
      </c>
      <c r="CA611" t="s">
        <v>125</v>
      </c>
      <c r="CB611" t="s">
        <v>125</v>
      </c>
      <c r="CC611" t="s">
        <v>125</v>
      </c>
      <c r="CD611">
        <v>0.95973200000000003</v>
      </c>
      <c r="CE611">
        <v>50</v>
      </c>
      <c r="CF611">
        <v>50</v>
      </c>
      <c r="CG611" t="s">
        <v>125</v>
      </c>
      <c r="CH611" t="s">
        <v>125</v>
      </c>
      <c r="CI611" t="s">
        <v>125</v>
      </c>
      <c r="CJ611" t="s">
        <v>125</v>
      </c>
      <c r="CK611" t="s">
        <v>125</v>
      </c>
      <c r="CL611" t="s">
        <v>125</v>
      </c>
      <c r="CM611" t="s">
        <v>125</v>
      </c>
      <c r="CN611" t="s">
        <v>125</v>
      </c>
      <c r="CO611" t="s">
        <v>125</v>
      </c>
      <c r="CP611" t="s">
        <v>125</v>
      </c>
      <c r="CQ611">
        <v>0.73633400000000004</v>
      </c>
      <c r="CR611">
        <v>0.98417699999999997</v>
      </c>
      <c r="CS611">
        <v>49.08896</v>
      </c>
      <c r="CT611">
        <v>50</v>
      </c>
      <c r="CU611" t="s">
        <v>125</v>
      </c>
      <c r="CV611" t="s">
        <v>125</v>
      </c>
      <c r="CW611" t="s">
        <v>125</v>
      </c>
      <c r="CX611" t="s">
        <v>125</v>
      </c>
      <c r="CY611" t="s">
        <v>125</v>
      </c>
      <c r="CZ611" t="s">
        <v>125</v>
      </c>
      <c r="DA611">
        <v>15.314097</v>
      </c>
      <c r="DB611">
        <v>17.400950000000002</v>
      </c>
      <c r="DC611">
        <v>16.332519999999999</v>
      </c>
      <c r="DD611" t="s">
        <v>125</v>
      </c>
      <c r="DE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Q611" t="s">
        <v>126</v>
      </c>
    </row>
    <row r="612" spans="1:121" x14ac:dyDescent="0.15">
      <c r="A612">
        <v>2018</v>
      </c>
      <c r="B612" t="s">
        <v>138</v>
      </c>
      <c r="C612" t="str">
        <f t="shared" si="23"/>
        <v>0840011</v>
      </c>
      <c r="D612" t="s">
        <v>768</v>
      </c>
      <c r="E612" t="str">
        <f>"0841911"</f>
        <v>0841911</v>
      </c>
      <c r="F612" t="s">
        <v>328</v>
      </c>
      <c r="G612" t="s">
        <v>329</v>
      </c>
      <c r="H612">
        <v>5</v>
      </c>
      <c r="I612" t="s">
        <v>330</v>
      </c>
      <c r="J612" t="s">
        <v>331</v>
      </c>
      <c r="K612">
        <v>650.69761500000004</v>
      </c>
      <c r="L612">
        <v>850</v>
      </c>
      <c r="M612">
        <v>76.552661000000001</v>
      </c>
      <c r="N612">
        <v>2</v>
      </c>
      <c r="O612">
        <v>0</v>
      </c>
      <c r="P612">
        <v>75.580721999999994</v>
      </c>
      <c r="Q612">
        <v>50</v>
      </c>
      <c r="R612">
        <v>50</v>
      </c>
      <c r="S612">
        <v>69.711161000000004</v>
      </c>
      <c r="T612">
        <v>75</v>
      </c>
      <c r="U612">
        <v>46.474106999999997</v>
      </c>
      <c r="V612">
        <v>50</v>
      </c>
      <c r="W612">
        <v>70.022346999999996</v>
      </c>
      <c r="X612">
        <v>46.681564999999999</v>
      </c>
      <c r="Y612">
        <v>50</v>
      </c>
      <c r="Z612">
        <v>74.064051000000006</v>
      </c>
      <c r="AA612">
        <v>63.887618000000003</v>
      </c>
      <c r="AB612">
        <v>42.591745000000003</v>
      </c>
      <c r="AC612">
        <v>50</v>
      </c>
      <c r="AD612">
        <v>76.290323000000001</v>
      </c>
      <c r="AE612">
        <v>50</v>
      </c>
      <c r="AF612">
        <v>50</v>
      </c>
      <c r="AG612">
        <v>71.736559</v>
      </c>
      <c r="AH612">
        <v>75</v>
      </c>
      <c r="AI612">
        <v>47.824373000000001</v>
      </c>
      <c r="AJ612">
        <v>50</v>
      </c>
      <c r="AK612">
        <v>5.28</v>
      </c>
      <c r="AL612">
        <v>10.17</v>
      </c>
      <c r="AM612">
        <v>3.26</v>
      </c>
      <c r="AN612">
        <v>0.67156099999999996</v>
      </c>
      <c r="AO612">
        <v>67.156052000000003</v>
      </c>
      <c r="AP612">
        <v>100</v>
      </c>
      <c r="AQ612">
        <v>0.64961500000000005</v>
      </c>
      <c r="AR612">
        <v>64.961519999999993</v>
      </c>
      <c r="AS612">
        <v>100</v>
      </c>
      <c r="AT612">
        <v>0.66198199999999996</v>
      </c>
      <c r="AU612">
        <v>0.67823100000000003</v>
      </c>
      <c r="AV612">
        <v>66.198172999999997</v>
      </c>
      <c r="AW612">
        <v>100</v>
      </c>
      <c r="AX612">
        <v>0.56950199999999995</v>
      </c>
      <c r="AY612">
        <v>0.70540899999999995</v>
      </c>
      <c r="AZ612">
        <v>56.950156</v>
      </c>
      <c r="BA612">
        <v>100</v>
      </c>
      <c r="BB612" t="s">
        <v>125</v>
      </c>
      <c r="BC612" t="s">
        <v>125</v>
      </c>
      <c r="BD612" t="s">
        <v>125</v>
      </c>
      <c r="BE612" t="s">
        <v>125</v>
      </c>
      <c r="BF612" t="s">
        <v>125</v>
      </c>
      <c r="BG612" t="s">
        <v>125</v>
      </c>
      <c r="BH612">
        <v>0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4.1522000000000003E-2</v>
      </c>
      <c r="BS612">
        <v>50</v>
      </c>
      <c r="BT612">
        <v>50</v>
      </c>
      <c r="BU612">
        <v>5.3762999999999998E-2</v>
      </c>
      <c r="BV612">
        <v>49.247312000000001</v>
      </c>
      <c r="BW612">
        <v>50</v>
      </c>
      <c r="BX612" t="s">
        <v>125</v>
      </c>
      <c r="BY612" t="s">
        <v>125</v>
      </c>
      <c r="BZ612" t="s">
        <v>125</v>
      </c>
      <c r="CA612" t="s">
        <v>125</v>
      </c>
      <c r="CB612" t="s">
        <v>125</v>
      </c>
      <c r="CC612" t="s">
        <v>125</v>
      </c>
      <c r="CD612" t="s">
        <v>125</v>
      </c>
      <c r="CE612" t="s">
        <v>125</v>
      </c>
      <c r="CF612" t="s">
        <v>125</v>
      </c>
      <c r="CG612" t="s">
        <v>125</v>
      </c>
      <c r="CH612" t="s">
        <v>125</v>
      </c>
      <c r="CI612" t="s">
        <v>125</v>
      </c>
      <c r="CJ612" t="s">
        <v>125</v>
      </c>
      <c r="CK612" t="s">
        <v>125</v>
      </c>
      <c r="CL612" t="s">
        <v>125</v>
      </c>
      <c r="CM612" t="s">
        <v>125</v>
      </c>
      <c r="CN612" t="s">
        <v>125</v>
      </c>
      <c r="CO612" t="s">
        <v>125</v>
      </c>
      <c r="CP612" t="s">
        <v>125</v>
      </c>
      <c r="CQ612">
        <v>0.189189</v>
      </c>
      <c r="CR612">
        <v>0.97368399999999999</v>
      </c>
      <c r="CS612">
        <v>12.612613</v>
      </c>
      <c r="CT612">
        <v>50</v>
      </c>
      <c r="CU612" t="s">
        <v>125</v>
      </c>
      <c r="CV612" t="s">
        <v>125</v>
      </c>
      <c r="CW612" t="s">
        <v>125</v>
      </c>
      <c r="CX612" t="s">
        <v>125</v>
      </c>
      <c r="CY612" t="s">
        <v>125</v>
      </c>
      <c r="CZ612" t="s">
        <v>125</v>
      </c>
      <c r="DA612">
        <v>15.314097</v>
      </c>
      <c r="DB612">
        <v>17.400950000000002</v>
      </c>
      <c r="DC612">
        <v>16.332519999999999</v>
      </c>
      <c r="DD612" t="s">
        <v>125</v>
      </c>
      <c r="DE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Q612" t="s">
        <v>126</v>
      </c>
    </row>
    <row r="613" spans="1:121" x14ac:dyDescent="0.15">
      <c r="A613">
        <v>2018</v>
      </c>
      <c r="B613" t="s">
        <v>138</v>
      </c>
      <c r="C613" t="str">
        <f t="shared" si="23"/>
        <v>0840011</v>
      </c>
      <c r="D613" t="s">
        <v>769</v>
      </c>
      <c r="E613" t="str">
        <f>"0846211"</f>
        <v>0846211</v>
      </c>
      <c r="F613" t="s">
        <v>328</v>
      </c>
      <c r="G613">
        <v>9</v>
      </c>
      <c r="H613">
        <v>12</v>
      </c>
      <c r="J613" t="s">
        <v>331</v>
      </c>
      <c r="K613">
        <v>1139.588925</v>
      </c>
      <c r="L613">
        <v>1450</v>
      </c>
      <c r="M613">
        <v>78.592339999999993</v>
      </c>
      <c r="N613">
        <v>2</v>
      </c>
      <c r="O613">
        <v>0</v>
      </c>
      <c r="P613">
        <v>59.033332999999999</v>
      </c>
      <c r="Q613">
        <v>118.066667</v>
      </c>
      <c r="R613">
        <v>150</v>
      </c>
      <c r="S613">
        <v>50.867725</v>
      </c>
      <c r="T613">
        <v>63.626488000000002</v>
      </c>
      <c r="U613">
        <v>101.73545</v>
      </c>
      <c r="V613">
        <v>150</v>
      </c>
      <c r="W613">
        <v>57.42</v>
      </c>
      <c r="X613">
        <v>114.84</v>
      </c>
      <c r="Y613">
        <v>150</v>
      </c>
      <c r="Z613">
        <v>63.25</v>
      </c>
      <c r="AA613">
        <v>47.055556000000003</v>
      </c>
      <c r="AB613">
        <v>94.111110999999994</v>
      </c>
      <c r="AC613">
        <v>150</v>
      </c>
      <c r="AD613">
        <v>58.999552999999999</v>
      </c>
      <c r="AE613">
        <v>78.666070000000005</v>
      </c>
      <c r="AF613">
        <v>100</v>
      </c>
      <c r="AG613">
        <v>50.533417</v>
      </c>
      <c r="AH613">
        <v>63.652113999999997</v>
      </c>
      <c r="AI613">
        <v>67.377889999999994</v>
      </c>
      <c r="AJ613">
        <v>100</v>
      </c>
      <c r="AK613">
        <v>12.75</v>
      </c>
      <c r="AL613">
        <v>16.190000000000001</v>
      </c>
      <c r="AM613">
        <v>13.11</v>
      </c>
      <c r="AN613" t="s">
        <v>125</v>
      </c>
      <c r="AO613" t="s">
        <v>125</v>
      </c>
      <c r="AP613" t="s">
        <v>125</v>
      </c>
      <c r="AQ613" t="s">
        <v>125</v>
      </c>
      <c r="AR613" t="s">
        <v>125</v>
      </c>
      <c r="AS613" t="s">
        <v>125</v>
      </c>
      <c r="AT613" t="s">
        <v>125</v>
      </c>
      <c r="AU613" t="s">
        <v>125</v>
      </c>
      <c r="AV613" t="s">
        <v>125</v>
      </c>
      <c r="AW613" t="s">
        <v>125</v>
      </c>
      <c r="AX613" t="s">
        <v>125</v>
      </c>
      <c r="AY613" t="s">
        <v>125</v>
      </c>
      <c r="AZ613" t="s">
        <v>125</v>
      </c>
      <c r="BA613" t="s">
        <v>125</v>
      </c>
      <c r="BB613" t="s">
        <v>125</v>
      </c>
      <c r="BC613" t="s">
        <v>125</v>
      </c>
      <c r="BD613" t="s">
        <v>125</v>
      </c>
      <c r="BE613" t="s">
        <v>125</v>
      </c>
      <c r="BF613" t="s">
        <v>125</v>
      </c>
      <c r="BG613" t="s">
        <v>125</v>
      </c>
      <c r="BH613">
        <v>0</v>
      </c>
      <c r="BI613">
        <v>0.98895</v>
      </c>
      <c r="BJ613">
        <v>0.98507500000000003</v>
      </c>
      <c r="BK613">
        <v>0.991228</v>
      </c>
      <c r="BL613">
        <v>0.98895</v>
      </c>
      <c r="BM613">
        <v>0.98507500000000003</v>
      </c>
      <c r="BN613">
        <v>0.991228</v>
      </c>
      <c r="BO613">
        <v>0.97252700000000003</v>
      </c>
      <c r="BP613">
        <v>0.95522399999999996</v>
      </c>
      <c r="BQ613">
        <v>0.98260899999999995</v>
      </c>
      <c r="BR613">
        <v>0.10977099999999999</v>
      </c>
      <c r="BS613">
        <v>38.045838000000003</v>
      </c>
      <c r="BT613">
        <v>50</v>
      </c>
      <c r="BU613">
        <v>0.17193</v>
      </c>
      <c r="BV613">
        <v>25.614035000000001</v>
      </c>
      <c r="BW613">
        <v>50</v>
      </c>
      <c r="BX613">
        <v>0.91815899999999995</v>
      </c>
      <c r="BY613">
        <v>50</v>
      </c>
      <c r="BZ613">
        <v>50</v>
      </c>
      <c r="CA613">
        <v>0.55498700000000001</v>
      </c>
      <c r="CB613">
        <v>36.999147000000001</v>
      </c>
      <c r="CC613">
        <v>50</v>
      </c>
      <c r="CD613">
        <v>0.91787399999999997</v>
      </c>
      <c r="CE613">
        <v>48.823106000000003</v>
      </c>
      <c r="CF613">
        <v>50</v>
      </c>
      <c r="CG613">
        <v>0.96132600000000001</v>
      </c>
      <c r="CH613">
        <v>100</v>
      </c>
      <c r="CI613">
        <v>100</v>
      </c>
      <c r="CJ613">
        <v>0</v>
      </c>
      <c r="CK613">
        <v>0.96250000000000002</v>
      </c>
      <c r="CL613">
        <v>100</v>
      </c>
      <c r="CM613">
        <v>100</v>
      </c>
      <c r="CN613">
        <v>0.78651700000000002</v>
      </c>
      <c r="CO613">
        <v>100</v>
      </c>
      <c r="CP613">
        <v>100</v>
      </c>
      <c r="CQ613">
        <v>0.83248699999999998</v>
      </c>
      <c r="CR613">
        <v>0.84549399999999997</v>
      </c>
      <c r="CS613">
        <v>25</v>
      </c>
      <c r="CT613">
        <v>50</v>
      </c>
      <c r="CU613">
        <v>0.48371500000000001</v>
      </c>
      <c r="CV613">
        <v>40.309609999999999</v>
      </c>
      <c r="CW613">
        <v>50</v>
      </c>
      <c r="CX613">
        <v>0.96250000000000002</v>
      </c>
      <c r="CY613">
        <v>0.94</v>
      </c>
      <c r="CZ613">
        <v>-2.2499999999999999E-2</v>
      </c>
      <c r="DA613">
        <v>15.314097</v>
      </c>
      <c r="DB613">
        <v>17.400950000000002</v>
      </c>
      <c r="DC613">
        <v>16.332519999999999</v>
      </c>
      <c r="DD613">
        <v>7.9891730000000001</v>
      </c>
      <c r="DE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Q613" t="s">
        <v>126</v>
      </c>
    </row>
    <row r="614" spans="1:121" x14ac:dyDescent="0.15">
      <c r="A614">
        <v>2018</v>
      </c>
      <c r="B614" t="s">
        <v>138</v>
      </c>
      <c r="C614" t="str">
        <f t="shared" si="23"/>
        <v>0840011</v>
      </c>
      <c r="D614" t="s">
        <v>770</v>
      </c>
      <c r="E614" t="str">
        <f>"0846311"</f>
        <v>0846311</v>
      </c>
      <c r="F614" t="s">
        <v>328</v>
      </c>
      <c r="G614">
        <v>9</v>
      </c>
      <c r="H614">
        <v>12</v>
      </c>
      <c r="J614" t="s">
        <v>331</v>
      </c>
      <c r="K614">
        <v>1210.3171709999999</v>
      </c>
      <c r="L614">
        <v>1450</v>
      </c>
      <c r="M614">
        <v>83.470150000000004</v>
      </c>
      <c r="N614">
        <v>2</v>
      </c>
      <c r="O614">
        <v>0</v>
      </c>
      <c r="P614">
        <v>61.825508999999997</v>
      </c>
      <c r="Q614">
        <v>123.651017</v>
      </c>
      <c r="R614">
        <v>150</v>
      </c>
      <c r="S614">
        <v>55.585647999999999</v>
      </c>
      <c r="T614">
        <v>65.01182</v>
      </c>
      <c r="U614">
        <v>111.171296</v>
      </c>
      <c r="V614">
        <v>150</v>
      </c>
      <c r="W614">
        <v>58.993740000000003</v>
      </c>
      <c r="X614">
        <v>117.98748000000001</v>
      </c>
      <c r="Y614">
        <v>150</v>
      </c>
      <c r="Z614">
        <v>62.619385000000001</v>
      </c>
      <c r="AA614">
        <v>51.893518999999998</v>
      </c>
      <c r="AB614">
        <v>103.787037</v>
      </c>
      <c r="AC614">
        <v>150</v>
      </c>
      <c r="AD614">
        <v>60.238283000000003</v>
      </c>
      <c r="AE614">
        <v>80.317710000000005</v>
      </c>
      <c r="AF614">
        <v>100</v>
      </c>
      <c r="AG614">
        <v>54.304530999999997</v>
      </c>
      <c r="AH614">
        <v>63.288732000000003</v>
      </c>
      <c r="AI614">
        <v>72.406041000000002</v>
      </c>
      <c r="AJ614">
        <v>100</v>
      </c>
      <c r="AK614">
        <v>9.42</v>
      </c>
      <c r="AL614">
        <v>10.72</v>
      </c>
      <c r="AM614">
        <v>8.98</v>
      </c>
      <c r="AN614" t="s">
        <v>125</v>
      </c>
      <c r="AO614" t="s">
        <v>125</v>
      </c>
      <c r="AP614" t="s">
        <v>125</v>
      </c>
      <c r="AQ614" t="s">
        <v>125</v>
      </c>
      <c r="AR614" t="s">
        <v>125</v>
      </c>
      <c r="AS614" t="s">
        <v>125</v>
      </c>
      <c r="AT614" t="s">
        <v>125</v>
      </c>
      <c r="AU614" t="s">
        <v>125</v>
      </c>
      <c r="AV614" t="s">
        <v>125</v>
      </c>
      <c r="AW614" t="s">
        <v>125</v>
      </c>
      <c r="AX614" t="s">
        <v>125</v>
      </c>
      <c r="AY614" t="s">
        <v>125</v>
      </c>
      <c r="AZ614" t="s">
        <v>125</v>
      </c>
      <c r="BA614" t="s">
        <v>125</v>
      </c>
      <c r="BB614" t="s">
        <v>125</v>
      </c>
      <c r="BC614" t="s">
        <v>125</v>
      </c>
      <c r="BD614" t="s">
        <v>125</v>
      </c>
      <c r="BE614" t="s">
        <v>125</v>
      </c>
      <c r="BF614" t="s">
        <v>125</v>
      </c>
      <c r="BG614" t="s">
        <v>125</v>
      </c>
      <c r="BH614">
        <v>0</v>
      </c>
      <c r="BI614">
        <v>0.97345099999999996</v>
      </c>
      <c r="BJ614">
        <v>0.95061700000000005</v>
      </c>
      <c r="BK614">
        <v>0.98620699999999994</v>
      </c>
      <c r="BL614">
        <v>0.97345099999999996</v>
      </c>
      <c r="BM614">
        <v>0.95061700000000005</v>
      </c>
      <c r="BN614">
        <v>0.98620699999999994</v>
      </c>
      <c r="BO614">
        <v>0.98672599999999999</v>
      </c>
      <c r="BP614">
        <v>0.96296300000000001</v>
      </c>
      <c r="BQ614">
        <v>1</v>
      </c>
      <c r="BR614">
        <v>0.102975</v>
      </c>
      <c r="BS614">
        <v>39.405034000000001</v>
      </c>
      <c r="BT614">
        <v>50</v>
      </c>
      <c r="BU614">
        <v>0.16140399999999999</v>
      </c>
      <c r="BV614">
        <v>27.719297999999998</v>
      </c>
      <c r="BW614">
        <v>50</v>
      </c>
      <c r="BX614">
        <v>0.93318500000000004</v>
      </c>
      <c r="BY614">
        <v>50</v>
      </c>
      <c r="BZ614">
        <v>50</v>
      </c>
      <c r="CA614">
        <v>0.55233900000000002</v>
      </c>
      <c r="CB614">
        <v>36.822569000000001</v>
      </c>
      <c r="CC614">
        <v>50</v>
      </c>
      <c r="CD614">
        <v>0.93364899999999995</v>
      </c>
      <c r="CE614">
        <v>49.662196000000002</v>
      </c>
      <c r="CF614">
        <v>50</v>
      </c>
      <c r="CG614">
        <v>0.98181799999999997</v>
      </c>
      <c r="CH614">
        <v>100</v>
      </c>
      <c r="CI614">
        <v>100</v>
      </c>
      <c r="CJ614">
        <v>0</v>
      </c>
      <c r="CK614">
        <v>0.98591499999999999</v>
      </c>
      <c r="CL614">
        <v>100</v>
      </c>
      <c r="CM614">
        <v>100</v>
      </c>
      <c r="CN614">
        <v>0.79908699999999999</v>
      </c>
      <c r="CO614">
        <v>100</v>
      </c>
      <c r="CP614">
        <v>100</v>
      </c>
      <c r="CQ614">
        <v>0.81451600000000002</v>
      </c>
      <c r="CR614">
        <v>1.1534880000000001</v>
      </c>
      <c r="CS614">
        <v>50</v>
      </c>
      <c r="CT614">
        <v>50</v>
      </c>
      <c r="CU614">
        <v>0.56864999999999999</v>
      </c>
      <c r="CV614">
        <v>47.38749</v>
      </c>
      <c r="CW614">
        <v>50</v>
      </c>
      <c r="CX614">
        <v>0.98591499999999999</v>
      </c>
      <c r="CY614">
        <v>0.94</v>
      </c>
      <c r="CZ614">
        <v>-4.5914999999999997E-2</v>
      </c>
      <c r="DA614">
        <v>15.314097</v>
      </c>
      <c r="DB614">
        <v>17.400950000000002</v>
      </c>
      <c r="DC614">
        <v>16.332519999999999</v>
      </c>
      <c r="DD614">
        <v>7.9891730000000001</v>
      </c>
      <c r="DE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Q614" t="s">
        <v>126</v>
      </c>
    </row>
    <row r="615" spans="1:121" x14ac:dyDescent="0.15">
      <c r="A615">
        <v>2018</v>
      </c>
      <c r="B615" t="s">
        <v>138</v>
      </c>
      <c r="C615" t="str">
        <f t="shared" si="23"/>
        <v>0840011</v>
      </c>
      <c r="D615" t="s">
        <v>771</v>
      </c>
      <c r="E615" t="str">
        <f>"0841611"</f>
        <v>0841611</v>
      </c>
      <c r="F615" t="s">
        <v>328</v>
      </c>
      <c r="G615" t="s">
        <v>329</v>
      </c>
      <c r="H615">
        <v>5</v>
      </c>
      <c r="J615" t="s">
        <v>331</v>
      </c>
      <c r="K615">
        <v>663.89858600000002</v>
      </c>
      <c r="L615">
        <v>800</v>
      </c>
      <c r="M615">
        <v>82.987323000000004</v>
      </c>
      <c r="N615">
        <v>2</v>
      </c>
      <c r="O615">
        <v>0</v>
      </c>
      <c r="P615">
        <v>74.863775000000004</v>
      </c>
      <c r="Q615">
        <v>49.909182999999999</v>
      </c>
      <c r="R615">
        <v>50</v>
      </c>
      <c r="S615">
        <v>67.017366999999993</v>
      </c>
      <c r="T615">
        <v>75</v>
      </c>
      <c r="U615">
        <v>44.678243999999999</v>
      </c>
      <c r="V615">
        <v>50</v>
      </c>
      <c r="W615">
        <v>75.728713999999997</v>
      </c>
      <c r="X615">
        <v>50</v>
      </c>
      <c r="Y615">
        <v>50</v>
      </c>
      <c r="Z615">
        <v>75</v>
      </c>
      <c r="AA615">
        <v>68.448890000000006</v>
      </c>
      <c r="AB615">
        <v>45.632593</v>
      </c>
      <c r="AC615">
        <v>50</v>
      </c>
      <c r="AD615">
        <v>81.275806000000003</v>
      </c>
      <c r="AE615">
        <v>50</v>
      </c>
      <c r="AF615">
        <v>50</v>
      </c>
      <c r="AG615" t="s">
        <v>125</v>
      </c>
      <c r="AH615">
        <v>75</v>
      </c>
      <c r="AI615" t="s">
        <v>125</v>
      </c>
      <c r="AJ615" t="s">
        <v>125</v>
      </c>
      <c r="AK615">
        <v>7.98</v>
      </c>
      <c r="AL615">
        <v>6.55</v>
      </c>
      <c r="AM615" t="s">
        <v>125</v>
      </c>
      <c r="AN615">
        <v>0.77234199999999997</v>
      </c>
      <c r="AO615">
        <v>77.234232000000006</v>
      </c>
      <c r="AP615">
        <v>100</v>
      </c>
      <c r="AQ615">
        <v>0.74892300000000001</v>
      </c>
      <c r="AR615">
        <v>74.892251000000002</v>
      </c>
      <c r="AS615">
        <v>100</v>
      </c>
      <c r="AT615">
        <v>0.77228399999999997</v>
      </c>
      <c r="AU615">
        <v>0.77236800000000005</v>
      </c>
      <c r="AV615">
        <v>77.228391999999999</v>
      </c>
      <c r="AW615">
        <v>100</v>
      </c>
      <c r="AX615">
        <v>0.78476299999999999</v>
      </c>
      <c r="AY615">
        <v>0.73346199999999995</v>
      </c>
      <c r="AZ615">
        <v>78.476284000000007</v>
      </c>
      <c r="BA615">
        <v>100</v>
      </c>
      <c r="BB615" t="s">
        <v>125</v>
      </c>
      <c r="BC615" t="s">
        <v>125</v>
      </c>
      <c r="BD615" t="s">
        <v>125</v>
      </c>
      <c r="BE615" t="s">
        <v>125</v>
      </c>
      <c r="BF615" t="s">
        <v>125</v>
      </c>
      <c r="BG615" t="s">
        <v>125</v>
      </c>
      <c r="BH615">
        <v>0</v>
      </c>
      <c r="BI615">
        <v>0.97541</v>
      </c>
      <c r="BJ615">
        <v>1</v>
      </c>
      <c r="BK615">
        <v>0.96250000000000002</v>
      </c>
      <c r="BL615">
        <v>0.97541</v>
      </c>
      <c r="BM615">
        <v>1</v>
      </c>
      <c r="BN615">
        <v>0.96250000000000002</v>
      </c>
      <c r="BO615">
        <v>0.95555599999999996</v>
      </c>
      <c r="BP615" t="s">
        <v>125</v>
      </c>
      <c r="BQ615">
        <v>0.92857100000000004</v>
      </c>
      <c r="BR615">
        <v>7.3770000000000002E-2</v>
      </c>
      <c r="BS615">
        <v>45.245902000000001</v>
      </c>
      <c r="BT615">
        <v>50</v>
      </c>
      <c r="BU615">
        <v>0.118421</v>
      </c>
      <c r="BV615">
        <v>36.315789000000002</v>
      </c>
      <c r="BW615">
        <v>50</v>
      </c>
      <c r="BX615" t="s">
        <v>125</v>
      </c>
      <c r="BY615" t="s">
        <v>125</v>
      </c>
      <c r="BZ615" t="s">
        <v>125</v>
      </c>
      <c r="CA615" t="s">
        <v>125</v>
      </c>
      <c r="CB615" t="s">
        <v>125</v>
      </c>
      <c r="CC615" t="s">
        <v>125</v>
      </c>
      <c r="CD615" t="s">
        <v>125</v>
      </c>
      <c r="CE615" t="s">
        <v>125</v>
      </c>
      <c r="CF615" t="s">
        <v>125</v>
      </c>
      <c r="CG615" t="s">
        <v>125</v>
      </c>
      <c r="CH615" t="s">
        <v>125</v>
      </c>
      <c r="CI615" t="s">
        <v>125</v>
      </c>
      <c r="CJ615" t="s">
        <v>125</v>
      </c>
      <c r="CK615" t="s">
        <v>125</v>
      </c>
      <c r="CL615" t="s">
        <v>125</v>
      </c>
      <c r="CM615" t="s">
        <v>125</v>
      </c>
      <c r="CN615" t="s">
        <v>125</v>
      </c>
      <c r="CO615" t="s">
        <v>125</v>
      </c>
      <c r="CP615" t="s">
        <v>125</v>
      </c>
      <c r="CQ615">
        <v>0.51428600000000002</v>
      </c>
      <c r="CR615">
        <v>0.94594599999999995</v>
      </c>
      <c r="CS615">
        <v>34.285713999999999</v>
      </c>
      <c r="CT615">
        <v>50</v>
      </c>
      <c r="CU615" t="s">
        <v>125</v>
      </c>
      <c r="CV615" t="s">
        <v>125</v>
      </c>
      <c r="CW615" t="s">
        <v>125</v>
      </c>
      <c r="CX615" t="s">
        <v>125</v>
      </c>
      <c r="CY615" t="s">
        <v>125</v>
      </c>
      <c r="CZ615" t="s">
        <v>125</v>
      </c>
      <c r="DA615">
        <v>15.314097</v>
      </c>
      <c r="DB615">
        <v>17.400950000000002</v>
      </c>
      <c r="DC615">
        <v>16.332519999999999</v>
      </c>
      <c r="DD615" t="s">
        <v>125</v>
      </c>
      <c r="DE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Q615" t="s">
        <v>126</v>
      </c>
    </row>
    <row r="616" spans="1:121" x14ac:dyDescent="0.15">
      <c r="A616">
        <v>2018</v>
      </c>
      <c r="B616" t="s">
        <v>138</v>
      </c>
      <c r="C616" t="str">
        <f t="shared" si="23"/>
        <v>0840011</v>
      </c>
      <c r="D616" t="s">
        <v>772</v>
      </c>
      <c r="E616" t="str">
        <f>"0841711"</f>
        <v>0841711</v>
      </c>
      <c r="F616" t="s">
        <v>328</v>
      </c>
      <c r="G616" t="s">
        <v>339</v>
      </c>
      <c r="H616">
        <v>5</v>
      </c>
      <c r="J616" t="s">
        <v>331</v>
      </c>
      <c r="K616">
        <v>793.93808899999999</v>
      </c>
      <c r="L616">
        <v>950</v>
      </c>
      <c r="M616">
        <v>83.572429999999997</v>
      </c>
      <c r="N616">
        <v>2</v>
      </c>
      <c r="O616">
        <v>0</v>
      </c>
      <c r="P616">
        <v>76.982894999999999</v>
      </c>
      <c r="Q616">
        <v>50</v>
      </c>
      <c r="R616">
        <v>50</v>
      </c>
      <c r="S616">
        <v>67.243151999999995</v>
      </c>
      <c r="T616">
        <v>75</v>
      </c>
      <c r="U616">
        <v>44.828767999999997</v>
      </c>
      <c r="V616">
        <v>50</v>
      </c>
      <c r="W616">
        <v>73.869073</v>
      </c>
      <c r="X616">
        <v>49.246048000000002</v>
      </c>
      <c r="Y616">
        <v>50</v>
      </c>
      <c r="Z616">
        <v>75</v>
      </c>
      <c r="AA616">
        <v>65.772013000000001</v>
      </c>
      <c r="AB616">
        <v>43.848008999999998</v>
      </c>
      <c r="AC616">
        <v>50</v>
      </c>
      <c r="AD616">
        <v>72.627880000000005</v>
      </c>
      <c r="AE616">
        <v>48.418587000000002</v>
      </c>
      <c r="AF616">
        <v>50</v>
      </c>
      <c r="AG616">
        <v>68.095237999999995</v>
      </c>
      <c r="AH616">
        <v>75</v>
      </c>
      <c r="AI616">
        <v>45.396825</v>
      </c>
      <c r="AJ616">
        <v>50</v>
      </c>
      <c r="AK616">
        <v>7.75</v>
      </c>
      <c r="AL616">
        <v>9.2200000000000006</v>
      </c>
      <c r="AM616">
        <v>6.9</v>
      </c>
      <c r="AN616">
        <v>0.70246699999999995</v>
      </c>
      <c r="AO616">
        <v>70.246725999999995</v>
      </c>
      <c r="AP616">
        <v>100</v>
      </c>
      <c r="AQ616">
        <v>0.78282700000000005</v>
      </c>
      <c r="AR616">
        <v>78.282674999999998</v>
      </c>
      <c r="AS616">
        <v>100</v>
      </c>
      <c r="AT616">
        <v>0.67641200000000001</v>
      </c>
      <c r="AU616">
        <v>0.71444700000000005</v>
      </c>
      <c r="AV616">
        <v>67.641167999999993</v>
      </c>
      <c r="AW616">
        <v>100</v>
      </c>
      <c r="AX616">
        <v>0.78156400000000004</v>
      </c>
      <c r="AY616">
        <v>0.78340799999999999</v>
      </c>
      <c r="AZ616">
        <v>78.156356000000002</v>
      </c>
      <c r="BA616">
        <v>100</v>
      </c>
      <c r="BB616">
        <v>0.94237000000000004</v>
      </c>
      <c r="BC616">
        <v>47.118479999999998</v>
      </c>
      <c r="BD616">
        <v>50</v>
      </c>
      <c r="BE616">
        <v>0.74888200000000005</v>
      </c>
      <c r="BF616">
        <v>37.444122999999998</v>
      </c>
      <c r="BG616">
        <v>50</v>
      </c>
      <c r="BH616">
        <v>0</v>
      </c>
      <c r="BI616">
        <v>0.98477199999999998</v>
      </c>
      <c r="BJ616">
        <v>0.97402599999999995</v>
      </c>
      <c r="BK616">
        <v>0.99166699999999997</v>
      </c>
      <c r="BL616">
        <v>0.98477199999999998</v>
      </c>
      <c r="BM616">
        <v>0.97402599999999995</v>
      </c>
      <c r="BN616">
        <v>0.99166699999999997</v>
      </c>
      <c r="BO616">
        <v>0.98275900000000005</v>
      </c>
      <c r="BP616">
        <v>1</v>
      </c>
      <c r="BQ616">
        <v>0.97222200000000003</v>
      </c>
      <c r="BR616">
        <v>4.8257000000000001E-2</v>
      </c>
      <c r="BS616">
        <v>50</v>
      </c>
      <c r="BT616">
        <v>50</v>
      </c>
      <c r="BU616">
        <v>9.8361000000000004E-2</v>
      </c>
      <c r="BV616">
        <v>40.327869</v>
      </c>
      <c r="BW616">
        <v>50</v>
      </c>
      <c r="BX616" t="s">
        <v>125</v>
      </c>
      <c r="BY616" t="s">
        <v>125</v>
      </c>
      <c r="BZ616" t="s">
        <v>125</v>
      </c>
      <c r="CA616" t="s">
        <v>125</v>
      </c>
      <c r="CB616" t="s">
        <v>125</v>
      </c>
      <c r="CC616" t="s">
        <v>125</v>
      </c>
      <c r="CD616" t="s">
        <v>125</v>
      </c>
      <c r="CE616" t="s">
        <v>125</v>
      </c>
      <c r="CF616" t="s">
        <v>125</v>
      </c>
      <c r="CG616" t="s">
        <v>125</v>
      </c>
      <c r="CH616" t="s">
        <v>125</v>
      </c>
      <c r="CI616" t="s">
        <v>125</v>
      </c>
      <c r="CJ616" t="s">
        <v>125</v>
      </c>
      <c r="CK616" t="s">
        <v>125</v>
      </c>
      <c r="CL616" t="s">
        <v>125</v>
      </c>
      <c r="CM616" t="s">
        <v>125</v>
      </c>
      <c r="CN616" t="s">
        <v>125</v>
      </c>
      <c r="CO616" t="s">
        <v>125</v>
      </c>
      <c r="CP616" t="s">
        <v>125</v>
      </c>
      <c r="CQ616">
        <v>0.644737</v>
      </c>
      <c r="CR616">
        <v>1</v>
      </c>
      <c r="CS616">
        <v>42.982455999999999</v>
      </c>
      <c r="CT616">
        <v>50</v>
      </c>
      <c r="CU616" t="s">
        <v>125</v>
      </c>
      <c r="CV616" t="s">
        <v>125</v>
      </c>
      <c r="CW616" t="s">
        <v>125</v>
      </c>
      <c r="CX616" t="s">
        <v>125</v>
      </c>
      <c r="CY616" t="s">
        <v>125</v>
      </c>
      <c r="CZ616" t="s">
        <v>125</v>
      </c>
      <c r="DA616">
        <v>15.314097</v>
      </c>
      <c r="DB616">
        <v>17.400950000000002</v>
      </c>
      <c r="DC616">
        <v>16.332519999999999</v>
      </c>
      <c r="DD616" t="s">
        <v>125</v>
      </c>
      <c r="DE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Q616" t="s">
        <v>126</v>
      </c>
    </row>
    <row r="617" spans="1:121" x14ac:dyDescent="0.15">
      <c r="A617">
        <v>2018</v>
      </c>
      <c r="B617" t="s">
        <v>138</v>
      </c>
      <c r="C617" t="str">
        <f t="shared" si="23"/>
        <v>0840011</v>
      </c>
      <c r="D617" t="s">
        <v>773</v>
      </c>
      <c r="E617" t="str">
        <f>"0840711"</f>
        <v>0840711</v>
      </c>
      <c r="F617" t="s">
        <v>328</v>
      </c>
      <c r="G617" t="s">
        <v>339</v>
      </c>
      <c r="H617">
        <v>5</v>
      </c>
      <c r="I617" t="s">
        <v>330</v>
      </c>
      <c r="J617" t="s">
        <v>331</v>
      </c>
      <c r="K617">
        <v>731.74486100000001</v>
      </c>
      <c r="L617">
        <v>950</v>
      </c>
      <c r="M617">
        <v>77.025774999999996</v>
      </c>
      <c r="N617">
        <v>2</v>
      </c>
      <c r="O617">
        <v>0</v>
      </c>
      <c r="P617">
        <v>73.465933000000007</v>
      </c>
      <c r="Q617">
        <v>48.977288999999999</v>
      </c>
      <c r="R617">
        <v>50</v>
      </c>
      <c r="S617">
        <v>67.510319999999993</v>
      </c>
      <c r="T617">
        <v>75</v>
      </c>
      <c r="U617">
        <v>45.006880000000002</v>
      </c>
      <c r="V617">
        <v>50</v>
      </c>
      <c r="W617">
        <v>70.176824999999994</v>
      </c>
      <c r="X617">
        <v>46.784550000000003</v>
      </c>
      <c r="Y617">
        <v>50</v>
      </c>
      <c r="Z617">
        <v>75</v>
      </c>
      <c r="AA617">
        <v>65.116266999999993</v>
      </c>
      <c r="AB617">
        <v>43.410845000000002</v>
      </c>
      <c r="AC617">
        <v>50</v>
      </c>
      <c r="AD617">
        <v>72.678246000000001</v>
      </c>
      <c r="AE617">
        <v>48.452164000000003</v>
      </c>
      <c r="AF617">
        <v>50</v>
      </c>
      <c r="AG617">
        <v>66.627791999999999</v>
      </c>
      <c r="AH617" t="s">
        <v>125</v>
      </c>
      <c r="AI617">
        <v>44.418528000000002</v>
      </c>
      <c r="AJ617">
        <v>50</v>
      </c>
      <c r="AK617">
        <v>7.48</v>
      </c>
      <c r="AL617">
        <v>9.8800000000000008</v>
      </c>
      <c r="AM617" t="s">
        <v>125</v>
      </c>
      <c r="AN617">
        <v>0.67989500000000003</v>
      </c>
      <c r="AO617">
        <v>67.989540000000005</v>
      </c>
      <c r="AP617">
        <v>100</v>
      </c>
      <c r="AQ617">
        <v>0.708009</v>
      </c>
      <c r="AR617">
        <v>70.800938000000002</v>
      </c>
      <c r="AS617">
        <v>100</v>
      </c>
      <c r="AT617">
        <v>0.63282700000000003</v>
      </c>
      <c r="AU617">
        <v>0.72944100000000001</v>
      </c>
      <c r="AV617">
        <v>63.282708999999997</v>
      </c>
      <c r="AW617">
        <v>100</v>
      </c>
      <c r="AX617">
        <v>0.69312700000000005</v>
      </c>
      <c r="AY617">
        <v>0.72367499999999996</v>
      </c>
      <c r="AZ617">
        <v>69.312736999999998</v>
      </c>
      <c r="BA617">
        <v>100</v>
      </c>
      <c r="BB617">
        <v>0.91640100000000002</v>
      </c>
      <c r="BC617">
        <v>45.820058000000003</v>
      </c>
      <c r="BD617">
        <v>50</v>
      </c>
      <c r="BE617">
        <v>0.63995000000000002</v>
      </c>
      <c r="BF617">
        <v>31.997516999999998</v>
      </c>
      <c r="BG617">
        <v>50</v>
      </c>
      <c r="BH617">
        <v>0</v>
      </c>
      <c r="BI617">
        <v>0.992537</v>
      </c>
      <c r="BJ617">
        <v>0.98611099999999996</v>
      </c>
      <c r="BK617">
        <v>1</v>
      </c>
      <c r="BL617">
        <v>0.992537</v>
      </c>
      <c r="BM617">
        <v>0.98611099999999996</v>
      </c>
      <c r="BN617">
        <v>1</v>
      </c>
      <c r="BO617">
        <v>0.97619</v>
      </c>
      <c r="BP617">
        <v>0.96296300000000001</v>
      </c>
      <c r="BQ617" t="s">
        <v>125</v>
      </c>
      <c r="BR617">
        <v>0.116732</v>
      </c>
      <c r="BS617">
        <v>36.653695999999997</v>
      </c>
      <c r="BT617">
        <v>50</v>
      </c>
      <c r="BU617">
        <v>0.162162</v>
      </c>
      <c r="BV617">
        <v>27.567568000000001</v>
      </c>
      <c r="BW617">
        <v>50</v>
      </c>
      <c r="BX617" t="s">
        <v>125</v>
      </c>
      <c r="BY617" t="s">
        <v>125</v>
      </c>
      <c r="BZ617" t="s">
        <v>125</v>
      </c>
      <c r="CA617" t="s">
        <v>125</v>
      </c>
      <c r="CB617" t="s">
        <v>125</v>
      </c>
      <c r="CC617" t="s">
        <v>125</v>
      </c>
      <c r="CD617" t="s">
        <v>125</v>
      </c>
      <c r="CE617" t="s">
        <v>125</v>
      </c>
      <c r="CF617" t="s">
        <v>125</v>
      </c>
      <c r="CG617" t="s">
        <v>125</v>
      </c>
      <c r="CH617" t="s">
        <v>125</v>
      </c>
      <c r="CI617" t="s">
        <v>125</v>
      </c>
      <c r="CJ617" t="s">
        <v>125</v>
      </c>
      <c r="CK617" t="s">
        <v>125</v>
      </c>
      <c r="CL617" t="s">
        <v>125</v>
      </c>
      <c r="CM617" t="s">
        <v>125</v>
      </c>
      <c r="CN617" t="s">
        <v>125</v>
      </c>
      <c r="CO617" t="s">
        <v>125</v>
      </c>
      <c r="CP617" t="s">
        <v>125</v>
      </c>
      <c r="CQ617">
        <v>0.61904800000000004</v>
      </c>
      <c r="CR617">
        <v>0.97674399999999995</v>
      </c>
      <c r="CS617">
        <v>41.269841</v>
      </c>
      <c r="CT617">
        <v>50</v>
      </c>
      <c r="CU617" t="s">
        <v>125</v>
      </c>
      <c r="CV617" t="s">
        <v>125</v>
      </c>
      <c r="CW617" t="s">
        <v>125</v>
      </c>
      <c r="CX617" t="s">
        <v>125</v>
      </c>
      <c r="CY617" t="s">
        <v>125</v>
      </c>
      <c r="CZ617" t="s">
        <v>125</v>
      </c>
      <c r="DA617">
        <v>15.314097</v>
      </c>
      <c r="DB617">
        <v>17.400950000000002</v>
      </c>
      <c r="DC617">
        <v>16.332519999999999</v>
      </c>
      <c r="DD617" t="s">
        <v>125</v>
      </c>
      <c r="DE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Q617" t="s">
        <v>126</v>
      </c>
    </row>
    <row r="618" spans="1:121" x14ac:dyDescent="0.15">
      <c r="A618">
        <v>2018</v>
      </c>
      <c r="B618" t="s">
        <v>138</v>
      </c>
      <c r="C618" t="str">
        <f t="shared" si="23"/>
        <v>0840011</v>
      </c>
      <c r="D618" t="s">
        <v>774</v>
      </c>
      <c r="E618" t="str">
        <f>"0840811"</f>
        <v>0840811</v>
      </c>
      <c r="F618" t="s">
        <v>328</v>
      </c>
      <c r="G618" t="s">
        <v>329</v>
      </c>
      <c r="H618">
        <v>5</v>
      </c>
      <c r="J618" t="s">
        <v>331</v>
      </c>
      <c r="K618">
        <v>658.69379300000003</v>
      </c>
      <c r="L618">
        <v>800</v>
      </c>
      <c r="M618">
        <v>82.336724000000004</v>
      </c>
      <c r="N618">
        <v>2</v>
      </c>
      <c r="O618">
        <v>0</v>
      </c>
      <c r="P618">
        <v>76.270705000000007</v>
      </c>
      <c r="Q618">
        <v>50</v>
      </c>
      <c r="R618">
        <v>50</v>
      </c>
      <c r="S618">
        <v>68.325434000000001</v>
      </c>
      <c r="T618">
        <v>75</v>
      </c>
      <c r="U618">
        <v>45.550289999999997</v>
      </c>
      <c r="V618">
        <v>50</v>
      </c>
      <c r="W618">
        <v>75.910773000000006</v>
      </c>
      <c r="X618">
        <v>50</v>
      </c>
      <c r="Y618">
        <v>50</v>
      </c>
      <c r="Z618">
        <v>75</v>
      </c>
      <c r="AA618">
        <v>67.351303000000001</v>
      </c>
      <c r="AB618">
        <v>44.900869</v>
      </c>
      <c r="AC618">
        <v>50</v>
      </c>
      <c r="AD618">
        <v>69.168203000000005</v>
      </c>
      <c r="AE618">
        <v>46.112135000000002</v>
      </c>
      <c r="AF618">
        <v>50</v>
      </c>
      <c r="AG618" t="s">
        <v>125</v>
      </c>
      <c r="AH618">
        <v>74.995641000000006</v>
      </c>
      <c r="AI618" t="s">
        <v>125</v>
      </c>
      <c r="AJ618" t="s">
        <v>125</v>
      </c>
      <c r="AK618">
        <v>6.67</v>
      </c>
      <c r="AL618">
        <v>7.64</v>
      </c>
      <c r="AM618" t="s">
        <v>125</v>
      </c>
      <c r="AN618">
        <v>0.69138900000000003</v>
      </c>
      <c r="AO618">
        <v>69.138919000000001</v>
      </c>
      <c r="AP618">
        <v>100</v>
      </c>
      <c r="AQ618">
        <v>0.79346799999999995</v>
      </c>
      <c r="AR618">
        <v>79.346829</v>
      </c>
      <c r="AS618">
        <v>100</v>
      </c>
      <c r="AT618">
        <v>0.61728700000000003</v>
      </c>
      <c r="AU618">
        <v>0.72695799999999999</v>
      </c>
      <c r="AV618">
        <v>61.728675000000003</v>
      </c>
      <c r="AW618">
        <v>100</v>
      </c>
      <c r="AX618">
        <v>0.71006999999999998</v>
      </c>
      <c r="AY618">
        <v>0.83238800000000002</v>
      </c>
      <c r="AZ618">
        <v>71.006985</v>
      </c>
      <c r="BA618">
        <v>100</v>
      </c>
      <c r="BB618" t="s">
        <v>125</v>
      </c>
      <c r="BC618" t="s">
        <v>125</v>
      </c>
      <c r="BD618" t="s">
        <v>125</v>
      </c>
      <c r="BE618" t="s">
        <v>125</v>
      </c>
      <c r="BF618" t="s">
        <v>125</v>
      </c>
      <c r="BG618" t="s">
        <v>125</v>
      </c>
      <c r="BH618">
        <v>0</v>
      </c>
      <c r="BI618">
        <v>0.99404800000000004</v>
      </c>
      <c r="BJ618">
        <v>0.98550700000000002</v>
      </c>
      <c r="BK618">
        <v>1</v>
      </c>
      <c r="BL618">
        <v>0.99404800000000004</v>
      </c>
      <c r="BM618">
        <v>0.98550700000000002</v>
      </c>
      <c r="BN618">
        <v>1</v>
      </c>
      <c r="BO618">
        <v>1</v>
      </c>
      <c r="BP618">
        <v>1</v>
      </c>
      <c r="BQ618">
        <v>1</v>
      </c>
      <c r="BR618">
        <v>3.2543999999999997E-2</v>
      </c>
      <c r="BS618">
        <v>50</v>
      </c>
      <c r="BT618">
        <v>50</v>
      </c>
      <c r="BU618">
        <v>6.3635999999999998E-2</v>
      </c>
      <c r="BV618">
        <v>47.272727000000003</v>
      </c>
      <c r="BW618">
        <v>50</v>
      </c>
      <c r="BX618" t="s">
        <v>125</v>
      </c>
      <c r="BY618" t="s">
        <v>125</v>
      </c>
      <c r="BZ618" t="s">
        <v>125</v>
      </c>
      <c r="CA618" t="s">
        <v>125</v>
      </c>
      <c r="CB618" t="s">
        <v>125</v>
      </c>
      <c r="CC618" t="s">
        <v>125</v>
      </c>
      <c r="CD618" t="s">
        <v>125</v>
      </c>
      <c r="CE618" t="s">
        <v>125</v>
      </c>
      <c r="CF618" t="s">
        <v>125</v>
      </c>
      <c r="CG618" t="s">
        <v>125</v>
      </c>
      <c r="CH618" t="s">
        <v>125</v>
      </c>
      <c r="CI618" t="s">
        <v>125</v>
      </c>
      <c r="CJ618" t="s">
        <v>125</v>
      </c>
      <c r="CK618" t="s">
        <v>125</v>
      </c>
      <c r="CL618" t="s">
        <v>125</v>
      </c>
      <c r="CM618" t="s">
        <v>125</v>
      </c>
      <c r="CN618" t="s">
        <v>125</v>
      </c>
      <c r="CO618" t="s">
        <v>125</v>
      </c>
      <c r="CP618" t="s">
        <v>125</v>
      </c>
      <c r="CQ618">
        <v>0.65454500000000004</v>
      </c>
      <c r="CR618">
        <v>0.94827600000000001</v>
      </c>
      <c r="CS618">
        <v>43.636364</v>
      </c>
      <c r="CT618">
        <v>50</v>
      </c>
      <c r="CU618" t="s">
        <v>125</v>
      </c>
      <c r="CV618" t="s">
        <v>125</v>
      </c>
      <c r="CW618" t="s">
        <v>125</v>
      </c>
      <c r="CX618" t="s">
        <v>125</v>
      </c>
      <c r="CY618" t="s">
        <v>125</v>
      </c>
      <c r="CZ618" t="s">
        <v>125</v>
      </c>
      <c r="DA618">
        <v>15.314097</v>
      </c>
      <c r="DB618">
        <v>17.400950000000002</v>
      </c>
      <c r="DC618">
        <v>16.332519999999999</v>
      </c>
      <c r="DD618" t="s">
        <v>125</v>
      </c>
      <c r="DE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Q618" t="s">
        <v>126</v>
      </c>
    </row>
    <row r="619" spans="1:121" x14ac:dyDescent="0.15">
      <c r="A619">
        <v>2018</v>
      </c>
      <c r="B619" t="s">
        <v>138</v>
      </c>
      <c r="C619" t="str">
        <f t="shared" si="23"/>
        <v>0840011</v>
      </c>
      <c r="D619" t="s">
        <v>775</v>
      </c>
      <c r="E619" t="str">
        <f>"0841811"</f>
        <v>0841811</v>
      </c>
      <c r="F619" t="s">
        <v>328</v>
      </c>
      <c r="G619" t="s">
        <v>329</v>
      </c>
      <c r="H619">
        <v>5</v>
      </c>
      <c r="J619" t="s">
        <v>331</v>
      </c>
      <c r="K619">
        <v>667.45754399999998</v>
      </c>
      <c r="L619">
        <v>850</v>
      </c>
      <c r="M619">
        <v>78.524417</v>
      </c>
      <c r="N619">
        <v>2</v>
      </c>
      <c r="O619">
        <v>0</v>
      </c>
      <c r="P619">
        <v>78.495835999999997</v>
      </c>
      <c r="Q619">
        <v>50</v>
      </c>
      <c r="R619">
        <v>50</v>
      </c>
      <c r="S619">
        <v>70.231102000000007</v>
      </c>
      <c r="T619">
        <v>75</v>
      </c>
      <c r="U619">
        <v>46.820734999999999</v>
      </c>
      <c r="V619">
        <v>50</v>
      </c>
      <c r="W619">
        <v>75.030512000000002</v>
      </c>
      <c r="X619">
        <v>50</v>
      </c>
      <c r="Y619">
        <v>50</v>
      </c>
      <c r="Z619">
        <v>75</v>
      </c>
      <c r="AA619">
        <v>68.410850999999994</v>
      </c>
      <c r="AB619">
        <v>45.607233999999998</v>
      </c>
      <c r="AC619">
        <v>50</v>
      </c>
      <c r="AD619">
        <v>74.023510000000002</v>
      </c>
      <c r="AE619">
        <v>49.349007</v>
      </c>
      <c r="AF619">
        <v>50</v>
      </c>
      <c r="AG619">
        <v>63.230415000000001</v>
      </c>
      <c r="AH619">
        <v>75</v>
      </c>
      <c r="AI619">
        <v>42.15361</v>
      </c>
      <c r="AJ619">
        <v>50</v>
      </c>
      <c r="AK619">
        <v>4.76</v>
      </c>
      <c r="AL619">
        <v>6.58</v>
      </c>
      <c r="AM619">
        <v>11.76</v>
      </c>
      <c r="AN619">
        <v>0.74832299999999996</v>
      </c>
      <c r="AO619">
        <v>74.832261000000003</v>
      </c>
      <c r="AP619">
        <v>100</v>
      </c>
      <c r="AQ619">
        <v>0.66926200000000002</v>
      </c>
      <c r="AR619">
        <v>66.926233999999994</v>
      </c>
      <c r="AS619">
        <v>100</v>
      </c>
      <c r="AT619">
        <v>0.59127099999999999</v>
      </c>
      <c r="AU619">
        <v>0.81071300000000002</v>
      </c>
      <c r="AV619">
        <v>59.127074999999998</v>
      </c>
      <c r="AW619">
        <v>100</v>
      </c>
      <c r="AX619">
        <v>0.70974700000000002</v>
      </c>
      <c r="AY619">
        <v>0.65317899999999995</v>
      </c>
      <c r="AZ619">
        <v>70.974721000000002</v>
      </c>
      <c r="BA619">
        <v>100</v>
      </c>
      <c r="BB619" t="s">
        <v>125</v>
      </c>
      <c r="BC619" t="s">
        <v>125</v>
      </c>
      <c r="BD619" t="s">
        <v>125</v>
      </c>
      <c r="BE619" t="s">
        <v>125</v>
      </c>
      <c r="BF619" t="s">
        <v>125</v>
      </c>
      <c r="BG619" t="s">
        <v>125</v>
      </c>
      <c r="BH619">
        <v>0</v>
      </c>
      <c r="BI619">
        <v>0.99393900000000002</v>
      </c>
      <c r="BJ619">
        <v>0.982456</v>
      </c>
      <c r="BK619">
        <v>1</v>
      </c>
      <c r="BL619">
        <v>0.99393900000000002</v>
      </c>
      <c r="BM619">
        <v>0.982456</v>
      </c>
      <c r="BN619">
        <v>1</v>
      </c>
      <c r="BO619">
        <v>1</v>
      </c>
      <c r="BP619">
        <v>1</v>
      </c>
      <c r="BQ619">
        <v>1</v>
      </c>
      <c r="BR619">
        <v>2.0906000000000001E-2</v>
      </c>
      <c r="BS619">
        <v>50</v>
      </c>
      <c r="BT619">
        <v>50</v>
      </c>
      <c r="BU619">
        <v>4.1667000000000003E-2</v>
      </c>
      <c r="BV619">
        <v>50</v>
      </c>
      <c r="BW619">
        <v>50</v>
      </c>
      <c r="BX619" t="s">
        <v>125</v>
      </c>
      <c r="BY619" t="s">
        <v>125</v>
      </c>
      <c r="BZ619" t="s">
        <v>125</v>
      </c>
      <c r="CA619" t="s">
        <v>125</v>
      </c>
      <c r="CB619" t="s">
        <v>125</v>
      </c>
      <c r="CC619" t="s">
        <v>125</v>
      </c>
      <c r="CD619" t="s">
        <v>125</v>
      </c>
      <c r="CE619" t="s">
        <v>125</v>
      </c>
      <c r="CF619" t="s">
        <v>125</v>
      </c>
      <c r="CG619" t="s">
        <v>125</v>
      </c>
      <c r="CH619" t="s">
        <v>125</v>
      </c>
      <c r="CI619" t="s">
        <v>125</v>
      </c>
      <c r="CJ619" t="s">
        <v>125</v>
      </c>
      <c r="CK619" t="s">
        <v>125</v>
      </c>
      <c r="CL619" t="s">
        <v>125</v>
      </c>
      <c r="CM619" t="s">
        <v>125</v>
      </c>
      <c r="CN619" t="s">
        <v>125</v>
      </c>
      <c r="CO619" t="s">
        <v>125</v>
      </c>
      <c r="CP619" t="s">
        <v>125</v>
      </c>
      <c r="CQ619">
        <v>0.7</v>
      </c>
      <c r="CR619">
        <v>0.625</v>
      </c>
      <c r="CS619">
        <v>11.666667</v>
      </c>
      <c r="CT619">
        <v>50</v>
      </c>
      <c r="CU619" t="s">
        <v>125</v>
      </c>
      <c r="CV619" t="s">
        <v>125</v>
      </c>
      <c r="CW619" t="s">
        <v>125</v>
      </c>
      <c r="CX619" t="s">
        <v>125</v>
      </c>
      <c r="CY619" t="s">
        <v>125</v>
      </c>
      <c r="CZ619" t="s">
        <v>125</v>
      </c>
      <c r="DA619">
        <v>15.314097</v>
      </c>
      <c r="DB619">
        <v>17.400950000000002</v>
      </c>
      <c r="DC619">
        <v>16.332519999999999</v>
      </c>
      <c r="DD619" t="s">
        <v>125</v>
      </c>
      <c r="DE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Q619" t="s">
        <v>126</v>
      </c>
    </row>
    <row r="620" spans="1:121" x14ac:dyDescent="0.15">
      <c r="A620">
        <v>2018</v>
      </c>
      <c r="B620" t="s">
        <v>138</v>
      </c>
      <c r="C620" t="str">
        <f t="shared" si="23"/>
        <v>0840011</v>
      </c>
      <c r="D620" t="s">
        <v>776</v>
      </c>
      <c r="E620" t="str">
        <f>"0841011"</f>
        <v>0841011</v>
      </c>
      <c r="F620" t="s">
        <v>328</v>
      </c>
      <c r="G620" t="s">
        <v>329</v>
      </c>
      <c r="H620">
        <v>5</v>
      </c>
      <c r="I620" t="s">
        <v>330</v>
      </c>
      <c r="J620" t="s">
        <v>331</v>
      </c>
      <c r="K620">
        <v>733.85091299999999</v>
      </c>
      <c r="L620">
        <v>850</v>
      </c>
      <c r="M620">
        <v>86.335401000000005</v>
      </c>
      <c r="N620">
        <v>1</v>
      </c>
      <c r="O620">
        <v>0</v>
      </c>
      <c r="P620">
        <v>75.400406000000004</v>
      </c>
      <c r="Q620">
        <v>50</v>
      </c>
      <c r="R620">
        <v>50</v>
      </c>
      <c r="S620">
        <v>72.195950999999994</v>
      </c>
      <c r="T620">
        <v>75</v>
      </c>
      <c r="U620">
        <v>48.130634000000001</v>
      </c>
      <c r="V620">
        <v>50</v>
      </c>
      <c r="W620">
        <v>71.968485999999999</v>
      </c>
      <c r="X620">
        <v>47.978990000000003</v>
      </c>
      <c r="Y620">
        <v>50</v>
      </c>
      <c r="Z620">
        <v>75</v>
      </c>
      <c r="AA620">
        <v>67.940629999999999</v>
      </c>
      <c r="AB620">
        <v>45.293753000000002</v>
      </c>
      <c r="AC620">
        <v>50</v>
      </c>
      <c r="AD620">
        <v>74.209241000000006</v>
      </c>
      <c r="AE620">
        <v>49.472828</v>
      </c>
      <c r="AF620">
        <v>50</v>
      </c>
      <c r="AG620">
        <v>71.263441</v>
      </c>
      <c r="AH620" t="s">
        <v>125</v>
      </c>
      <c r="AI620">
        <v>47.508960999999999</v>
      </c>
      <c r="AJ620">
        <v>50</v>
      </c>
      <c r="AK620">
        <v>2.8</v>
      </c>
      <c r="AL620">
        <v>7.05</v>
      </c>
      <c r="AM620" t="s">
        <v>125</v>
      </c>
      <c r="AN620">
        <v>0.80499699999999996</v>
      </c>
      <c r="AO620">
        <v>80.499695000000003</v>
      </c>
      <c r="AP620">
        <v>100</v>
      </c>
      <c r="AQ620">
        <v>0.77922100000000005</v>
      </c>
      <c r="AR620">
        <v>77.922060999999999</v>
      </c>
      <c r="AS620">
        <v>100</v>
      </c>
      <c r="AT620">
        <v>0.77037900000000004</v>
      </c>
      <c r="AU620">
        <v>0.84653900000000004</v>
      </c>
      <c r="AV620">
        <v>77.037867000000006</v>
      </c>
      <c r="AW620">
        <v>100</v>
      </c>
      <c r="AX620">
        <v>0.76389099999999999</v>
      </c>
      <c r="AY620">
        <v>0.79761700000000002</v>
      </c>
      <c r="AZ620">
        <v>76.389054999999999</v>
      </c>
      <c r="BA620">
        <v>100</v>
      </c>
      <c r="BB620" t="s">
        <v>125</v>
      </c>
      <c r="BC620" t="s">
        <v>125</v>
      </c>
      <c r="BD620" t="s">
        <v>125</v>
      </c>
      <c r="BE620" t="s">
        <v>125</v>
      </c>
      <c r="BF620" t="s">
        <v>125</v>
      </c>
      <c r="BG620" t="s">
        <v>125</v>
      </c>
      <c r="BH620">
        <v>0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 t="s">
        <v>125</v>
      </c>
      <c r="BR620">
        <v>4.8889000000000002E-2</v>
      </c>
      <c r="BS620">
        <v>50</v>
      </c>
      <c r="BT620">
        <v>50</v>
      </c>
      <c r="BU620">
        <v>6.7960999999999994E-2</v>
      </c>
      <c r="BV620">
        <v>46.407767</v>
      </c>
      <c r="BW620">
        <v>50</v>
      </c>
      <c r="BX620" t="s">
        <v>125</v>
      </c>
      <c r="BY620" t="s">
        <v>125</v>
      </c>
      <c r="BZ620" t="s">
        <v>125</v>
      </c>
      <c r="CA620" t="s">
        <v>125</v>
      </c>
      <c r="CB620" t="s">
        <v>125</v>
      </c>
      <c r="CC620" t="s">
        <v>125</v>
      </c>
      <c r="CD620" t="s">
        <v>125</v>
      </c>
      <c r="CE620" t="s">
        <v>125</v>
      </c>
      <c r="CF620" t="s">
        <v>125</v>
      </c>
      <c r="CG620" t="s">
        <v>125</v>
      </c>
      <c r="CH620" t="s">
        <v>125</v>
      </c>
      <c r="CI620" t="s">
        <v>125</v>
      </c>
      <c r="CJ620" t="s">
        <v>125</v>
      </c>
      <c r="CK620" t="s">
        <v>125</v>
      </c>
      <c r="CL620" t="s">
        <v>125</v>
      </c>
      <c r="CM620" t="s">
        <v>125</v>
      </c>
      <c r="CN620" t="s">
        <v>125</v>
      </c>
      <c r="CO620" t="s">
        <v>125</v>
      </c>
      <c r="CP620" t="s">
        <v>125</v>
      </c>
      <c r="CQ620">
        <v>0.55813999999999997</v>
      </c>
      <c r="CR620">
        <v>0.97727299999999995</v>
      </c>
      <c r="CS620">
        <v>37.209302000000001</v>
      </c>
      <c r="CT620">
        <v>50</v>
      </c>
      <c r="CU620" t="s">
        <v>125</v>
      </c>
      <c r="CV620" t="s">
        <v>125</v>
      </c>
      <c r="CW620" t="s">
        <v>125</v>
      </c>
      <c r="CX620" t="s">
        <v>125</v>
      </c>
      <c r="CY620" t="s">
        <v>125</v>
      </c>
      <c r="CZ620" t="s">
        <v>125</v>
      </c>
      <c r="DA620">
        <v>15.314097</v>
      </c>
      <c r="DB620">
        <v>17.400950000000002</v>
      </c>
      <c r="DC620">
        <v>16.332519999999999</v>
      </c>
      <c r="DD620" t="s">
        <v>125</v>
      </c>
      <c r="DE620">
        <v>0</v>
      </c>
      <c r="DH620" t="s">
        <v>332</v>
      </c>
      <c r="DI620" t="s">
        <v>529</v>
      </c>
      <c r="DJ620">
        <v>0</v>
      </c>
      <c r="DK620">
        <v>1</v>
      </c>
      <c r="DL620">
        <v>0</v>
      </c>
      <c r="DM620">
        <v>1</v>
      </c>
      <c r="DN620">
        <v>0</v>
      </c>
      <c r="DO620">
        <v>0</v>
      </c>
      <c r="DQ620" t="s">
        <v>126</v>
      </c>
    </row>
    <row r="621" spans="1:121" x14ac:dyDescent="0.15">
      <c r="A621">
        <v>2018</v>
      </c>
      <c r="B621" t="s">
        <v>138</v>
      </c>
      <c r="C621" t="str">
        <f t="shared" si="23"/>
        <v>0840011</v>
      </c>
      <c r="D621" t="s">
        <v>777</v>
      </c>
      <c r="E621" t="str">
        <f>"0845311"</f>
        <v>0845311</v>
      </c>
      <c r="F621" t="s">
        <v>328</v>
      </c>
      <c r="G621">
        <v>6</v>
      </c>
      <c r="H621">
        <v>8</v>
      </c>
      <c r="I621" t="s">
        <v>330</v>
      </c>
      <c r="J621" t="s">
        <v>331</v>
      </c>
      <c r="K621">
        <v>686.38155900000004</v>
      </c>
      <c r="L621">
        <v>900</v>
      </c>
      <c r="M621">
        <v>76.264617999999999</v>
      </c>
      <c r="N621">
        <v>2</v>
      </c>
      <c r="O621">
        <v>0</v>
      </c>
      <c r="P621">
        <v>72.538549000000003</v>
      </c>
      <c r="Q621">
        <v>48.359032999999997</v>
      </c>
      <c r="R621">
        <v>50</v>
      </c>
      <c r="S621">
        <v>67.328056000000004</v>
      </c>
      <c r="T621">
        <v>75</v>
      </c>
      <c r="U621">
        <v>44.885370000000002</v>
      </c>
      <c r="V621">
        <v>50</v>
      </c>
      <c r="W621">
        <v>68.346740999999994</v>
      </c>
      <c r="X621">
        <v>45.564494000000003</v>
      </c>
      <c r="Y621">
        <v>50</v>
      </c>
      <c r="Z621">
        <v>74.522623999999993</v>
      </c>
      <c r="AA621">
        <v>60.540675999999998</v>
      </c>
      <c r="AB621">
        <v>40.360450999999998</v>
      </c>
      <c r="AC621">
        <v>50</v>
      </c>
      <c r="AD621">
        <v>65.595061000000001</v>
      </c>
      <c r="AE621">
        <v>43.730040000000002</v>
      </c>
      <c r="AF621">
        <v>50</v>
      </c>
      <c r="AG621">
        <v>58.899783999999997</v>
      </c>
      <c r="AH621">
        <v>70.696223000000003</v>
      </c>
      <c r="AI621">
        <v>39.266522999999999</v>
      </c>
      <c r="AJ621">
        <v>50</v>
      </c>
      <c r="AK621">
        <v>7.67</v>
      </c>
      <c r="AL621">
        <v>13.98</v>
      </c>
      <c r="AM621">
        <v>11.79</v>
      </c>
      <c r="AN621">
        <v>0.66728699999999996</v>
      </c>
      <c r="AO621">
        <v>66.728672000000003</v>
      </c>
      <c r="AP621">
        <v>100</v>
      </c>
      <c r="AQ621">
        <v>0.69249799999999995</v>
      </c>
      <c r="AR621">
        <v>69.249769000000001</v>
      </c>
      <c r="AS621">
        <v>100</v>
      </c>
      <c r="AT621">
        <v>0.696044</v>
      </c>
      <c r="AU621">
        <v>0.64495899999999995</v>
      </c>
      <c r="AV621">
        <v>69.604400999999996</v>
      </c>
      <c r="AW621">
        <v>100</v>
      </c>
      <c r="AX621">
        <v>0.60587599999999997</v>
      </c>
      <c r="AY621">
        <v>0.75975300000000001</v>
      </c>
      <c r="AZ621">
        <v>60.587561000000001</v>
      </c>
      <c r="BA621">
        <v>100</v>
      </c>
      <c r="BB621" t="s">
        <v>125</v>
      </c>
      <c r="BC621" t="s">
        <v>125</v>
      </c>
      <c r="BD621" t="s">
        <v>125</v>
      </c>
      <c r="BE621" t="s">
        <v>125</v>
      </c>
      <c r="BF621" t="s">
        <v>125</v>
      </c>
      <c r="BG621" t="s">
        <v>125</v>
      </c>
      <c r="BH621">
        <v>0</v>
      </c>
      <c r="BI621">
        <v>0.99347799999999997</v>
      </c>
      <c r="BJ621">
        <v>0.99509800000000004</v>
      </c>
      <c r="BK621">
        <v>0.99218799999999996</v>
      </c>
      <c r="BL621">
        <v>0.99130399999999996</v>
      </c>
      <c r="BM621">
        <v>0.99019599999999997</v>
      </c>
      <c r="BN621">
        <v>0.99218799999999996</v>
      </c>
      <c r="BO621">
        <v>0.99333300000000002</v>
      </c>
      <c r="BP621">
        <v>1</v>
      </c>
      <c r="BQ621">
        <v>0.98823499999999997</v>
      </c>
      <c r="BR621">
        <v>0.10652200000000001</v>
      </c>
      <c r="BS621">
        <v>38.695652000000003</v>
      </c>
      <c r="BT621">
        <v>50</v>
      </c>
      <c r="BU621">
        <v>0.17857100000000001</v>
      </c>
      <c r="BV621">
        <v>24.285713999999999</v>
      </c>
      <c r="BW621">
        <v>50</v>
      </c>
      <c r="BX621" t="s">
        <v>125</v>
      </c>
      <c r="BY621" t="s">
        <v>125</v>
      </c>
      <c r="BZ621" t="s">
        <v>125</v>
      </c>
      <c r="CA621" t="s">
        <v>125</v>
      </c>
      <c r="CB621" t="s">
        <v>125</v>
      </c>
      <c r="CC621" t="s">
        <v>125</v>
      </c>
      <c r="CD621">
        <v>0.94202900000000001</v>
      </c>
      <c r="CE621">
        <v>50</v>
      </c>
      <c r="CF621">
        <v>50</v>
      </c>
      <c r="CG621" t="s">
        <v>125</v>
      </c>
      <c r="CH621" t="s">
        <v>125</v>
      </c>
      <c r="CI621" t="s">
        <v>125</v>
      </c>
      <c r="CJ621" t="s">
        <v>125</v>
      </c>
      <c r="CK621" t="s">
        <v>125</v>
      </c>
      <c r="CL621" t="s">
        <v>125</v>
      </c>
      <c r="CM621" t="s">
        <v>125</v>
      </c>
      <c r="CN621" t="s">
        <v>125</v>
      </c>
      <c r="CO621" t="s">
        <v>125</v>
      </c>
      <c r="CP621" t="s">
        <v>125</v>
      </c>
      <c r="CQ621">
        <v>0.67595799999999995</v>
      </c>
      <c r="CR621">
        <v>0.95666700000000005</v>
      </c>
      <c r="CS621">
        <v>45.063879</v>
      </c>
      <c r="CT621">
        <v>50</v>
      </c>
      <c r="CU621" t="s">
        <v>125</v>
      </c>
      <c r="CV621" t="s">
        <v>125</v>
      </c>
      <c r="CW621" t="s">
        <v>125</v>
      </c>
      <c r="CX621" t="s">
        <v>125</v>
      </c>
      <c r="CY621" t="s">
        <v>125</v>
      </c>
      <c r="CZ621" t="s">
        <v>125</v>
      </c>
      <c r="DA621">
        <v>15.314097</v>
      </c>
      <c r="DB621">
        <v>17.400950000000002</v>
      </c>
      <c r="DC621">
        <v>16.332519999999999</v>
      </c>
      <c r="DD621" t="s">
        <v>125</v>
      </c>
      <c r="DE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Q621" t="s">
        <v>126</v>
      </c>
    </row>
    <row r="622" spans="1:121" x14ac:dyDescent="0.15">
      <c r="A622">
        <v>2018</v>
      </c>
      <c r="B622" t="s">
        <v>170</v>
      </c>
      <c r="C622" t="str">
        <f>"0850011"</f>
        <v>0850011</v>
      </c>
      <c r="D622" t="s">
        <v>778</v>
      </c>
      <c r="E622" t="str">
        <f>"0850511"</f>
        <v>0850511</v>
      </c>
      <c r="F622" t="s">
        <v>328</v>
      </c>
      <c r="G622" t="s">
        <v>339</v>
      </c>
      <c r="H622">
        <v>5</v>
      </c>
      <c r="J622" t="s">
        <v>331</v>
      </c>
      <c r="K622">
        <v>707.24140299999999</v>
      </c>
      <c r="L622">
        <v>850</v>
      </c>
      <c r="M622">
        <v>83.204870999999997</v>
      </c>
      <c r="N622">
        <v>2</v>
      </c>
      <c r="O622">
        <v>0</v>
      </c>
      <c r="P622">
        <v>84.520566000000002</v>
      </c>
      <c r="Q622">
        <v>50</v>
      </c>
      <c r="R622">
        <v>50</v>
      </c>
      <c r="S622">
        <v>74.265495000000001</v>
      </c>
      <c r="T622">
        <v>75</v>
      </c>
      <c r="U622">
        <v>49.510330000000003</v>
      </c>
      <c r="V622">
        <v>50</v>
      </c>
      <c r="W622">
        <v>79.565134999999998</v>
      </c>
      <c r="X622">
        <v>50</v>
      </c>
      <c r="Y622">
        <v>50</v>
      </c>
      <c r="Z622">
        <v>75</v>
      </c>
      <c r="AA622">
        <v>69.577431000000004</v>
      </c>
      <c r="AB622">
        <v>46.384954</v>
      </c>
      <c r="AC622">
        <v>50</v>
      </c>
      <c r="AD622">
        <v>80.764375999999999</v>
      </c>
      <c r="AE622">
        <v>50</v>
      </c>
      <c r="AF622">
        <v>50</v>
      </c>
      <c r="AG622">
        <v>70.314839000000006</v>
      </c>
      <c r="AH622">
        <v>75</v>
      </c>
      <c r="AI622">
        <v>46.876559</v>
      </c>
      <c r="AJ622">
        <v>50</v>
      </c>
      <c r="AK622">
        <v>0.73</v>
      </c>
      <c r="AL622">
        <v>5.42</v>
      </c>
      <c r="AM622">
        <v>4.68</v>
      </c>
      <c r="AN622">
        <v>0.714503</v>
      </c>
      <c r="AO622">
        <v>71.450318999999993</v>
      </c>
      <c r="AP622">
        <v>100</v>
      </c>
      <c r="AQ622">
        <v>0.72843500000000005</v>
      </c>
      <c r="AR622">
        <v>72.843521999999993</v>
      </c>
      <c r="AS622">
        <v>100</v>
      </c>
      <c r="AT622">
        <v>0.58908000000000005</v>
      </c>
      <c r="AU622">
        <v>0.75088500000000002</v>
      </c>
      <c r="AV622">
        <v>58.907997999999999</v>
      </c>
      <c r="AW622">
        <v>100</v>
      </c>
      <c r="AX622">
        <v>0.73065500000000005</v>
      </c>
      <c r="AY622">
        <v>0.72779099999999997</v>
      </c>
      <c r="AZ622">
        <v>73.065475000000006</v>
      </c>
      <c r="BA622">
        <v>100</v>
      </c>
      <c r="BB622" t="s">
        <v>125</v>
      </c>
      <c r="BC622" t="s">
        <v>125</v>
      </c>
      <c r="BD622" t="s">
        <v>125</v>
      </c>
      <c r="BE622" t="s">
        <v>125</v>
      </c>
      <c r="BF622" t="s">
        <v>125</v>
      </c>
      <c r="BG622" t="s">
        <v>125</v>
      </c>
      <c r="BH622">
        <v>0</v>
      </c>
      <c r="BI622">
        <v>0.99645399999999995</v>
      </c>
      <c r="BJ622">
        <v>1</v>
      </c>
      <c r="BK622">
        <v>0.99536999999999998</v>
      </c>
      <c r="BL622">
        <v>0.99645399999999995</v>
      </c>
      <c r="BM622">
        <v>1</v>
      </c>
      <c r="BN622">
        <v>0.99536999999999998</v>
      </c>
      <c r="BO622">
        <v>1</v>
      </c>
      <c r="BP622">
        <v>1</v>
      </c>
      <c r="BQ622">
        <v>1</v>
      </c>
      <c r="BR622">
        <v>1.4599000000000001E-2</v>
      </c>
      <c r="BS622">
        <v>50</v>
      </c>
      <c r="BT622">
        <v>50</v>
      </c>
      <c r="BU622">
        <v>3.0075000000000001E-2</v>
      </c>
      <c r="BV622">
        <v>50</v>
      </c>
      <c r="BW622">
        <v>50</v>
      </c>
      <c r="BX622" t="s">
        <v>125</v>
      </c>
      <c r="BY622" t="s">
        <v>125</v>
      </c>
      <c r="BZ622" t="s">
        <v>125</v>
      </c>
      <c r="CA622" t="s">
        <v>125</v>
      </c>
      <c r="CB622" t="s">
        <v>125</v>
      </c>
      <c r="CC622" t="s">
        <v>125</v>
      </c>
      <c r="CD622" t="s">
        <v>125</v>
      </c>
      <c r="CE622" t="s">
        <v>125</v>
      </c>
      <c r="CF622" t="s">
        <v>125</v>
      </c>
      <c r="CG622" t="s">
        <v>125</v>
      </c>
      <c r="CH622" t="s">
        <v>125</v>
      </c>
      <c r="CI622" t="s">
        <v>125</v>
      </c>
      <c r="CJ622" t="s">
        <v>125</v>
      </c>
      <c r="CK622" t="s">
        <v>125</v>
      </c>
      <c r="CL622" t="s">
        <v>125</v>
      </c>
      <c r="CM622" t="s">
        <v>125</v>
      </c>
      <c r="CN622" t="s">
        <v>125</v>
      </c>
      <c r="CO622" t="s">
        <v>125</v>
      </c>
      <c r="CP622" t="s">
        <v>125</v>
      </c>
      <c r="CQ622">
        <v>0.57303400000000004</v>
      </c>
      <c r="CR622">
        <v>0.98888900000000002</v>
      </c>
      <c r="CS622">
        <v>38.202247</v>
      </c>
      <c r="CT622">
        <v>50</v>
      </c>
      <c r="CU622" t="s">
        <v>125</v>
      </c>
      <c r="CV622" t="s">
        <v>125</v>
      </c>
      <c r="CW622" t="s">
        <v>125</v>
      </c>
      <c r="CX622" t="s">
        <v>125</v>
      </c>
      <c r="CY622" t="s">
        <v>125</v>
      </c>
      <c r="CZ622" t="s">
        <v>125</v>
      </c>
      <c r="DA622">
        <v>15.314097</v>
      </c>
      <c r="DB622">
        <v>17.400950000000002</v>
      </c>
      <c r="DC622">
        <v>16.332519999999999</v>
      </c>
      <c r="DD622" t="s">
        <v>125</v>
      </c>
      <c r="DE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Q622" t="s">
        <v>126</v>
      </c>
    </row>
    <row r="623" spans="1:121" x14ac:dyDescent="0.15">
      <c r="A623">
        <v>2018</v>
      </c>
      <c r="B623" t="s">
        <v>170</v>
      </c>
      <c r="C623" t="str">
        <f>"0850011"</f>
        <v>0850011</v>
      </c>
      <c r="D623" t="s">
        <v>779</v>
      </c>
      <c r="E623" t="str">
        <f>"0855211"</f>
        <v>0855211</v>
      </c>
      <c r="F623" t="s">
        <v>328</v>
      </c>
      <c r="G623">
        <v>6</v>
      </c>
      <c r="H623">
        <v>8</v>
      </c>
      <c r="J623" t="s">
        <v>331</v>
      </c>
      <c r="K623">
        <v>681.91158199999995</v>
      </c>
      <c r="L623">
        <v>900</v>
      </c>
      <c r="M623">
        <v>75.767954000000003</v>
      </c>
      <c r="N623">
        <v>2</v>
      </c>
      <c r="O623">
        <v>0</v>
      </c>
      <c r="P623">
        <v>81.583607000000001</v>
      </c>
      <c r="Q623">
        <v>50</v>
      </c>
      <c r="R623">
        <v>50</v>
      </c>
      <c r="S623">
        <v>69.49888</v>
      </c>
      <c r="T623">
        <v>75</v>
      </c>
      <c r="U623">
        <v>46.332586999999997</v>
      </c>
      <c r="V623">
        <v>50</v>
      </c>
      <c r="W623">
        <v>73.223937000000006</v>
      </c>
      <c r="X623">
        <v>48.815958000000002</v>
      </c>
      <c r="Y623">
        <v>50</v>
      </c>
      <c r="Z623">
        <v>75</v>
      </c>
      <c r="AA623">
        <v>60.231034000000001</v>
      </c>
      <c r="AB623">
        <v>40.154023000000002</v>
      </c>
      <c r="AC623">
        <v>50</v>
      </c>
      <c r="AD623">
        <v>75.376650999999995</v>
      </c>
      <c r="AE623">
        <v>50</v>
      </c>
      <c r="AF623">
        <v>50</v>
      </c>
      <c r="AG623">
        <v>66.706239999999994</v>
      </c>
      <c r="AH623">
        <v>75</v>
      </c>
      <c r="AI623">
        <v>44.470826000000002</v>
      </c>
      <c r="AJ623">
        <v>50</v>
      </c>
      <c r="AK623">
        <v>5.5</v>
      </c>
      <c r="AL623">
        <v>14.76</v>
      </c>
      <c r="AM623">
        <v>8.2899999999999991</v>
      </c>
      <c r="AN623">
        <v>0.66035500000000003</v>
      </c>
      <c r="AO623">
        <v>66.035511999999997</v>
      </c>
      <c r="AP623">
        <v>100</v>
      </c>
      <c r="AQ623">
        <v>0.62412000000000001</v>
      </c>
      <c r="AR623">
        <v>62.412016999999999</v>
      </c>
      <c r="AS623">
        <v>100</v>
      </c>
      <c r="AT623">
        <v>0.58555900000000005</v>
      </c>
      <c r="AU623">
        <v>0.68419099999999999</v>
      </c>
      <c r="AV623">
        <v>58.555942000000002</v>
      </c>
      <c r="AW623">
        <v>100</v>
      </c>
      <c r="AX623">
        <v>0.49947000000000003</v>
      </c>
      <c r="AY623">
        <v>0.66353099999999998</v>
      </c>
      <c r="AZ623">
        <v>49.947037000000002</v>
      </c>
      <c r="BA623">
        <v>100</v>
      </c>
      <c r="BB623" t="s">
        <v>125</v>
      </c>
      <c r="BC623" t="s">
        <v>125</v>
      </c>
      <c r="BD623" t="s">
        <v>125</v>
      </c>
      <c r="BE623" t="s">
        <v>125</v>
      </c>
      <c r="BF623" t="s">
        <v>125</v>
      </c>
      <c r="BG623" t="s">
        <v>125</v>
      </c>
      <c r="BH623">
        <v>0</v>
      </c>
      <c r="BI623">
        <v>0.98948800000000003</v>
      </c>
      <c r="BJ623">
        <v>0.97499999999999998</v>
      </c>
      <c r="BK623">
        <v>0.99465199999999998</v>
      </c>
      <c r="BL623">
        <v>0.98552600000000001</v>
      </c>
      <c r="BM623">
        <v>0.96499999999999997</v>
      </c>
      <c r="BN623">
        <v>0.99285699999999999</v>
      </c>
      <c r="BO623">
        <v>0.98399999999999999</v>
      </c>
      <c r="BP623">
        <v>0.95714299999999997</v>
      </c>
      <c r="BQ623">
        <v>0.99444399999999999</v>
      </c>
      <c r="BR623">
        <v>3.9578000000000002E-2</v>
      </c>
      <c r="BS623">
        <v>50</v>
      </c>
      <c r="BT623">
        <v>50</v>
      </c>
      <c r="BU623">
        <v>6.5989999999999993E-2</v>
      </c>
      <c r="BV623">
        <v>46.802030000000002</v>
      </c>
      <c r="BW623">
        <v>50</v>
      </c>
      <c r="BX623" t="s">
        <v>125</v>
      </c>
      <c r="BY623" t="s">
        <v>125</v>
      </c>
      <c r="BZ623" t="s">
        <v>125</v>
      </c>
      <c r="CA623" t="s">
        <v>125</v>
      </c>
      <c r="CB623" t="s">
        <v>125</v>
      </c>
      <c r="CC623" t="s">
        <v>125</v>
      </c>
      <c r="CD623">
        <v>0.98518499999999998</v>
      </c>
      <c r="CE623">
        <v>50</v>
      </c>
      <c r="CF623">
        <v>50</v>
      </c>
      <c r="CG623" t="s">
        <v>125</v>
      </c>
      <c r="CH623" t="s">
        <v>125</v>
      </c>
      <c r="CI623" t="s">
        <v>125</v>
      </c>
      <c r="CJ623" t="s">
        <v>125</v>
      </c>
      <c r="CK623" t="s">
        <v>125</v>
      </c>
      <c r="CL623" t="s">
        <v>125</v>
      </c>
      <c r="CM623" t="s">
        <v>125</v>
      </c>
      <c r="CN623" t="s">
        <v>125</v>
      </c>
      <c r="CO623" t="s">
        <v>125</v>
      </c>
      <c r="CP623" t="s">
        <v>125</v>
      </c>
      <c r="CQ623">
        <v>0.55157</v>
      </c>
      <c r="CR623">
        <v>0.89558199999999999</v>
      </c>
      <c r="CS623">
        <v>18.385649999999998</v>
      </c>
      <c r="CT623">
        <v>50</v>
      </c>
      <c r="CU623" t="s">
        <v>125</v>
      </c>
      <c r="CV623" t="s">
        <v>125</v>
      </c>
      <c r="CW623" t="s">
        <v>125</v>
      </c>
      <c r="CX623" t="s">
        <v>125</v>
      </c>
      <c r="CY623" t="s">
        <v>125</v>
      </c>
      <c r="CZ623" t="s">
        <v>125</v>
      </c>
      <c r="DA623">
        <v>15.314097</v>
      </c>
      <c r="DB623">
        <v>17.400950000000002</v>
      </c>
      <c r="DC623">
        <v>16.332519999999999</v>
      </c>
      <c r="DD623" t="s">
        <v>125</v>
      </c>
      <c r="DE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Q623" t="s">
        <v>126</v>
      </c>
    </row>
    <row r="624" spans="1:121" x14ac:dyDescent="0.15">
      <c r="A624">
        <v>2018</v>
      </c>
      <c r="B624" t="s">
        <v>170</v>
      </c>
      <c r="C624" t="str">
        <f>"0850011"</f>
        <v>0850011</v>
      </c>
      <c r="D624" t="s">
        <v>780</v>
      </c>
      <c r="E624" t="str">
        <f>"0856111"</f>
        <v>0856111</v>
      </c>
      <c r="F624" t="s">
        <v>328</v>
      </c>
      <c r="G624">
        <v>9</v>
      </c>
      <c r="H624">
        <v>12</v>
      </c>
      <c r="J624" t="s">
        <v>331</v>
      </c>
      <c r="K624">
        <v>1226.6051950000001</v>
      </c>
      <c r="L624">
        <v>1450</v>
      </c>
      <c r="M624">
        <v>84.593462000000002</v>
      </c>
      <c r="N624">
        <v>3</v>
      </c>
      <c r="O624">
        <v>1</v>
      </c>
      <c r="P624">
        <v>67.351172000000005</v>
      </c>
      <c r="Q624">
        <v>134.70234500000001</v>
      </c>
      <c r="R624">
        <v>150</v>
      </c>
      <c r="S624">
        <v>54.350693999999997</v>
      </c>
      <c r="T624">
        <v>69.587813999999995</v>
      </c>
      <c r="U624">
        <v>108.70138900000001</v>
      </c>
      <c r="V624">
        <v>150</v>
      </c>
      <c r="W624">
        <v>68.402395999999996</v>
      </c>
      <c r="X624">
        <v>136.80479099999999</v>
      </c>
      <c r="Y624">
        <v>150</v>
      </c>
      <c r="Z624">
        <v>71.598566000000005</v>
      </c>
      <c r="AA624">
        <v>49.824652999999998</v>
      </c>
      <c r="AB624">
        <v>99.649305999999996</v>
      </c>
      <c r="AC624">
        <v>150</v>
      </c>
      <c r="AD624">
        <v>68.004165</v>
      </c>
      <c r="AE624">
        <v>90.672219999999996</v>
      </c>
      <c r="AF624">
        <v>100</v>
      </c>
      <c r="AG624">
        <v>54.064162000000003</v>
      </c>
      <c r="AH624">
        <v>70.302781999999993</v>
      </c>
      <c r="AI624">
        <v>72.085549</v>
      </c>
      <c r="AJ624">
        <v>100</v>
      </c>
      <c r="AK624">
        <v>15.23</v>
      </c>
      <c r="AL624">
        <v>21.77</v>
      </c>
      <c r="AM624">
        <v>16.23</v>
      </c>
      <c r="AN624" t="s">
        <v>125</v>
      </c>
      <c r="AO624" t="s">
        <v>125</v>
      </c>
      <c r="AP624" t="s">
        <v>125</v>
      </c>
      <c r="AQ624" t="s">
        <v>125</v>
      </c>
      <c r="AR624" t="s">
        <v>125</v>
      </c>
      <c r="AS624" t="s">
        <v>125</v>
      </c>
      <c r="AT624" t="s">
        <v>125</v>
      </c>
      <c r="AU624" t="s">
        <v>125</v>
      </c>
      <c r="AV624" t="s">
        <v>125</v>
      </c>
      <c r="AW624" t="s">
        <v>125</v>
      </c>
      <c r="AX624" t="s">
        <v>125</v>
      </c>
      <c r="AY624" t="s">
        <v>125</v>
      </c>
      <c r="AZ624" t="s">
        <v>125</v>
      </c>
      <c r="BA624" t="s">
        <v>125</v>
      </c>
      <c r="BB624" t="s">
        <v>125</v>
      </c>
      <c r="BC624" t="s">
        <v>125</v>
      </c>
      <c r="BD624" t="s">
        <v>125</v>
      </c>
      <c r="BE624" t="s">
        <v>125</v>
      </c>
      <c r="BF624" t="s">
        <v>125</v>
      </c>
      <c r="BG624" t="s">
        <v>125</v>
      </c>
      <c r="BH624">
        <v>1</v>
      </c>
      <c r="BI624">
        <v>0.97379899999999997</v>
      </c>
      <c r="BJ624">
        <v>0.92105300000000001</v>
      </c>
      <c r="BK624">
        <v>0.98429299999999997</v>
      </c>
      <c r="BL624">
        <v>0.97379899999999997</v>
      </c>
      <c r="BM624">
        <v>0.92105300000000001</v>
      </c>
      <c r="BN624">
        <v>0.98429299999999997</v>
      </c>
      <c r="BO624">
        <v>0.96943199999999996</v>
      </c>
      <c r="BP624">
        <v>0.84210499999999999</v>
      </c>
      <c r="BQ624">
        <v>0.99476399999999998</v>
      </c>
      <c r="BR624">
        <v>3.8501000000000001E-2</v>
      </c>
      <c r="BS624">
        <v>50</v>
      </c>
      <c r="BT624">
        <v>50</v>
      </c>
      <c r="BU624">
        <v>0.12578600000000001</v>
      </c>
      <c r="BV624">
        <v>34.842767000000002</v>
      </c>
      <c r="BW624">
        <v>50</v>
      </c>
      <c r="BX624">
        <v>0.79094799999999998</v>
      </c>
      <c r="BY624">
        <v>50</v>
      </c>
      <c r="BZ624">
        <v>50</v>
      </c>
      <c r="CA624">
        <v>0.66163799999999995</v>
      </c>
      <c r="CB624">
        <v>44.109195</v>
      </c>
      <c r="CC624">
        <v>50</v>
      </c>
      <c r="CD624">
        <v>0.98540099999999997</v>
      </c>
      <c r="CE624">
        <v>50</v>
      </c>
      <c r="CF624">
        <v>50</v>
      </c>
      <c r="CG624">
        <v>0.97972999999999999</v>
      </c>
      <c r="CH624">
        <v>100</v>
      </c>
      <c r="CI624">
        <v>100</v>
      </c>
      <c r="CJ624">
        <v>0</v>
      </c>
      <c r="CK624">
        <v>0.97826100000000005</v>
      </c>
      <c r="CL624">
        <v>100</v>
      </c>
      <c r="CM624">
        <v>100</v>
      </c>
      <c r="CN624">
        <v>0.87030700000000005</v>
      </c>
      <c r="CO624">
        <v>100</v>
      </c>
      <c r="CP624">
        <v>100</v>
      </c>
      <c r="CQ624">
        <v>0.44055899999999998</v>
      </c>
      <c r="CR624">
        <v>1.1485939999999999</v>
      </c>
      <c r="CS624">
        <v>29.370629000000001</v>
      </c>
      <c r="CT624">
        <v>50</v>
      </c>
      <c r="CU624">
        <v>0.308004</v>
      </c>
      <c r="CV624">
        <v>25.667003999999999</v>
      </c>
      <c r="CW624">
        <v>50</v>
      </c>
      <c r="CX624">
        <v>0.97826100000000005</v>
      </c>
      <c r="CY624">
        <v>0.94</v>
      </c>
      <c r="CZ624">
        <v>-3.8261000000000003E-2</v>
      </c>
      <c r="DA624">
        <v>15.314097</v>
      </c>
      <c r="DB624">
        <v>17.400950000000002</v>
      </c>
      <c r="DC624">
        <v>16.332519999999999</v>
      </c>
      <c r="DD624">
        <v>7.9891730000000001</v>
      </c>
      <c r="DE624">
        <v>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Q624" t="s">
        <v>126</v>
      </c>
    </row>
    <row r="625" spans="1:121" x14ac:dyDescent="0.15">
      <c r="A625">
        <v>2018</v>
      </c>
      <c r="B625" t="s">
        <v>170</v>
      </c>
      <c r="C625" t="str">
        <f>"0850011"</f>
        <v>0850011</v>
      </c>
      <c r="D625" t="s">
        <v>781</v>
      </c>
      <c r="E625" t="str">
        <f>"0850111"</f>
        <v>0850111</v>
      </c>
      <c r="F625" t="s">
        <v>328</v>
      </c>
      <c r="G625" t="s">
        <v>329</v>
      </c>
      <c r="H625">
        <v>5</v>
      </c>
      <c r="I625" t="s">
        <v>330</v>
      </c>
      <c r="J625" t="s">
        <v>331</v>
      </c>
      <c r="K625">
        <v>681.090551</v>
      </c>
      <c r="L625">
        <v>800</v>
      </c>
      <c r="M625">
        <v>85.136319</v>
      </c>
      <c r="N625">
        <v>2</v>
      </c>
      <c r="O625">
        <v>0</v>
      </c>
      <c r="P625">
        <v>85.409546000000006</v>
      </c>
      <c r="Q625">
        <v>50</v>
      </c>
      <c r="R625">
        <v>50</v>
      </c>
      <c r="S625">
        <v>76.169041000000007</v>
      </c>
      <c r="T625">
        <v>75</v>
      </c>
      <c r="U625">
        <v>50</v>
      </c>
      <c r="V625">
        <v>50</v>
      </c>
      <c r="W625">
        <v>81.721520999999996</v>
      </c>
      <c r="X625">
        <v>50</v>
      </c>
      <c r="Y625">
        <v>50</v>
      </c>
      <c r="Z625">
        <v>75</v>
      </c>
      <c r="AA625">
        <v>72.526231999999993</v>
      </c>
      <c r="AB625">
        <v>48.350822000000001</v>
      </c>
      <c r="AC625">
        <v>50</v>
      </c>
      <c r="AD625">
        <v>82.820599999999999</v>
      </c>
      <c r="AE625">
        <v>50</v>
      </c>
      <c r="AF625">
        <v>50</v>
      </c>
      <c r="AG625" t="s">
        <v>125</v>
      </c>
      <c r="AH625">
        <v>75</v>
      </c>
      <c r="AI625" t="s">
        <v>125</v>
      </c>
      <c r="AJ625" t="s">
        <v>125</v>
      </c>
      <c r="AK625">
        <v>-1.1599999999999999</v>
      </c>
      <c r="AL625">
        <v>2.4700000000000002</v>
      </c>
      <c r="AM625" t="s">
        <v>125</v>
      </c>
      <c r="AN625">
        <v>0.77255799999999997</v>
      </c>
      <c r="AO625">
        <v>77.255837</v>
      </c>
      <c r="AP625">
        <v>100</v>
      </c>
      <c r="AQ625">
        <v>0.83871399999999996</v>
      </c>
      <c r="AR625">
        <v>83.871414999999999</v>
      </c>
      <c r="AS625">
        <v>100</v>
      </c>
      <c r="AT625">
        <v>0.67615199999999998</v>
      </c>
      <c r="AU625">
        <v>0.80991599999999997</v>
      </c>
      <c r="AV625">
        <v>67.615172000000001</v>
      </c>
      <c r="AW625">
        <v>100</v>
      </c>
      <c r="AX625">
        <v>0.83626900000000004</v>
      </c>
      <c r="AY625">
        <v>0.83966200000000002</v>
      </c>
      <c r="AZ625">
        <v>83.626935000000003</v>
      </c>
      <c r="BA625">
        <v>100</v>
      </c>
      <c r="BB625" t="s">
        <v>125</v>
      </c>
      <c r="BC625" t="s">
        <v>125</v>
      </c>
      <c r="BD625" t="s">
        <v>125</v>
      </c>
      <c r="BE625" t="s">
        <v>125</v>
      </c>
      <c r="BF625" t="s">
        <v>125</v>
      </c>
      <c r="BG625" t="s">
        <v>125</v>
      </c>
      <c r="BH625">
        <v>1</v>
      </c>
      <c r="BI625">
        <v>0.97619</v>
      </c>
      <c r="BJ625">
        <v>0.93877600000000005</v>
      </c>
      <c r="BK625">
        <v>0.99159699999999995</v>
      </c>
      <c r="BL625">
        <v>0.97619</v>
      </c>
      <c r="BM625">
        <v>0.93877600000000005</v>
      </c>
      <c r="BN625">
        <v>0.99159699999999995</v>
      </c>
      <c r="BO625">
        <v>1</v>
      </c>
      <c r="BP625" t="s">
        <v>125</v>
      </c>
      <c r="BQ625">
        <v>1</v>
      </c>
      <c r="BR625">
        <v>2.5000000000000001E-2</v>
      </c>
      <c r="BS625">
        <v>50</v>
      </c>
      <c r="BT625">
        <v>50</v>
      </c>
      <c r="BU625">
        <v>4.4443999999999997E-2</v>
      </c>
      <c r="BV625">
        <v>50</v>
      </c>
      <c r="BW625">
        <v>50</v>
      </c>
      <c r="BX625" t="s">
        <v>125</v>
      </c>
      <c r="BY625" t="s">
        <v>125</v>
      </c>
      <c r="BZ625" t="s">
        <v>125</v>
      </c>
      <c r="CA625" t="s">
        <v>125</v>
      </c>
      <c r="CB625" t="s">
        <v>125</v>
      </c>
      <c r="CC625" t="s">
        <v>125</v>
      </c>
      <c r="CD625" t="s">
        <v>125</v>
      </c>
      <c r="CE625" t="s">
        <v>125</v>
      </c>
      <c r="CF625" t="s">
        <v>125</v>
      </c>
      <c r="CG625" t="s">
        <v>125</v>
      </c>
      <c r="CH625" t="s">
        <v>125</v>
      </c>
      <c r="CI625" t="s">
        <v>125</v>
      </c>
      <c r="CJ625" t="s">
        <v>125</v>
      </c>
      <c r="CK625" t="s">
        <v>125</v>
      </c>
      <c r="CL625" t="s">
        <v>125</v>
      </c>
      <c r="CM625" t="s">
        <v>125</v>
      </c>
      <c r="CN625" t="s">
        <v>125</v>
      </c>
      <c r="CO625" t="s">
        <v>125</v>
      </c>
      <c r="CP625" t="s">
        <v>125</v>
      </c>
      <c r="CQ625">
        <v>0.61111099999999996</v>
      </c>
      <c r="CR625">
        <v>0.87096799999999996</v>
      </c>
      <c r="CS625">
        <v>20.370370000000001</v>
      </c>
      <c r="CT625">
        <v>50</v>
      </c>
      <c r="CU625" t="s">
        <v>125</v>
      </c>
      <c r="CV625" t="s">
        <v>125</v>
      </c>
      <c r="CW625" t="s">
        <v>125</v>
      </c>
      <c r="CX625" t="s">
        <v>125</v>
      </c>
      <c r="CY625" t="s">
        <v>125</v>
      </c>
      <c r="CZ625" t="s">
        <v>125</v>
      </c>
      <c r="DA625">
        <v>15.314097</v>
      </c>
      <c r="DB625">
        <v>17.400950000000002</v>
      </c>
      <c r="DC625">
        <v>16.332519999999999</v>
      </c>
      <c r="DD625" t="s">
        <v>125</v>
      </c>
      <c r="DE625">
        <v>1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Q625" t="s">
        <v>126</v>
      </c>
    </row>
    <row r="626" spans="1:121" x14ac:dyDescent="0.15">
      <c r="A626">
        <v>2018</v>
      </c>
      <c r="B626" t="s">
        <v>170</v>
      </c>
      <c r="C626" t="str">
        <f>"0850011"</f>
        <v>0850011</v>
      </c>
      <c r="D626" t="s">
        <v>782</v>
      </c>
      <c r="E626" t="str">
        <f>"0850311"</f>
        <v>0850311</v>
      </c>
      <c r="F626" t="s">
        <v>328</v>
      </c>
      <c r="G626" t="s">
        <v>339</v>
      </c>
      <c r="H626">
        <v>5</v>
      </c>
      <c r="J626" t="s">
        <v>331</v>
      </c>
      <c r="K626">
        <v>742.42505800000004</v>
      </c>
      <c r="L626">
        <v>850</v>
      </c>
      <c r="M626">
        <v>87.344123999999994</v>
      </c>
      <c r="N626">
        <v>2</v>
      </c>
      <c r="O626">
        <v>0</v>
      </c>
      <c r="P626">
        <v>84.685113999999999</v>
      </c>
      <c r="Q626">
        <v>50</v>
      </c>
      <c r="R626">
        <v>50</v>
      </c>
      <c r="S626">
        <v>72.260313999999994</v>
      </c>
      <c r="T626">
        <v>75</v>
      </c>
      <c r="U626">
        <v>48.173543000000002</v>
      </c>
      <c r="V626">
        <v>50</v>
      </c>
      <c r="W626">
        <v>81.233170999999999</v>
      </c>
      <c r="X626">
        <v>50</v>
      </c>
      <c r="Y626">
        <v>50</v>
      </c>
      <c r="Z626">
        <v>75</v>
      </c>
      <c r="AA626">
        <v>67.217703</v>
      </c>
      <c r="AB626">
        <v>44.811802</v>
      </c>
      <c r="AC626">
        <v>50</v>
      </c>
      <c r="AD626">
        <v>81.601737</v>
      </c>
      <c r="AE626">
        <v>50</v>
      </c>
      <c r="AF626">
        <v>50</v>
      </c>
      <c r="AG626">
        <v>71.466973999999993</v>
      </c>
      <c r="AH626">
        <v>75</v>
      </c>
      <c r="AI626">
        <v>47.644649000000001</v>
      </c>
      <c r="AJ626">
        <v>50</v>
      </c>
      <c r="AK626">
        <v>2.73</v>
      </c>
      <c r="AL626">
        <v>7.78</v>
      </c>
      <c r="AM626">
        <v>3.53</v>
      </c>
      <c r="AN626">
        <v>0.802095</v>
      </c>
      <c r="AO626">
        <v>80.209522000000007</v>
      </c>
      <c r="AP626">
        <v>100</v>
      </c>
      <c r="AQ626">
        <v>0.82982199999999995</v>
      </c>
      <c r="AR626">
        <v>82.982195000000004</v>
      </c>
      <c r="AS626">
        <v>100</v>
      </c>
      <c r="AT626">
        <v>0.73599099999999995</v>
      </c>
      <c r="AU626">
        <v>0.82511400000000001</v>
      </c>
      <c r="AV626">
        <v>73.599091999999999</v>
      </c>
      <c r="AW626">
        <v>100</v>
      </c>
      <c r="AX626">
        <v>0.69534200000000002</v>
      </c>
      <c r="AY626">
        <v>0.87665000000000004</v>
      </c>
      <c r="AZ626">
        <v>69.534170000000003</v>
      </c>
      <c r="BA626">
        <v>100</v>
      </c>
      <c r="BB626" t="s">
        <v>125</v>
      </c>
      <c r="BC626" t="s">
        <v>125</v>
      </c>
      <c r="BD626" t="s">
        <v>125</v>
      </c>
      <c r="BE626" t="s">
        <v>125</v>
      </c>
      <c r="BF626" t="s">
        <v>125</v>
      </c>
      <c r="BG626" t="s">
        <v>125</v>
      </c>
      <c r="BH626">
        <v>1</v>
      </c>
      <c r="BI626">
        <v>0.97777800000000004</v>
      </c>
      <c r="BJ626">
        <v>0.93333299999999997</v>
      </c>
      <c r="BK626">
        <v>0.99393900000000002</v>
      </c>
      <c r="BL626">
        <v>0.97777800000000004</v>
      </c>
      <c r="BM626">
        <v>0.93333299999999997</v>
      </c>
      <c r="BN626">
        <v>0.99393900000000002</v>
      </c>
      <c r="BO626">
        <v>0.96341500000000002</v>
      </c>
      <c r="BP626">
        <v>0.91304300000000005</v>
      </c>
      <c r="BQ626">
        <v>0.98305100000000001</v>
      </c>
      <c r="BR626">
        <v>2.3363999999999999E-2</v>
      </c>
      <c r="BS626">
        <v>50</v>
      </c>
      <c r="BT626">
        <v>50</v>
      </c>
      <c r="BU626">
        <v>5.7692E-2</v>
      </c>
      <c r="BV626">
        <v>48.461537999999997</v>
      </c>
      <c r="BW626">
        <v>50</v>
      </c>
      <c r="BX626" t="s">
        <v>125</v>
      </c>
      <c r="BY626" t="s">
        <v>125</v>
      </c>
      <c r="BZ626" t="s">
        <v>125</v>
      </c>
      <c r="CA626" t="s">
        <v>125</v>
      </c>
      <c r="CB626" t="s">
        <v>125</v>
      </c>
      <c r="CC626" t="s">
        <v>125</v>
      </c>
      <c r="CD626" t="s">
        <v>125</v>
      </c>
      <c r="CE626" t="s">
        <v>125</v>
      </c>
      <c r="CF626" t="s">
        <v>125</v>
      </c>
      <c r="CG626" t="s">
        <v>125</v>
      </c>
      <c r="CH626" t="s">
        <v>125</v>
      </c>
      <c r="CI626" t="s">
        <v>125</v>
      </c>
      <c r="CJ626" t="s">
        <v>125</v>
      </c>
      <c r="CK626" t="s">
        <v>125</v>
      </c>
      <c r="CL626" t="s">
        <v>125</v>
      </c>
      <c r="CM626" t="s">
        <v>125</v>
      </c>
      <c r="CN626" t="s">
        <v>125</v>
      </c>
      <c r="CO626" t="s">
        <v>125</v>
      </c>
      <c r="CP626" t="s">
        <v>125</v>
      </c>
      <c r="CQ626">
        <v>0.70512799999999998</v>
      </c>
      <c r="CR626">
        <v>0.97499999999999998</v>
      </c>
      <c r="CS626">
        <v>47.008547</v>
      </c>
      <c r="CT626">
        <v>50</v>
      </c>
      <c r="CU626" t="s">
        <v>125</v>
      </c>
      <c r="CV626" t="s">
        <v>125</v>
      </c>
      <c r="CW626" t="s">
        <v>125</v>
      </c>
      <c r="CX626" t="s">
        <v>125</v>
      </c>
      <c r="CY626" t="s">
        <v>125</v>
      </c>
      <c r="CZ626" t="s">
        <v>125</v>
      </c>
      <c r="DA626">
        <v>15.314097</v>
      </c>
      <c r="DB626">
        <v>17.400950000000002</v>
      </c>
      <c r="DC626">
        <v>16.332519999999999</v>
      </c>
      <c r="DD626" t="s">
        <v>125</v>
      </c>
      <c r="DE626">
        <v>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Q626" t="s">
        <v>126</v>
      </c>
    </row>
    <row r="627" spans="1:121" x14ac:dyDescent="0.15">
      <c r="A627">
        <v>2018</v>
      </c>
      <c r="B627" t="s">
        <v>142</v>
      </c>
      <c r="C627" t="str">
        <f>"0860011"</f>
        <v>0860011</v>
      </c>
      <c r="D627" t="s">
        <v>783</v>
      </c>
      <c r="E627" t="str">
        <f>"0860711"</f>
        <v>0860711</v>
      </c>
      <c r="F627" t="s">
        <v>328</v>
      </c>
      <c r="G627" t="s">
        <v>339</v>
      </c>
      <c r="H627">
        <v>5</v>
      </c>
      <c r="I627" t="s">
        <v>336</v>
      </c>
      <c r="J627" t="s">
        <v>331</v>
      </c>
      <c r="K627">
        <v>703.113788</v>
      </c>
      <c r="L627">
        <v>850</v>
      </c>
      <c r="M627">
        <v>82.719268999999997</v>
      </c>
      <c r="N627">
        <v>2</v>
      </c>
      <c r="O627">
        <v>0</v>
      </c>
      <c r="P627">
        <v>74.773527999999999</v>
      </c>
      <c r="Q627">
        <v>49.849018999999998</v>
      </c>
      <c r="R627">
        <v>50</v>
      </c>
      <c r="S627">
        <v>69.963408000000001</v>
      </c>
      <c r="T627">
        <v>75</v>
      </c>
      <c r="U627">
        <v>46.642271999999998</v>
      </c>
      <c r="V627">
        <v>50</v>
      </c>
      <c r="W627">
        <v>72.701920000000001</v>
      </c>
      <c r="X627">
        <v>48.467947000000002</v>
      </c>
      <c r="Y627">
        <v>50</v>
      </c>
      <c r="Z627">
        <v>75</v>
      </c>
      <c r="AA627">
        <v>67.679665999999997</v>
      </c>
      <c r="AB627">
        <v>45.119776999999999</v>
      </c>
      <c r="AC627">
        <v>50</v>
      </c>
      <c r="AD627">
        <v>68.306451999999993</v>
      </c>
      <c r="AE627">
        <v>45.537633999999997</v>
      </c>
      <c r="AF627">
        <v>50</v>
      </c>
      <c r="AG627">
        <v>61.453628999999999</v>
      </c>
      <c r="AH627">
        <v>75</v>
      </c>
      <c r="AI627">
        <v>40.969085999999997</v>
      </c>
      <c r="AJ627">
        <v>50</v>
      </c>
      <c r="AK627">
        <v>5.03</v>
      </c>
      <c r="AL627">
        <v>7.32</v>
      </c>
      <c r="AM627">
        <v>13.54</v>
      </c>
      <c r="AN627">
        <v>0.81931799999999999</v>
      </c>
      <c r="AO627">
        <v>81.931820000000002</v>
      </c>
      <c r="AP627">
        <v>100</v>
      </c>
      <c r="AQ627">
        <v>0.79241799999999996</v>
      </c>
      <c r="AR627">
        <v>79.241811999999996</v>
      </c>
      <c r="AS627">
        <v>100</v>
      </c>
      <c r="AT627">
        <v>0.75447900000000001</v>
      </c>
      <c r="AU627">
        <v>0.90036700000000003</v>
      </c>
      <c r="AV627">
        <v>75.447897999999995</v>
      </c>
      <c r="AW627">
        <v>100</v>
      </c>
      <c r="AX627">
        <v>0.73389800000000005</v>
      </c>
      <c r="AY627">
        <v>0.865568</v>
      </c>
      <c r="AZ627">
        <v>73.389784000000006</v>
      </c>
      <c r="BA627">
        <v>100</v>
      </c>
      <c r="BB627" t="s">
        <v>125</v>
      </c>
      <c r="BC627" t="s">
        <v>125</v>
      </c>
      <c r="BD627" t="s">
        <v>125</v>
      </c>
      <c r="BE627" t="s">
        <v>125</v>
      </c>
      <c r="BF627" t="s">
        <v>125</v>
      </c>
      <c r="BG627" t="s">
        <v>125</v>
      </c>
      <c r="BH627">
        <v>0</v>
      </c>
      <c r="BI627">
        <v>1</v>
      </c>
      <c r="BJ627">
        <v>1</v>
      </c>
      <c r="BK627">
        <v>1</v>
      </c>
      <c r="BL627">
        <v>0.99363100000000004</v>
      </c>
      <c r="BM627">
        <v>1</v>
      </c>
      <c r="BN627">
        <v>0.98360700000000001</v>
      </c>
      <c r="BO627">
        <v>0.98461500000000002</v>
      </c>
      <c r="BP627">
        <v>1</v>
      </c>
      <c r="BQ627">
        <v>0.96551699999999996</v>
      </c>
      <c r="BR627">
        <v>0.04</v>
      </c>
      <c r="BS627">
        <v>50</v>
      </c>
      <c r="BT627">
        <v>50</v>
      </c>
      <c r="BU627">
        <v>6.0440000000000001E-2</v>
      </c>
      <c r="BV627">
        <v>47.912087999999997</v>
      </c>
      <c r="BW627">
        <v>50</v>
      </c>
      <c r="BX627" t="s">
        <v>125</v>
      </c>
      <c r="BY627" t="s">
        <v>125</v>
      </c>
      <c r="BZ627" t="s">
        <v>125</v>
      </c>
      <c r="CA627" t="s">
        <v>125</v>
      </c>
      <c r="CB627" t="s">
        <v>125</v>
      </c>
      <c r="CC627" t="s">
        <v>125</v>
      </c>
      <c r="CD627" t="s">
        <v>125</v>
      </c>
      <c r="CE627" t="s">
        <v>125</v>
      </c>
      <c r="CF627" t="s">
        <v>125</v>
      </c>
      <c r="CG627" t="s">
        <v>125</v>
      </c>
      <c r="CH627" t="s">
        <v>125</v>
      </c>
      <c r="CI627" t="s">
        <v>125</v>
      </c>
      <c r="CJ627" t="s">
        <v>125</v>
      </c>
      <c r="CK627" t="s">
        <v>125</v>
      </c>
      <c r="CL627" t="s">
        <v>125</v>
      </c>
      <c r="CM627" t="s">
        <v>125</v>
      </c>
      <c r="CN627" t="s">
        <v>125</v>
      </c>
      <c r="CO627" t="s">
        <v>125</v>
      </c>
      <c r="CP627" t="s">
        <v>125</v>
      </c>
      <c r="CQ627">
        <v>0.27906999999999998</v>
      </c>
      <c r="CR627">
        <v>0.97727299999999995</v>
      </c>
      <c r="CS627">
        <v>18.604651</v>
      </c>
      <c r="CT627">
        <v>50</v>
      </c>
      <c r="CU627" t="s">
        <v>125</v>
      </c>
      <c r="CV627" t="s">
        <v>125</v>
      </c>
      <c r="CW627" t="s">
        <v>125</v>
      </c>
      <c r="CX627" t="s">
        <v>125</v>
      </c>
      <c r="CY627" t="s">
        <v>125</v>
      </c>
      <c r="CZ627" t="s">
        <v>125</v>
      </c>
      <c r="DA627">
        <v>15.314097</v>
      </c>
      <c r="DB627">
        <v>17.400950000000002</v>
      </c>
      <c r="DC627">
        <v>16.332519999999999</v>
      </c>
      <c r="DD627" t="s">
        <v>125</v>
      </c>
      <c r="DE627">
        <v>0</v>
      </c>
      <c r="DH627" t="s">
        <v>332</v>
      </c>
      <c r="DI627" t="s">
        <v>529</v>
      </c>
      <c r="DJ627">
        <v>0</v>
      </c>
      <c r="DK627">
        <v>1</v>
      </c>
      <c r="DL627">
        <v>0</v>
      </c>
      <c r="DM627">
        <v>1</v>
      </c>
      <c r="DN627">
        <v>0</v>
      </c>
      <c r="DO627">
        <v>0</v>
      </c>
      <c r="DQ627" t="s">
        <v>126</v>
      </c>
    </row>
    <row r="628" spans="1:121" x14ac:dyDescent="0.15">
      <c r="A628">
        <v>2018</v>
      </c>
      <c r="B628" t="s">
        <v>142</v>
      </c>
      <c r="C628" t="str">
        <f>"0860011"</f>
        <v>0860011</v>
      </c>
      <c r="D628" t="s">
        <v>784</v>
      </c>
      <c r="E628" t="str">
        <f>"0865111"</f>
        <v>0865111</v>
      </c>
      <c r="F628" t="s">
        <v>328</v>
      </c>
      <c r="G628">
        <v>6</v>
      </c>
      <c r="H628">
        <v>8</v>
      </c>
      <c r="J628" t="s">
        <v>331</v>
      </c>
      <c r="K628">
        <v>602.16376200000002</v>
      </c>
      <c r="L628">
        <v>900</v>
      </c>
      <c r="M628">
        <v>66.907084999999995</v>
      </c>
      <c r="N628">
        <v>3</v>
      </c>
      <c r="O628">
        <v>0</v>
      </c>
      <c r="P628">
        <v>69.935778999999997</v>
      </c>
      <c r="Q628">
        <v>46.623852999999997</v>
      </c>
      <c r="R628">
        <v>50</v>
      </c>
      <c r="S628">
        <v>61.733092999999997</v>
      </c>
      <c r="T628">
        <v>75</v>
      </c>
      <c r="U628">
        <v>41.155394999999999</v>
      </c>
      <c r="V628">
        <v>50</v>
      </c>
      <c r="W628">
        <v>64.541967999999997</v>
      </c>
      <c r="X628">
        <v>43.027977999999997</v>
      </c>
      <c r="Y628">
        <v>50</v>
      </c>
      <c r="Z628">
        <v>72.670503999999994</v>
      </c>
      <c r="AA628">
        <v>56.001860000000001</v>
      </c>
      <c r="AB628">
        <v>37.334572999999999</v>
      </c>
      <c r="AC628">
        <v>50</v>
      </c>
      <c r="AD628">
        <v>66.498266000000001</v>
      </c>
      <c r="AE628">
        <v>44.332177000000001</v>
      </c>
      <c r="AF628">
        <v>50</v>
      </c>
      <c r="AG628">
        <v>59.589655</v>
      </c>
      <c r="AH628">
        <v>72.708252999999999</v>
      </c>
      <c r="AI628">
        <v>39.726436999999997</v>
      </c>
      <c r="AJ628">
        <v>50</v>
      </c>
      <c r="AK628">
        <v>13.26</v>
      </c>
      <c r="AL628">
        <v>16.66</v>
      </c>
      <c r="AM628">
        <v>13.11</v>
      </c>
      <c r="AN628">
        <v>0.53799300000000005</v>
      </c>
      <c r="AO628">
        <v>53.799261999999999</v>
      </c>
      <c r="AP628">
        <v>100</v>
      </c>
      <c r="AQ628">
        <v>0.53918299999999997</v>
      </c>
      <c r="AR628">
        <v>53.918292000000001</v>
      </c>
      <c r="AS628">
        <v>100</v>
      </c>
      <c r="AT628">
        <v>0.48609999999999998</v>
      </c>
      <c r="AU628">
        <v>0.58180799999999999</v>
      </c>
      <c r="AV628">
        <v>48.610038000000003</v>
      </c>
      <c r="AW628">
        <v>100</v>
      </c>
      <c r="AX628">
        <v>0.48790899999999998</v>
      </c>
      <c r="AY628">
        <v>0.58264499999999997</v>
      </c>
      <c r="AZ628">
        <v>48.790916000000003</v>
      </c>
      <c r="BA628">
        <v>100</v>
      </c>
      <c r="BB628" t="s">
        <v>125</v>
      </c>
      <c r="BC628" t="s">
        <v>125</v>
      </c>
      <c r="BD628" t="s">
        <v>125</v>
      </c>
      <c r="BE628" t="s">
        <v>125</v>
      </c>
      <c r="BF628" t="s">
        <v>125</v>
      </c>
      <c r="BG628" t="s">
        <v>125</v>
      </c>
      <c r="BH628">
        <v>0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8.6171999999999999E-2</v>
      </c>
      <c r="BS628">
        <v>42.765531000000003</v>
      </c>
      <c r="BT628">
        <v>50</v>
      </c>
      <c r="BU628">
        <v>0.15611800000000001</v>
      </c>
      <c r="BV628">
        <v>28.776371000000001</v>
      </c>
      <c r="BW628">
        <v>50</v>
      </c>
      <c r="BX628" t="s">
        <v>125</v>
      </c>
      <c r="BY628" t="s">
        <v>125</v>
      </c>
      <c r="BZ628" t="s">
        <v>125</v>
      </c>
      <c r="CA628" t="s">
        <v>125</v>
      </c>
      <c r="CB628" t="s">
        <v>125</v>
      </c>
      <c r="CC628" t="s">
        <v>125</v>
      </c>
      <c r="CD628">
        <v>0.97765400000000002</v>
      </c>
      <c r="CE628">
        <v>50</v>
      </c>
      <c r="CF628">
        <v>50</v>
      </c>
      <c r="CG628" t="s">
        <v>125</v>
      </c>
      <c r="CH628" t="s">
        <v>125</v>
      </c>
      <c r="CI628" t="s">
        <v>125</v>
      </c>
      <c r="CJ628" t="s">
        <v>125</v>
      </c>
      <c r="CK628" t="s">
        <v>125</v>
      </c>
      <c r="CL628" t="s">
        <v>125</v>
      </c>
      <c r="CM628" t="s">
        <v>125</v>
      </c>
      <c r="CN628" t="s">
        <v>125</v>
      </c>
      <c r="CO628" t="s">
        <v>125</v>
      </c>
      <c r="CP628" t="s">
        <v>125</v>
      </c>
      <c r="CQ628">
        <v>0.34954400000000002</v>
      </c>
      <c r="CR628">
        <v>0.96764700000000003</v>
      </c>
      <c r="CS628">
        <v>23.302938000000001</v>
      </c>
      <c r="CT628">
        <v>50</v>
      </c>
      <c r="CU628" t="s">
        <v>125</v>
      </c>
      <c r="CV628" t="s">
        <v>125</v>
      </c>
      <c r="CW628" t="s">
        <v>125</v>
      </c>
      <c r="CX628" t="s">
        <v>125</v>
      </c>
      <c r="CY628" t="s">
        <v>125</v>
      </c>
      <c r="CZ628" t="s">
        <v>125</v>
      </c>
      <c r="DA628">
        <v>15.314097</v>
      </c>
      <c r="DB628">
        <v>17.400950000000002</v>
      </c>
      <c r="DC628">
        <v>16.332519999999999</v>
      </c>
      <c r="DD628" t="s">
        <v>125</v>
      </c>
      <c r="DE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Q628" t="s">
        <v>126</v>
      </c>
    </row>
    <row r="629" spans="1:121" x14ac:dyDescent="0.15">
      <c r="A629">
        <v>2018</v>
      </c>
      <c r="B629" t="s">
        <v>142</v>
      </c>
      <c r="C629" t="str">
        <f>"0860011"</f>
        <v>0860011</v>
      </c>
      <c r="D629" t="s">
        <v>785</v>
      </c>
      <c r="E629" t="str">
        <f>"0860111"</f>
        <v>0860111</v>
      </c>
      <c r="F629" t="s">
        <v>328</v>
      </c>
      <c r="G629" t="s">
        <v>339</v>
      </c>
      <c r="H629">
        <v>5</v>
      </c>
      <c r="I629" t="s">
        <v>336</v>
      </c>
      <c r="J629" t="s">
        <v>331</v>
      </c>
      <c r="K629">
        <v>751.82260900000006</v>
      </c>
      <c r="L629">
        <v>950</v>
      </c>
      <c r="M629">
        <v>79.139222000000004</v>
      </c>
      <c r="N629">
        <v>2</v>
      </c>
      <c r="O629">
        <v>0</v>
      </c>
      <c r="P629">
        <v>72.604228000000006</v>
      </c>
      <c r="Q629">
        <v>48.402819000000001</v>
      </c>
      <c r="R629">
        <v>50</v>
      </c>
      <c r="S629">
        <v>70.321333999999993</v>
      </c>
      <c r="T629">
        <v>75</v>
      </c>
      <c r="U629">
        <v>46.880889000000003</v>
      </c>
      <c r="V629">
        <v>50</v>
      </c>
      <c r="W629">
        <v>73.823510999999996</v>
      </c>
      <c r="X629">
        <v>49.215674</v>
      </c>
      <c r="Y629">
        <v>50</v>
      </c>
      <c r="Z629">
        <v>75</v>
      </c>
      <c r="AA629">
        <v>71.259778999999995</v>
      </c>
      <c r="AB629">
        <v>47.506520000000002</v>
      </c>
      <c r="AC629">
        <v>50</v>
      </c>
      <c r="AD629">
        <v>70.065757000000005</v>
      </c>
      <c r="AE629">
        <v>46.710504999999998</v>
      </c>
      <c r="AF629">
        <v>50</v>
      </c>
      <c r="AG629">
        <v>68.909457000000003</v>
      </c>
      <c r="AH629">
        <v>72.488478999999998</v>
      </c>
      <c r="AI629">
        <v>45.939638000000002</v>
      </c>
      <c r="AJ629">
        <v>50</v>
      </c>
      <c r="AK629">
        <v>4.67</v>
      </c>
      <c r="AL629">
        <v>3.74</v>
      </c>
      <c r="AM629">
        <v>3.57</v>
      </c>
      <c r="AN629">
        <v>0.63441199999999998</v>
      </c>
      <c r="AO629">
        <v>63.441217999999999</v>
      </c>
      <c r="AP629">
        <v>100</v>
      </c>
      <c r="AQ629">
        <v>0.69458299999999995</v>
      </c>
      <c r="AR629">
        <v>69.458331999999999</v>
      </c>
      <c r="AS629">
        <v>100</v>
      </c>
      <c r="AT629">
        <v>0.60990699999999998</v>
      </c>
      <c r="AU629">
        <v>0.68225499999999994</v>
      </c>
      <c r="AV629">
        <v>60.990715000000002</v>
      </c>
      <c r="AW629">
        <v>100</v>
      </c>
      <c r="AX629">
        <v>0.68120400000000003</v>
      </c>
      <c r="AY629">
        <v>0.72070599999999996</v>
      </c>
      <c r="AZ629">
        <v>68.120350999999999</v>
      </c>
      <c r="BA629">
        <v>100</v>
      </c>
      <c r="BB629">
        <v>0.731653</v>
      </c>
      <c r="BC629">
        <v>36.58267</v>
      </c>
      <c r="BD629">
        <v>50</v>
      </c>
      <c r="BE629">
        <v>0.56901599999999997</v>
      </c>
      <c r="BF629">
        <v>28.450824000000001</v>
      </c>
      <c r="BG629">
        <v>50</v>
      </c>
      <c r="BH629">
        <v>0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5.7637000000000001E-2</v>
      </c>
      <c r="BS629">
        <v>48.472622000000001</v>
      </c>
      <c r="BT629">
        <v>50</v>
      </c>
      <c r="BU629">
        <v>6.9264000000000006E-2</v>
      </c>
      <c r="BV629">
        <v>46.147185999999998</v>
      </c>
      <c r="BW629">
        <v>50</v>
      </c>
      <c r="BX629" t="s">
        <v>125</v>
      </c>
      <c r="BY629" t="s">
        <v>125</v>
      </c>
      <c r="BZ629" t="s">
        <v>125</v>
      </c>
      <c r="CA629" t="s">
        <v>125</v>
      </c>
      <c r="CB629" t="s">
        <v>125</v>
      </c>
      <c r="CC629" t="s">
        <v>125</v>
      </c>
      <c r="CD629" t="s">
        <v>125</v>
      </c>
      <c r="CE629" t="s">
        <v>125</v>
      </c>
      <c r="CF629" t="s">
        <v>125</v>
      </c>
      <c r="CG629" t="s">
        <v>125</v>
      </c>
      <c r="CH629" t="s">
        <v>125</v>
      </c>
      <c r="CI629" t="s">
        <v>125</v>
      </c>
      <c r="CJ629" t="s">
        <v>125</v>
      </c>
      <c r="CK629" t="s">
        <v>125</v>
      </c>
      <c r="CL629" t="s">
        <v>125</v>
      </c>
      <c r="CM629" t="s">
        <v>125</v>
      </c>
      <c r="CN629" t="s">
        <v>125</v>
      </c>
      <c r="CO629" t="s">
        <v>125</v>
      </c>
      <c r="CP629" t="s">
        <v>125</v>
      </c>
      <c r="CQ629">
        <v>0.68254000000000004</v>
      </c>
      <c r="CR629">
        <v>0.95454499999999998</v>
      </c>
      <c r="CS629">
        <v>45.502645999999999</v>
      </c>
      <c r="CT629">
        <v>50</v>
      </c>
      <c r="CU629" t="s">
        <v>125</v>
      </c>
      <c r="CV629" t="s">
        <v>125</v>
      </c>
      <c r="CW629" t="s">
        <v>125</v>
      </c>
      <c r="CX629" t="s">
        <v>125</v>
      </c>
      <c r="CY629" t="s">
        <v>125</v>
      </c>
      <c r="CZ629" t="s">
        <v>125</v>
      </c>
      <c r="DA629">
        <v>15.314097</v>
      </c>
      <c r="DB629">
        <v>17.400950000000002</v>
      </c>
      <c r="DC629">
        <v>16.332519999999999</v>
      </c>
      <c r="DD629" t="s">
        <v>125</v>
      </c>
      <c r="DE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Q629" t="s">
        <v>126</v>
      </c>
    </row>
    <row r="630" spans="1:121" x14ac:dyDescent="0.15">
      <c r="A630">
        <v>2018</v>
      </c>
      <c r="B630" t="s">
        <v>142</v>
      </c>
      <c r="C630" t="str">
        <f>"0860011"</f>
        <v>0860011</v>
      </c>
      <c r="D630" t="s">
        <v>786</v>
      </c>
      <c r="E630" t="str">
        <f>"0866111"</f>
        <v>0866111</v>
      </c>
      <c r="F630" t="s">
        <v>328</v>
      </c>
      <c r="G630">
        <v>9</v>
      </c>
      <c r="H630">
        <v>12</v>
      </c>
      <c r="J630" t="s">
        <v>331</v>
      </c>
      <c r="K630">
        <v>1135.928234</v>
      </c>
      <c r="L630">
        <v>1450</v>
      </c>
      <c r="M630">
        <v>78.339877999999999</v>
      </c>
      <c r="N630">
        <v>3</v>
      </c>
      <c r="O630">
        <v>0</v>
      </c>
      <c r="P630">
        <v>59.478222000000002</v>
      </c>
      <c r="Q630">
        <v>118.956444</v>
      </c>
      <c r="R630">
        <v>150</v>
      </c>
      <c r="S630">
        <v>55.877777999999999</v>
      </c>
      <c r="T630">
        <v>62.307143000000003</v>
      </c>
      <c r="U630">
        <v>111.755556</v>
      </c>
      <c r="V630">
        <v>150</v>
      </c>
      <c r="W630">
        <v>51.753777999999997</v>
      </c>
      <c r="X630">
        <v>103.50755599999999</v>
      </c>
      <c r="Y630">
        <v>150</v>
      </c>
      <c r="Z630">
        <v>53.402380999999998</v>
      </c>
      <c r="AA630">
        <v>49.655555999999997</v>
      </c>
      <c r="AB630">
        <v>99.311110999999997</v>
      </c>
      <c r="AC630">
        <v>150</v>
      </c>
      <c r="AD630">
        <v>56.078870000000002</v>
      </c>
      <c r="AE630">
        <v>74.771827000000002</v>
      </c>
      <c r="AF630">
        <v>100</v>
      </c>
      <c r="AG630">
        <v>51.264209999999999</v>
      </c>
      <c r="AH630">
        <v>60.125974999999997</v>
      </c>
      <c r="AI630">
        <v>68.352279999999993</v>
      </c>
      <c r="AJ630">
        <v>100</v>
      </c>
      <c r="AK630">
        <v>6.42</v>
      </c>
      <c r="AL630">
        <v>3.74</v>
      </c>
      <c r="AM630">
        <v>8.86</v>
      </c>
      <c r="AN630" t="s">
        <v>125</v>
      </c>
      <c r="AO630" t="s">
        <v>125</v>
      </c>
      <c r="AP630" t="s">
        <v>125</v>
      </c>
      <c r="AQ630" t="s">
        <v>125</v>
      </c>
      <c r="AR630" t="s">
        <v>125</v>
      </c>
      <c r="AS630" t="s">
        <v>125</v>
      </c>
      <c r="AT630" t="s">
        <v>125</v>
      </c>
      <c r="AU630" t="s">
        <v>125</v>
      </c>
      <c r="AV630" t="s">
        <v>125</v>
      </c>
      <c r="AW630" t="s">
        <v>125</v>
      </c>
      <c r="AX630" t="s">
        <v>125</v>
      </c>
      <c r="AY630" t="s">
        <v>125</v>
      </c>
      <c r="AZ630" t="s">
        <v>125</v>
      </c>
      <c r="BA630" t="s">
        <v>125</v>
      </c>
      <c r="BB630" t="s">
        <v>125</v>
      </c>
      <c r="BC630" t="s">
        <v>125</v>
      </c>
      <c r="BD630" t="s">
        <v>125</v>
      </c>
      <c r="BE630" t="s">
        <v>125</v>
      </c>
      <c r="BF630" t="s">
        <v>125</v>
      </c>
      <c r="BG630" t="s">
        <v>125</v>
      </c>
      <c r="BH630">
        <v>1</v>
      </c>
      <c r="BI630">
        <v>0.95488700000000004</v>
      </c>
      <c r="BJ630">
        <v>0.91803299999999999</v>
      </c>
      <c r="BK630">
        <v>0.98611099999999996</v>
      </c>
      <c r="BL630">
        <v>0.95488700000000004</v>
      </c>
      <c r="BM630">
        <v>0.91803299999999999</v>
      </c>
      <c r="BN630">
        <v>0.98611099999999996</v>
      </c>
      <c r="BO630">
        <v>0.96969700000000003</v>
      </c>
      <c r="BP630">
        <v>0.96666700000000005</v>
      </c>
      <c r="BQ630">
        <v>0.97222200000000003</v>
      </c>
      <c r="BR630">
        <v>0.110124</v>
      </c>
      <c r="BS630">
        <v>37.975133</v>
      </c>
      <c r="BT630">
        <v>50</v>
      </c>
      <c r="BU630">
        <v>0.16400000000000001</v>
      </c>
      <c r="BV630">
        <v>27.2</v>
      </c>
      <c r="BW630">
        <v>50</v>
      </c>
      <c r="BX630">
        <v>0.94117600000000001</v>
      </c>
      <c r="BY630">
        <v>50</v>
      </c>
      <c r="BZ630">
        <v>50</v>
      </c>
      <c r="CA630">
        <v>0.397059</v>
      </c>
      <c r="CB630">
        <v>26.470587999999999</v>
      </c>
      <c r="CC630">
        <v>50</v>
      </c>
      <c r="CD630">
        <v>0.97222200000000003</v>
      </c>
      <c r="CE630">
        <v>50</v>
      </c>
      <c r="CF630">
        <v>50</v>
      </c>
      <c r="CG630">
        <v>0.95294100000000004</v>
      </c>
      <c r="CH630">
        <v>100</v>
      </c>
      <c r="CI630">
        <v>100</v>
      </c>
      <c r="CJ630">
        <v>0</v>
      </c>
      <c r="CK630">
        <v>0.91463399999999995</v>
      </c>
      <c r="CL630">
        <v>97.301505000000006</v>
      </c>
      <c r="CM630">
        <v>100</v>
      </c>
      <c r="CN630">
        <v>0.67065900000000001</v>
      </c>
      <c r="CO630">
        <v>89.421158000000005</v>
      </c>
      <c r="CP630">
        <v>100</v>
      </c>
      <c r="CQ630">
        <v>0.46357599999999999</v>
      </c>
      <c r="CR630">
        <v>0.993421</v>
      </c>
      <c r="CS630">
        <v>30.905076999999999</v>
      </c>
      <c r="CT630">
        <v>50</v>
      </c>
      <c r="CU630">
        <v>0.63232699999999997</v>
      </c>
      <c r="CV630">
        <v>50</v>
      </c>
      <c r="CW630">
        <v>50</v>
      </c>
      <c r="CX630">
        <v>0.91463399999999995</v>
      </c>
      <c r="CY630">
        <v>0.94</v>
      </c>
      <c r="CZ630">
        <v>2.5366E-2</v>
      </c>
      <c r="DA630">
        <v>15.314097</v>
      </c>
      <c r="DB630">
        <v>17.400950000000002</v>
      </c>
      <c r="DC630">
        <v>16.332519999999999</v>
      </c>
      <c r="DD630">
        <v>7.9891730000000001</v>
      </c>
      <c r="DE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Q630" t="s">
        <v>126</v>
      </c>
    </row>
    <row r="631" spans="1:121" x14ac:dyDescent="0.15">
      <c r="A631">
        <v>2018</v>
      </c>
      <c r="B631" t="s">
        <v>142</v>
      </c>
      <c r="C631" t="str">
        <f>"0860011"</f>
        <v>0860011</v>
      </c>
      <c r="D631" t="s">
        <v>787</v>
      </c>
      <c r="E631" t="str">
        <f>"0860511"</f>
        <v>0860511</v>
      </c>
      <c r="F631" t="s">
        <v>328</v>
      </c>
      <c r="G631" t="s">
        <v>339</v>
      </c>
      <c r="H631">
        <v>5</v>
      </c>
      <c r="J631" t="s">
        <v>331</v>
      </c>
      <c r="K631">
        <v>737.92882899999995</v>
      </c>
      <c r="L631">
        <v>800</v>
      </c>
      <c r="M631">
        <v>92.241104000000007</v>
      </c>
      <c r="N631">
        <v>1</v>
      </c>
      <c r="O631">
        <v>0</v>
      </c>
      <c r="P631">
        <v>82.676580000000001</v>
      </c>
      <c r="Q631">
        <v>50</v>
      </c>
      <c r="R631">
        <v>50</v>
      </c>
      <c r="S631">
        <v>76.725295000000003</v>
      </c>
      <c r="T631">
        <v>75</v>
      </c>
      <c r="U631">
        <v>50</v>
      </c>
      <c r="V631">
        <v>50</v>
      </c>
      <c r="W631">
        <v>82.673809000000006</v>
      </c>
      <c r="X631">
        <v>50</v>
      </c>
      <c r="Y631">
        <v>50</v>
      </c>
      <c r="Z631">
        <v>75</v>
      </c>
      <c r="AA631">
        <v>76.083890999999994</v>
      </c>
      <c r="AB631">
        <v>50</v>
      </c>
      <c r="AC631">
        <v>50</v>
      </c>
      <c r="AD631">
        <v>81.506451999999996</v>
      </c>
      <c r="AE631">
        <v>50</v>
      </c>
      <c r="AF631">
        <v>50</v>
      </c>
      <c r="AG631" t="s">
        <v>125</v>
      </c>
      <c r="AH631">
        <v>75</v>
      </c>
      <c r="AI631" t="s">
        <v>125</v>
      </c>
      <c r="AJ631" t="s">
        <v>125</v>
      </c>
      <c r="AK631">
        <v>-1.72</v>
      </c>
      <c r="AL631">
        <v>-1.08</v>
      </c>
      <c r="AM631" t="s">
        <v>125</v>
      </c>
      <c r="AN631">
        <v>0.84874300000000003</v>
      </c>
      <c r="AO631">
        <v>84.874262999999999</v>
      </c>
      <c r="AP631">
        <v>100</v>
      </c>
      <c r="AQ631">
        <v>0.93407799999999996</v>
      </c>
      <c r="AR631">
        <v>93.407762000000005</v>
      </c>
      <c r="AS631">
        <v>100</v>
      </c>
      <c r="AT631">
        <v>0.88994200000000001</v>
      </c>
      <c r="AU631">
        <v>0.82943</v>
      </c>
      <c r="AV631">
        <v>88.994202000000001</v>
      </c>
      <c r="AW631">
        <v>100</v>
      </c>
      <c r="AX631">
        <v>0.88747799999999999</v>
      </c>
      <c r="AY631">
        <v>0.95592100000000002</v>
      </c>
      <c r="AZ631">
        <v>88.747840999999994</v>
      </c>
      <c r="BA631">
        <v>100</v>
      </c>
      <c r="BB631" t="s">
        <v>125</v>
      </c>
      <c r="BC631" t="s">
        <v>125</v>
      </c>
      <c r="BD631" t="s">
        <v>125</v>
      </c>
      <c r="BE631" t="s">
        <v>125</v>
      </c>
      <c r="BF631" t="s">
        <v>125</v>
      </c>
      <c r="BG631" t="s">
        <v>125</v>
      </c>
      <c r="BH631">
        <v>0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 t="s">
        <v>125</v>
      </c>
      <c r="BQ631">
        <v>1</v>
      </c>
      <c r="BR631">
        <v>3.6630000000000003E-2</v>
      </c>
      <c r="BS631">
        <v>50</v>
      </c>
      <c r="BT631">
        <v>50</v>
      </c>
      <c r="BU631">
        <v>5.7142999999999999E-2</v>
      </c>
      <c r="BV631">
        <v>48.571429000000002</v>
      </c>
      <c r="BW631">
        <v>50</v>
      </c>
      <c r="BX631" t="s">
        <v>125</v>
      </c>
      <c r="BY631" t="s">
        <v>125</v>
      </c>
      <c r="BZ631" t="s">
        <v>125</v>
      </c>
      <c r="CA631" t="s">
        <v>125</v>
      </c>
      <c r="CB631" t="s">
        <v>125</v>
      </c>
      <c r="CC631" t="s">
        <v>125</v>
      </c>
      <c r="CD631" t="s">
        <v>125</v>
      </c>
      <c r="CE631" t="s">
        <v>125</v>
      </c>
      <c r="CF631" t="s">
        <v>125</v>
      </c>
      <c r="CG631" t="s">
        <v>125</v>
      </c>
      <c r="CH631" t="s">
        <v>125</v>
      </c>
      <c r="CI631" t="s">
        <v>125</v>
      </c>
      <c r="CJ631" t="s">
        <v>125</v>
      </c>
      <c r="CK631" t="s">
        <v>125</v>
      </c>
      <c r="CL631" t="s">
        <v>125</v>
      </c>
      <c r="CM631" t="s">
        <v>125</v>
      </c>
      <c r="CN631" t="s">
        <v>125</v>
      </c>
      <c r="CO631" t="s">
        <v>125</v>
      </c>
      <c r="CP631" t="s">
        <v>125</v>
      </c>
      <c r="CQ631">
        <v>0.5</v>
      </c>
      <c r="CR631">
        <v>1.0285709999999999</v>
      </c>
      <c r="CS631">
        <v>33.333333000000003</v>
      </c>
      <c r="CT631">
        <v>50</v>
      </c>
      <c r="CU631" t="s">
        <v>125</v>
      </c>
      <c r="CV631" t="s">
        <v>125</v>
      </c>
      <c r="CW631" t="s">
        <v>125</v>
      </c>
      <c r="CX631" t="s">
        <v>125</v>
      </c>
      <c r="CY631" t="s">
        <v>125</v>
      </c>
      <c r="CZ631" t="s">
        <v>125</v>
      </c>
      <c r="DA631">
        <v>15.314097</v>
      </c>
      <c r="DB631">
        <v>17.400950000000002</v>
      </c>
      <c r="DC631">
        <v>16.332519999999999</v>
      </c>
      <c r="DD631" t="s">
        <v>125</v>
      </c>
      <c r="DE631">
        <v>0</v>
      </c>
      <c r="DH631" t="s">
        <v>332</v>
      </c>
      <c r="DI631" t="s">
        <v>615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0</v>
      </c>
      <c r="DQ631" t="s">
        <v>126</v>
      </c>
    </row>
    <row r="632" spans="1:121" x14ac:dyDescent="0.15">
      <c r="A632">
        <v>2018</v>
      </c>
      <c r="B632" t="s">
        <v>167</v>
      </c>
      <c r="C632" t="str">
        <f t="shared" ref="C632:C640" si="24">"0880011"</f>
        <v>0880011</v>
      </c>
      <c r="D632" t="s">
        <v>788</v>
      </c>
      <c r="E632" t="str">
        <f>"0880811"</f>
        <v>0880811</v>
      </c>
      <c r="F632" t="s">
        <v>328</v>
      </c>
      <c r="G632" t="s">
        <v>339</v>
      </c>
      <c r="H632">
        <v>4</v>
      </c>
      <c r="I632" t="s">
        <v>330</v>
      </c>
      <c r="J632" t="s">
        <v>331</v>
      </c>
      <c r="K632">
        <v>674.24616300000002</v>
      </c>
      <c r="L632">
        <v>850</v>
      </c>
      <c r="M632">
        <v>79.323077999999995</v>
      </c>
      <c r="N632">
        <v>2</v>
      </c>
      <c r="O632">
        <v>0</v>
      </c>
      <c r="P632">
        <v>68.970589000000004</v>
      </c>
      <c r="Q632">
        <v>45.980392999999999</v>
      </c>
      <c r="R632">
        <v>50</v>
      </c>
      <c r="S632">
        <v>63.978554000000003</v>
      </c>
      <c r="T632">
        <v>75</v>
      </c>
      <c r="U632">
        <v>42.652369</v>
      </c>
      <c r="V632">
        <v>50</v>
      </c>
      <c r="W632">
        <v>67.771024999999995</v>
      </c>
      <c r="X632">
        <v>45.180683000000002</v>
      </c>
      <c r="Y632">
        <v>50</v>
      </c>
      <c r="Z632">
        <v>75</v>
      </c>
      <c r="AA632">
        <v>61.415909999999997</v>
      </c>
      <c r="AB632">
        <v>40.943939999999998</v>
      </c>
      <c r="AC632">
        <v>50</v>
      </c>
      <c r="AD632" t="s">
        <v>125</v>
      </c>
      <c r="AE632" t="s">
        <v>125</v>
      </c>
      <c r="AF632" t="s">
        <v>125</v>
      </c>
      <c r="AG632" t="s">
        <v>125</v>
      </c>
      <c r="AH632" t="s">
        <v>125</v>
      </c>
      <c r="AI632" t="s">
        <v>125</v>
      </c>
      <c r="AJ632" t="s">
        <v>125</v>
      </c>
      <c r="AK632">
        <v>11.02</v>
      </c>
      <c r="AL632">
        <v>13.58</v>
      </c>
      <c r="AM632" t="s">
        <v>125</v>
      </c>
      <c r="AN632">
        <v>0.76988999999999996</v>
      </c>
      <c r="AO632">
        <v>76.989035999999999</v>
      </c>
      <c r="AP632">
        <v>100</v>
      </c>
      <c r="AQ632">
        <v>0.83649600000000002</v>
      </c>
      <c r="AR632">
        <v>83.649638999999993</v>
      </c>
      <c r="AS632">
        <v>100</v>
      </c>
      <c r="AT632">
        <v>0.703044</v>
      </c>
      <c r="AU632" t="s">
        <v>125</v>
      </c>
      <c r="AV632">
        <v>70.304385999999994</v>
      </c>
      <c r="AW632">
        <v>100</v>
      </c>
      <c r="AX632">
        <v>0.84227099999999999</v>
      </c>
      <c r="AY632" t="s">
        <v>125</v>
      </c>
      <c r="AZ632">
        <v>84.227136000000002</v>
      </c>
      <c r="BA632">
        <v>100</v>
      </c>
      <c r="BB632">
        <v>0.84204500000000004</v>
      </c>
      <c r="BC632">
        <v>42.102227999999997</v>
      </c>
      <c r="BD632">
        <v>50</v>
      </c>
      <c r="BE632">
        <v>0.71593200000000001</v>
      </c>
      <c r="BF632">
        <v>35.796599999999998</v>
      </c>
      <c r="BG632">
        <v>50</v>
      </c>
      <c r="BH632">
        <v>0</v>
      </c>
      <c r="BI632">
        <v>0.97196300000000002</v>
      </c>
      <c r="BJ632">
        <v>0.96103899999999998</v>
      </c>
      <c r="BK632">
        <v>1</v>
      </c>
      <c r="BL632">
        <v>0.97222200000000003</v>
      </c>
      <c r="BM632">
        <v>0.961538</v>
      </c>
      <c r="BN632">
        <v>1</v>
      </c>
      <c r="BO632" t="s">
        <v>125</v>
      </c>
      <c r="BP632" t="s">
        <v>125</v>
      </c>
      <c r="BQ632" t="s">
        <v>125</v>
      </c>
      <c r="BR632">
        <v>0.123457</v>
      </c>
      <c r="BS632">
        <v>35.308641999999999</v>
      </c>
      <c r="BT632">
        <v>50</v>
      </c>
      <c r="BU632">
        <v>0.16666700000000001</v>
      </c>
      <c r="BV632">
        <v>26.666667</v>
      </c>
      <c r="BW632">
        <v>50</v>
      </c>
      <c r="BX632" t="s">
        <v>125</v>
      </c>
      <c r="BY632" t="s">
        <v>125</v>
      </c>
      <c r="BZ632" t="s">
        <v>125</v>
      </c>
      <c r="CA632" t="s">
        <v>125</v>
      </c>
      <c r="CB632" t="s">
        <v>125</v>
      </c>
      <c r="CC632" t="s">
        <v>125</v>
      </c>
      <c r="CD632" t="s">
        <v>125</v>
      </c>
      <c r="CE632" t="s">
        <v>125</v>
      </c>
      <c r="CF632" t="s">
        <v>125</v>
      </c>
      <c r="CG632" t="s">
        <v>125</v>
      </c>
      <c r="CH632" t="s">
        <v>125</v>
      </c>
      <c r="CI632" t="s">
        <v>125</v>
      </c>
      <c r="CJ632" t="s">
        <v>125</v>
      </c>
      <c r="CK632" t="s">
        <v>125</v>
      </c>
      <c r="CL632" t="s">
        <v>125</v>
      </c>
      <c r="CM632" t="s">
        <v>125</v>
      </c>
      <c r="CN632" t="s">
        <v>125</v>
      </c>
      <c r="CO632" t="s">
        <v>125</v>
      </c>
      <c r="CP632" t="s">
        <v>125</v>
      </c>
      <c r="CQ632">
        <v>0.66666700000000001</v>
      </c>
      <c r="CR632">
        <v>1.021277</v>
      </c>
      <c r="CS632">
        <v>44.444443999999997</v>
      </c>
      <c r="CT632">
        <v>50</v>
      </c>
      <c r="CU632" t="s">
        <v>125</v>
      </c>
      <c r="CV632" t="s">
        <v>125</v>
      </c>
      <c r="CW632" t="s">
        <v>125</v>
      </c>
      <c r="CX632" t="s">
        <v>125</v>
      </c>
      <c r="CY632" t="s">
        <v>125</v>
      </c>
      <c r="CZ632" t="s">
        <v>125</v>
      </c>
      <c r="DA632">
        <v>15.314097</v>
      </c>
      <c r="DB632">
        <v>17.400950000000002</v>
      </c>
      <c r="DC632">
        <v>16.332519999999999</v>
      </c>
      <c r="DD632" t="s">
        <v>125</v>
      </c>
      <c r="DE632">
        <v>0</v>
      </c>
      <c r="DH632" t="s">
        <v>332</v>
      </c>
      <c r="DI632" t="s">
        <v>432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Q632" t="s">
        <v>126</v>
      </c>
    </row>
    <row r="633" spans="1:121" x14ac:dyDescent="0.15">
      <c r="A633">
        <v>2018</v>
      </c>
      <c r="B633" t="s">
        <v>167</v>
      </c>
      <c r="C633" t="str">
        <f t="shared" si="24"/>
        <v>0880011</v>
      </c>
      <c r="D633" t="s">
        <v>789</v>
      </c>
      <c r="E633" t="str">
        <f>"0885111"</f>
        <v>0885111</v>
      </c>
      <c r="F633" t="s">
        <v>328</v>
      </c>
      <c r="G633">
        <v>7</v>
      </c>
      <c r="H633">
        <v>8</v>
      </c>
      <c r="I633" t="s">
        <v>330</v>
      </c>
      <c r="J633" t="s">
        <v>331</v>
      </c>
      <c r="K633">
        <v>613.39354700000001</v>
      </c>
      <c r="L633">
        <v>1000</v>
      </c>
      <c r="M633">
        <v>61.339354999999998</v>
      </c>
      <c r="N633">
        <v>3</v>
      </c>
      <c r="O633">
        <v>0</v>
      </c>
      <c r="P633">
        <v>67.407425000000003</v>
      </c>
      <c r="Q633">
        <v>44.938282999999998</v>
      </c>
      <c r="R633">
        <v>50</v>
      </c>
      <c r="S633">
        <v>61.547080999999999</v>
      </c>
      <c r="T633">
        <v>75</v>
      </c>
      <c r="U633">
        <v>41.031387000000002</v>
      </c>
      <c r="V633">
        <v>50</v>
      </c>
      <c r="W633">
        <v>58.308611999999997</v>
      </c>
      <c r="X633">
        <v>38.872408</v>
      </c>
      <c r="Y633">
        <v>50</v>
      </c>
      <c r="Z633">
        <v>68.861538999999993</v>
      </c>
      <c r="AA633">
        <v>51.902427000000003</v>
      </c>
      <c r="AB633">
        <v>34.601618000000002</v>
      </c>
      <c r="AC633">
        <v>50</v>
      </c>
      <c r="AD633">
        <v>62.157111999999998</v>
      </c>
      <c r="AE633">
        <v>41.438074999999998</v>
      </c>
      <c r="AF633">
        <v>50</v>
      </c>
      <c r="AG633">
        <v>56.754789000000002</v>
      </c>
      <c r="AH633">
        <v>70.924816000000007</v>
      </c>
      <c r="AI633">
        <v>37.836525999999999</v>
      </c>
      <c r="AJ633">
        <v>50</v>
      </c>
      <c r="AK633">
        <v>13.45</v>
      </c>
      <c r="AL633">
        <v>16.95</v>
      </c>
      <c r="AM633">
        <v>14.17</v>
      </c>
      <c r="AN633">
        <v>0.62367499999999998</v>
      </c>
      <c r="AO633">
        <v>62.367541000000003</v>
      </c>
      <c r="AP633">
        <v>100</v>
      </c>
      <c r="AQ633">
        <v>0.41022700000000001</v>
      </c>
      <c r="AR633">
        <v>41.022714000000001</v>
      </c>
      <c r="AS633">
        <v>100</v>
      </c>
      <c r="AT633">
        <v>0.59818800000000005</v>
      </c>
      <c r="AU633">
        <v>0.66377399999999998</v>
      </c>
      <c r="AV633">
        <v>59.818752000000003</v>
      </c>
      <c r="AW633">
        <v>100</v>
      </c>
      <c r="AX633">
        <v>0.37544499999999997</v>
      </c>
      <c r="AY633">
        <v>0.46457399999999999</v>
      </c>
      <c r="AZ633">
        <v>37.544491999999998</v>
      </c>
      <c r="BA633">
        <v>100</v>
      </c>
      <c r="BB633">
        <v>0.51181699999999997</v>
      </c>
      <c r="BC633">
        <v>25.590852999999999</v>
      </c>
      <c r="BD633">
        <v>50</v>
      </c>
      <c r="BE633">
        <v>0.36047800000000002</v>
      </c>
      <c r="BF633">
        <v>18.023916</v>
      </c>
      <c r="BG633">
        <v>50</v>
      </c>
      <c r="BH633">
        <v>0</v>
      </c>
      <c r="BI633">
        <v>0.98965999999999998</v>
      </c>
      <c r="BJ633">
        <v>0.98834500000000003</v>
      </c>
      <c r="BK633">
        <v>0.99193500000000001</v>
      </c>
      <c r="BL633">
        <v>0.98965999999999998</v>
      </c>
      <c r="BM633">
        <v>0.98601399999999995</v>
      </c>
      <c r="BN633">
        <v>0.99596799999999996</v>
      </c>
      <c r="BO633">
        <v>0.99101799999999995</v>
      </c>
      <c r="BP633">
        <v>0.98564600000000002</v>
      </c>
      <c r="BQ633">
        <v>1</v>
      </c>
      <c r="BR633">
        <v>0.15509600000000001</v>
      </c>
      <c r="BS633">
        <v>28.980798</v>
      </c>
      <c r="BT633">
        <v>50</v>
      </c>
      <c r="BU633">
        <v>0.21545700000000001</v>
      </c>
      <c r="BV633">
        <v>16.908664999999999</v>
      </c>
      <c r="BW633">
        <v>50</v>
      </c>
      <c r="BX633" t="s">
        <v>125</v>
      </c>
      <c r="BY633" t="s">
        <v>125</v>
      </c>
      <c r="BZ633" t="s">
        <v>125</v>
      </c>
      <c r="CA633" t="s">
        <v>125</v>
      </c>
      <c r="CB633" t="s">
        <v>125</v>
      </c>
      <c r="CC633" t="s">
        <v>125</v>
      </c>
      <c r="CD633">
        <v>0.86163500000000004</v>
      </c>
      <c r="CE633">
        <v>45.831660999999997</v>
      </c>
      <c r="CF633">
        <v>50</v>
      </c>
      <c r="CG633" t="s">
        <v>125</v>
      </c>
      <c r="CH633" t="s">
        <v>125</v>
      </c>
      <c r="CI633" t="s">
        <v>125</v>
      </c>
      <c r="CJ633" t="s">
        <v>125</v>
      </c>
      <c r="CK633" t="s">
        <v>125</v>
      </c>
      <c r="CL633" t="s">
        <v>125</v>
      </c>
      <c r="CM633" t="s">
        <v>125</v>
      </c>
      <c r="CN633" t="s">
        <v>125</v>
      </c>
      <c r="CO633" t="s">
        <v>125</v>
      </c>
      <c r="CP633" t="s">
        <v>125</v>
      </c>
      <c r="CQ633">
        <v>0.57878799999999997</v>
      </c>
      <c r="CR633">
        <v>0.98802400000000001</v>
      </c>
      <c r="CS633">
        <v>38.585858999999999</v>
      </c>
      <c r="CT633">
        <v>50</v>
      </c>
      <c r="CU633" t="s">
        <v>125</v>
      </c>
      <c r="CV633" t="s">
        <v>125</v>
      </c>
      <c r="CW633" t="s">
        <v>125</v>
      </c>
      <c r="CX633" t="s">
        <v>125</v>
      </c>
      <c r="CY633" t="s">
        <v>125</v>
      </c>
      <c r="CZ633" t="s">
        <v>125</v>
      </c>
      <c r="DA633">
        <v>15.314097</v>
      </c>
      <c r="DB633">
        <v>17.400950000000002</v>
      </c>
      <c r="DC633">
        <v>16.332519999999999</v>
      </c>
      <c r="DD633" t="s">
        <v>125</v>
      </c>
      <c r="DE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Q633" t="s">
        <v>126</v>
      </c>
    </row>
    <row r="634" spans="1:121" x14ac:dyDescent="0.15">
      <c r="A634">
        <v>2018</v>
      </c>
      <c r="B634" t="s">
        <v>167</v>
      </c>
      <c r="C634" t="str">
        <f t="shared" si="24"/>
        <v>0880011</v>
      </c>
      <c r="D634" t="s">
        <v>790</v>
      </c>
      <c r="E634" t="str">
        <f>"0880211"</f>
        <v>0880211</v>
      </c>
      <c r="F634" t="s">
        <v>328</v>
      </c>
      <c r="G634">
        <v>5</v>
      </c>
      <c r="H634">
        <v>6</v>
      </c>
      <c r="I634" t="s">
        <v>330</v>
      </c>
      <c r="J634" t="s">
        <v>331</v>
      </c>
      <c r="K634">
        <v>581.83185900000001</v>
      </c>
      <c r="L634">
        <v>850</v>
      </c>
      <c r="M634">
        <v>68.450806999999998</v>
      </c>
      <c r="N634">
        <v>3</v>
      </c>
      <c r="O634">
        <v>0</v>
      </c>
      <c r="P634">
        <v>67.964686999999998</v>
      </c>
      <c r="Q634">
        <v>45.309790999999997</v>
      </c>
      <c r="R634">
        <v>50</v>
      </c>
      <c r="S634">
        <v>61.152808999999998</v>
      </c>
      <c r="T634">
        <v>75</v>
      </c>
      <c r="U634">
        <v>40.768540000000002</v>
      </c>
      <c r="V634">
        <v>50</v>
      </c>
      <c r="W634">
        <v>67.168353999999994</v>
      </c>
      <c r="X634">
        <v>44.778903</v>
      </c>
      <c r="Y634">
        <v>50</v>
      </c>
      <c r="Z634">
        <v>75</v>
      </c>
      <c r="AA634">
        <v>58.668281</v>
      </c>
      <c r="AB634">
        <v>39.112186999999999</v>
      </c>
      <c r="AC634">
        <v>50</v>
      </c>
      <c r="AD634">
        <v>60.818925</v>
      </c>
      <c r="AE634">
        <v>40.545949999999998</v>
      </c>
      <c r="AF634">
        <v>50</v>
      </c>
      <c r="AG634">
        <v>54.832490999999997</v>
      </c>
      <c r="AH634">
        <v>68.234954000000002</v>
      </c>
      <c r="AI634">
        <v>36.554994000000001</v>
      </c>
      <c r="AJ634">
        <v>50</v>
      </c>
      <c r="AK634">
        <v>13.84</v>
      </c>
      <c r="AL634">
        <v>16.329999999999998</v>
      </c>
      <c r="AM634">
        <v>13.4</v>
      </c>
      <c r="AN634">
        <v>0.57996999999999999</v>
      </c>
      <c r="AO634">
        <v>57.997028</v>
      </c>
      <c r="AP634">
        <v>100</v>
      </c>
      <c r="AQ634">
        <v>0.59845300000000001</v>
      </c>
      <c r="AR634">
        <v>59.845261999999998</v>
      </c>
      <c r="AS634">
        <v>100</v>
      </c>
      <c r="AT634">
        <v>0.55028999999999995</v>
      </c>
      <c r="AU634">
        <v>0.61154500000000001</v>
      </c>
      <c r="AV634">
        <v>55.028967999999999</v>
      </c>
      <c r="AW634">
        <v>100</v>
      </c>
      <c r="AX634">
        <v>0.50559699999999996</v>
      </c>
      <c r="AY634">
        <v>0.69723500000000005</v>
      </c>
      <c r="AZ634">
        <v>50.559688000000001</v>
      </c>
      <c r="BA634">
        <v>100</v>
      </c>
      <c r="BB634" t="s">
        <v>125</v>
      </c>
      <c r="BC634" t="s">
        <v>125</v>
      </c>
      <c r="BD634" t="s">
        <v>125</v>
      </c>
      <c r="BE634" t="s">
        <v>125</v>
      </c>
      <c r="BF634" t="s">
        <v>125</v>
      </c>
      <c r="BG634" t="s">
        <v>125</v>
      </c>
      <c r="BH634">
        <v>0</v>
      </c>
      <c r="BI634">
        <v>0.99695100000000003</v>
      </c>
      <c r="BJ634">
        <v>0.99453599999999998</v>
      </c>
      <c r="BK634">
        <v>1</v>
      </c>
      <c r="BL634">
        <v>0.99695999999999996</v>
      </c>
      <c r="BM634">
        <v>0.99456500000000003</v>
      </c>
      <c r="BN634">
        <v>1</v>
      </c>
      <c r="BO634">
        <v>0.99382700000000002</v>
      </c>
      <c r="BP634">
        <v>0.98912999999999995</v>
      </c>
      <c r="BQ634">
        <v>1</v>
      </c>
      <c r="BR634">
        <v>0.103343</v>
      </c>
      <c r="BS634">
        <v>39.331307000000002</v>
      </c>
      <c r="BT634">
        <v>50</v>
      </c>
      <c r="BU634">
        <v>0.157303</v>
      </c>
      <c r="BV634">
        <v>28.539325999999999</v>
      </c>
      <c r="BW634">
        <v>50</v>
      </c>
      <c r="BX634" t="s">
        <v>125</v>
      </c>
      <c r="BY634" t="s">
        <v>125</v>
      </c>
      <c r="BZ634" t="s">
        <v>125</v>
      </c>
      <c r="CA634" t="s">
        <v>125</v>
      </c>
      <c r="CB634" t="s">
        <v>125</v>
      </c>
      <c r="CC634" t="s">
        <v>125</v>
      </c>
      <c r="CD634" t="s">
        <v>125</v>
      </c>
      <c r="CE634" t="s">
        <v>125</v>
      </c>
      <c r="CF634" t="s">
        <v>125</v>
      </c>
      <c r="CG634" t="s">
        <v>125</v>
      </c>
      <c r="CH634" t="s">
        <v>125</v>
      </c>
      <c r="CI634" t="s">
        <v>125</v>
      </c>
      <c r="CJ634" t="s">
        <v>125</v>
      </c>
      <c r="CK634" t="s">
        <v>125</v>
      </c>
      <c r="CL634" t="s">
        <v>125</v>
      </c>
      <c r="CM634" t="s">
        <v>125</v>
      </c>
      <c r="CN634" t="s">
        <v>125</v>
      </c>
      <c r="CO634" t="s">
        <v>125</v>
      </c>
      <c r="CP634" t="s">
        <v>125</v>
      </c>
      <c r="CQ634">
        <v>0.65189900000000001</v>
      </c>
      <c r="CR634">
        <v>0.94047599999999998</v>
      </c>
      <c r="CS634">
        <v>43.459916</v>
      </c>
      <c r="CT634">
        <v>50</v>
      </c>
      <c r="CU634" t="s">
        <v>125</v>
      </c>
      <c r="CV634" t="s">
        <v>125</v>
      </c>
      <c r="CW634" t="s">
        <v>125</v>
      </c>
      <c r="CX634" t="s">
        <v>125</v>
      </c>
      <c r="CY634" t="s">
        <v>125</v>
      </c>
      <c r="CZ634" t="s">
        <v>125</v>
      </c>
      <c r="DA634">
        <v>15.314097</v>
      </c>
      <c r="DB634">
        <v>17.400950000000002</v>
      </c>
      <c r="DC634">
        <v>16.332519999999999</v>
      </c>
      <c r="DD634" t="s">
        <v>125</v>
      </c>
      <c r="DE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Q634" t="s">
        <v>126</v>
      </c>
    </row>
    <row r="635" spans="1:121" x14ac:dyDescent="0.15">
      <c r="A635">
        <v>2018</v>
      </c>
      <c r="B635" t="s">
        <v>167</v>
      </c>
      <c r="C635" t="str">
        <f t="shared" si="24"/>
        <v>0880011</v>
      </c>
      <c r="D635" t="s">
        <v>791</v>
      </c>
      <c r="E635" t="str">
        <f>"0880411"</f>
        <v>0880411</v>
      </c>
      <c r="F635" t="s">
        <v>328</v>
      </c>
      <c r="G635">
        <v>5</v>
      </c>
      <c r="H635">
        <v>6</v>
      </c>
      <c r="I635" t="s">
        <v>330</v>
      </c>
      <c r="J635" t="s">
        <v>331</v>
      </c>
      <c r="K635">
        <v>653.29335900000001</v>
      </c>
      <c r="L635">
        <v>950</v>
      </c>
      <c r="M635">
        <v>68.767722000000006</v>
      </c>
      <c r="N635">
        <v>3</v>
      </c>
      <c r="O635">
        <v>0</v>
      </c>
      <c r="P635">
        <v>66.780662000000007</v>
      </c>
      <c r="Q635">
        <v>44.520440999999998</v>
      </c>
      <c r="R635">
        <v>50</v>
      </c>
      <c r="S635">
        <v>62.064109000000002</v>
      </c>
      <c r="T635">
        <v>75</v>
      </c>
      <c r="U635">
        <v>41.376072999999998</v>
      </c>
      <c r="V635">
        <v>50</v>
      </c>
      <c r="W635">
        <v>63.784224999999999</v>
      </c>
      <c r="X635">
        <v>42.522815999999999</v>
      </c>
      <c r="Y635">
        <v>50</v>
      </c>
      <c r="Z635">
        <v>75</v>
      </c>
      <c r="AA635">
        <v>58.838788000000001</v>
      </c>
      <c r="AB635">
        <v>39.225858000000002</v>
      </c>
      <c r="AC635">
        <v>50</v>
      </c>
      <c r="AD635">
        <v>62.772550000000003</v>
      </c>
      <c r="AE635">
        <v>41.848367000000003</v>
      </c>
      <c r="AF635">
        <v>50</v>
      </c>
      <c r="AG635">
        <v>58.746217999999999</v>
      </c>
      <c r="AH635">
        <v>73.112903000000003</v>
      </c>
      <c r="AI635">
        <v>39.164144999999998</v>
      </c>
      <c r="AJ635">
        <v>50</v>
      </c>
      <c r="AK635">
        <v>12.93</v>
      </c>
      <c r="AL635">
        <v>16.16</v>
      </c>
      <c r="AM635">
        <v>14.36</v>
      </c>
      <c r="AN635">
        <v>0.59856699999999996</v>
      </c>
      <c r="AO635">
        <v>59.856692000000002</v>
      </c>
      <c r="AP635">
        <v>100</v>
      </c>
      <c r="AQ635">
        <v>0.58446699999999996</v>
      </c>
      <c r="AR635">
        <v>58.446657000000002</v>
      </c>
      <c r="AS635">
        <v>100</v>
      </c>
      <c r="AT635">
        <v>0.563801</v>
      </c>
      <c r="AU635">
        <v>0.68871700000000002</v>
      </c>
      <c r="AV635">
        <v>56.380054999999999</v>
      </c>
      <c r="AW635">
        <v>100</v>
      </c>
      <c r="AX635">
        <v>0.55737999999999999</v>
      </c>
      <c r="AY635">
        <v>0.65407199999999999</v>
      </c>
      <c r="AZ635">
        <v>55.738031999999997</v>
      </c>
      <c r="BA635">
        <v>100</v>
      </c>
      <c r="BB635">
        <v>0.55490899999999999</v>
      </c>
      <c r="BC635">
        <v>27.745436999999999</v>
      </c>
      <c r="BD635">
        <v>50</v>
      </c>
      <c r="BE635">
        <v>0.67390600000000001</v>
      </c>
      <c r="BF635">
        <v>33.695278999999999</v>
      </c>
      <c r="BG635">
        <v>50</v>
      </c>
      <c r="BH635">
        <v>0</v>
      </c>
      <c r="BI635">
        <v>0.99395800000000001</v>
      </c>
      <c r="BJ635">
        <v>0.99180299999999999</v>
      </c>
      <c r="BK635">
        <v>1</v>
      </c>
      <c r="BL635">
        <v>0.99395800000000001</v>
      </c>
      <c r="BM635">
        <v>0.99180299999999999</v>
      </c>
      <c r="BN635">
        <v>1</v>
      </c>
      <c r="BO635">
        <v>0.99390199999999995</v>
      </c>
      <c r="BP635">
        <v>0.99166699999999997</v>
      </c>
      <c r="BQ635">
        <v>1</v>
      </c>
      <c r="BR635">
        <v>0.108434</v>
      </c>
      <c r="BS635">
        <v>38.313253000000003</v>
      </c>
      <c r="BT635">
        <v>50</v>
      </c>
      <c r="BU635">
        <v>0.13524600000000001</v>
      </c>
      <c r="BV635">
        <v>32.95082</v>
      </c>
      <c r="BW635">
        <v>50</v>
      </c>
      <c r="BX635" t="s">
        <v>125</v>
      </c>
      <c r="BY635" t="s">
        <v>125</v>
      </c>
      <c r="BZ635" t="s">
        <v>125</v>
      </c>
      <c r="CA635" t="s">
        <v>125</v>
      </c>
      <c r="CB635" t="s">
        <v>125</v>
      </c>
      <c r="CC635" t="s">
        <v>125</v>
      </c>
      <c r="CD635" t="s">
        <v>125</v>
      </c>
      <c r="CE635" t="s">
        <v>125</v>
      </c>
      <c r="CF635" t="s">
        <v>125</v>
      </c>
      <c r="CG635" t="s">
        <v>125</v>
      </c>
      <c r="CH635" t="s">
        <v>125</v>
      </c>
      <c r="CI635" t="s">
        <v>125</v>
      </c>
      <c r="CJ635" t="s">
        <v>125</v>
      </c>
      <c r="CK635" t="s">
        <v>125</v>
      </c>
      <c r="CL635" t="s">
        <v>125</v>
      </c>
      <c r="CM635" t="s">
        <v>125</v>
      </c>
      <c r="CN635" t="s">
        <v>125</v>
      </c>
      <c r="CO635" t="s">
        <v>125</v>
      </c>
      <c r="CP635" t="s">
        <v>125</v>
      </c>
      <c r="CQ635">
        <v>0.62264200000000003</v>
      </c>
      <c r="CR635">
        <v>0.94642899999999996</v>
      </c>
      <c r="CS635">
        <v>41.509433999999999</v>
      </c>
      <c r="CT635">
        <v>50</v>
      </c>
      <c r="CU635" t="s">
        <v>125</v>
      </c>
      <c r="CV635" t="s">
        <v>125</v>
      </c>
      <c r="CW635" t="s">
        <v>125</v>
      </c>
      <c r="CX635" t="s">
        <v>125</v>
      </c>
      <c r="CY635" t="s">
        <v>125</v>
      </c>
      <c r="CZ635" t="s">
        <v>125</v>
      </c>
      <c r="DA635">
        <v>15.314097</v>
      </c>
      <c r="DB635">
        <v>17.400950000000002</v>
      </c>
      <c r="DC635">
        <v>16.332519999999999</v>
      </c>
      <c r="DD635" t="s">
        <v>125</v>
      </c>
      <c r="DE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Q635" t="s">
        <v>126</v>
      </c>
    </row>
    <row r="636" spans="1:121" x14ac:dyDescent="0.15">
      <c r="A636">
        <v>2018</v>
      </c>
      <c r="B636" t="s">
        <v>167</v>
      </c>
      <c r="C636" t="str">
        <f t="shared" si="24"/>
        <v>0880011</v>
      </c>
      <c r="D636" t="s">
        <v>792</v>
      </c>
      <c r="E636" t="str">
        <f>"0880511"</f>
        <v>0880511</v>
      </c>
      <c r="F636" t="s">
        <v>328</v>
      </c>
      <c r="G636" t="s">
        <v>339</v>
      </c>
      <c r="H636">
        <v>4</v>
      </c>
      <c r="I636" t="s">
        <v>330</v>
      </c>
      <c r="J636" t="s">
        <v>331</v>
      </c>
      <c r="K636">
        <v>668.26676399999997</v>
      </c>
      <c r="L636">
        <v>850</v>
      </c>
      <c r="M636">
        <v>78.619619</v>
      </c>
      <c r="N636">
        <v>2</v>
      </c>
      <c r="O636">
        <v>0</v>
      </c>
      <c r="P636">
        <v>73.357249999999993</v>
      </c>
      <c r="Q636">
        <v>48.904833000000004</v>
      </c>
      <c r="R636">
        <v>50</v>
      </c>
      <c r="S636">
        <v>68.384613000000002</v>
      </c>
      <c r="T636">
        <v>75</v>
      </c>
      <c r="U636">
        <v>45.589742000000001</v>
      </c>
      <c r="V636">
        <v>50</v>
      </c>
      <c r="W636">
        <v>69.350157999999993</v>
      </c>
      <c r="X636">
        <v>46.233438</v>
      </c>
      <c r="Y636">
        <v>50</v>
      </c>
      <c r="Z636">
        <v>75</v>
      </c>
      <c r="AA636">
        <v>64.991900000000001</v>
      </c>
      <c r="AB636">
        <v>43.327933000000002</v>
      </c>
      <c r="AC636">
        <v>50</v>
      </c>
      <c r="AD636" t="s">
        <v>125</v>
      </c>
      <c r="AE636" t="s">
        <v>125</v>
      </c>
      <c r="AF636" t="s">
        <v>125</v>
      </c>
      <c r="AG636" t="s">
        <v>125</v>
      </c>
      <c r="AH636" t="s">
        <v>125</v>
      </c>
      <c r="AI636" t="s">
        <v>125</v>
      </c>
      <c r="AJ636" t="s">
        <v>125</v>
      </c>
      <c r="AK636">
        <v>6.61</v>
      </c>
      <c r="AL636">
        <v>10</v>
      </c>
      <c r="AM636" t="s">
        <v>125</v>
      </c>
      <c r="AN636">
        <v>0.76614899999999997</v>
      </c>
      <c r="AO636">
        <v>76.614928000000006</v>
      </c>
      <c r="AP636">
        <v>100</v>
      </c>
      <c r="AQ636">
        <v>0.70997900000000003</v>
      </c>
      <c r="AR636">
        <v>70.997891999999993</v>
      </c>
      <c r="AS636">
        <v>100</v>
      </c>
      <c r="AT636">
        <v>0.75456100000000004</v>
      </c>
      <c r="AU636">
        <v>0.78630299999999997</v>
      </c>
      <c r="AV636">
        <v>75.456092999999996</v>
      </c>
      <c r="AW636">
        <v>100</v>
      </c>
      <c r="AX636">
        <v>0.68153399999999997</v>
      </c>
      <c r="AY636">
        <v>0.75944900000000004</v>
      </c>
      <c r="AZ636">
        <v>68.153389000000004</v>
      </c>
      <c r="BA636">
        <v>100</v>
      </c>
      <c r="BB636">
        <v>0.63157700000000006</v>
      </c>
      <c r="BC636">
        <v>31.578849999999999</v>
      </c>
      <c r="BD636">
        <v>50</v>
      </c>
      <c r="BE636">
        <v>0.72133100000000006</v>
      </c>
      <c r="BF636">
        <v>36.066547</v>
      </c>
      <c r="BG636">
        <v>50</v>
      </c>
      <c r="BH636">
        <v>0</v>
      </c>
      <c r="BI636">
        <v>0.98425200000000002</v>
      </c>
      <c r="BJ636">
        <v>0.97894700000000001</v>
      </c>
      <c r="BK636">
        <v>1</v>
      </c>
      <c r="BL636">
        <v>0.98425200000000002</v>
      </c>
      <c r="BM636">
        <v>0.97894700000000001</v>
      </c>
      <c r="BN636">
        <v>1</v>
      </c>
      <c r="BO636" t="s">
        <v>125</v>
      </c>
      <c r="BP636" t="s">
        <v>125</v>
      </c>
      <c r="BQ636" t="s">
        <v>125</v>
      </c>
      <c r="BR636">
        <v>7.5471999999999997E-2</v>
      </c>
      <c r="BS636">
        <v>44.905659999999997</v>
      </c>
      <c r="BT636">
        <v>50</v>
      </c>
      <c r="BU636">
        <v>9.9567000000000003E-2</v>
      </c>
      <c r="BV636">
        <v>40.086579999999998</v>
      </c>
      <c r="BW636">
        <v>50</v>
      </c>
      <c r="BX636" t="s">
        <v>125</v>
      </c>
      <c r="BY636" t="s">
        <v>125</v>
      </c>
      <c r="BZ636" t="s">
        <v>125</v>
      </c>
      <c r="CA636" t="s">
        <v>125</v>
      </c>
      <c r="CB636" t="s">
        <v>125</v>
      </c>
      <c r="CC636" t="s">
        <v>125</v>
      </c>
      <c r="CD636" t="s">
        <v>125</v>
      </c>
      <c r="CE636" t="s">
        <v>125</v>
      </c>
      <c r="CF636" t="s">
        <v>125</v>
      </c>
      <c r="CG636" t="s">
        <v>125</v>
      </c>
      <c r="CH636" t="s">
        <v>125</v>
      </c>
      <c r="CI636" t="s">
        <v>125</v>
      </c>
      <c r="CJ636" t="s">
        <v>125</v>
      </c>
      <c r="CK636" t="s">
        <v>125</v>
      </c>
      <c r="CL636" t="s">
        <v>125</v>
      </c>
      <c r="CM636" t="s">
        <v>125</v>
      </c>
      <c r="CN636" t="s">
        <v>125</v>
      </c>
      <c r="CO636" t="s">
        <v>125</v>
      </c>
      <c r="CP636" t="s">
        <v>125</v>
      </c>
      <c r="CQ636">
        <v>0.605263</v>
      </c>
      <c r="CR636">
        <v>1.0270269999999999</v>
      </c>
      <c r="CS636">
        <v>40.350876999999997</v>
      </c>
      <c r="CT636">
        <v>50</v>
      </c>
      <c r="CU636" t="s">
        <v>125</v>
      </c>
      <c r="CV636" t="s">
        <v>125</v>
      </c>
      <c r="CW636" t="s">
        <v>125</v>
      </c>
      <c r="CX636" t="s">
        <v>125</v>
      </c>
      <c r="CY636" t="s">
        <v>125</v>
      </c>
      <c r="CZ636" t="s">
        <v>125</v>
      </c>
      <c r="DA636">
        <v>15.314097</v>
      </c>
      <c r="DB636">
        <v>17.400950000000002</v>
      </c>
      <c r="DC636">
        <v>16.332519999999999</v>
      </c>
      <c r="DD636" t="s">
        <v>125</v>
      </c>
      <c r="DE636">
        <v>0</v>
      </c>
      <c r="DH636" t="s">
        <v>332</v>
      </c>
      <c r="DI636" t="s">
        <v>524</v>
      </c>
      <c r="DJ636">
        <v>0</v>
      </c>
      <c r="DK636">
        <v>0</v>
      </c>
      <c r="DL636">
        <v>0</v>
      </c>
      <c r="DM636">
        <v>1</v>
      </c>
      <c r="DN636">
        <v>0</v>
      </c>
      <c r="DO636">
        <v>0</v>
      </c>
      <c r="DQ636" t="s">
        <v>126</v>
      </c>
    </row>
    <row r="637" spans="1:121" x14ac:dyDescent="0.15">
      <c r="A637">
        <v>2018</v>
      </c>
      <c r="B637" t="s">
        <v>167</v>
      </c>
      <c r="C637" t="str">
        <f t="shared" si="24"/>
        <v>0880011</v>
      </c>
      <c r="D637" t="s">
        <v>793</v>
      </c>
      <c r="E637" t="str">
        <f>"0880311"</f>
        <v>0880311</v>
      </c>
      <c r="F637" t="s">
        <v>328</v>
      </c>
      <c r="G637" t="s">
        <v>339</v>
      </c>
      <c r="H637">
        <v>4</v>
      </c>
      <c r="J637" t="s">
        <v>331</v>
      </c>
      <c r="K637">
        <v>568.72582299999999</v>
      </c>
      <c r="L637">
        <v>750</v>
      </c>
      <c r="M637">
        <v>75.830110000000005</v>
      </c>
      <c r="N637">
        <v>2</v>
      </c>
      <c r="O637">
        <v>0</v>
      </c>
      <c r="P637">
        <v>71.924310000000006</v>
      </c>
      <c r="Q637">
        <v>47.949539999999999</v>
      </c>
      <c r="R637">
        <v>50</v>
      </c>
      <c r="S637">
        <v>65.446374000000006</v>
      </c>
      <c r="T637">
        <v>75</v>
      </c>
      <c r="U637">
        <v>43.630915999999999</v>
      </c>
      <c r="V637">
        <v>50</v>
      </c>
      <c r="W637">
        <v>71.552114000000003</v>
      </c>
      <c r="X637">
        <v>47.701410000000003</v>
      </c>
      <c r="Y637">
        <v>50</v>
      </c>
      <c r="Z637">
        <v>75</v>
      </c>
      <c r="AA637">
        <v>62.331724000000001</v>
      </c>
      <c r="AB637">
        <v>41.554482</v>
      </c>
      <c r="AC637">
        <v>50</v>
      </c>
      <c r="AD637" t="s">
        <v>125</v>
      </c>
      <c r="AE637" t="s">
        <v>125</v>
      </c>
      <c r="AF637" t="s">
        <v>125</v>
      </c>
      <c r="AG637" t="s">
        <v>125</v>
      </c>
      <c r="AH637" t="s">
        <v>125</v>
      </c>
      <c r="AI637" t="s">
        <v>125</v>
      </c>
      <c r="AJ637" t="s">
        <v>125</v>
      </c>
      <c r="AK637">
        <v>9.5500000000000007</v>
      </c>
      <c r="AL637">
        <v>12.66</v>
      </c>
      <c r="AM637" t="s">
        <v>125</v>
      </c>
      <c r="AN637">
        <v>0.65654900000000005</v>
      </c>
      <c r="AO637">
        <v>65.654917999999995</v>
      </c>
      <c r="AP637">
        <v>100</v>
      </c>
      <c r="AQ637">
        <v>0.78172299999999995</v>
      </c>
      <c r="AR637">
        <v>78.172281999999996</v>
      </c>
      <c r="AS637">
        <v>100</v>
      </c>
      <c r="AT637">
        <v>0.67332700000000001</v>
      </c>
      <c r="AU637">
        <v>0.63750399999999996</v>
      </c>
      <c r="AV637">
        <v>67.332684</v>
      </c>
      <c r="AW637">
        <v>100</v>
      </c>
      <c r="AX637">
        <v>0.70202299999999995</v>
      </c>
      <c r="AY637">
        <v>0.872193</v>
      </c>
      <c r="AZ637">
        <v>70.202297999999999</v>
      </c>
      <c r="BA637">
        <v>100</v>
      </c>
      <c r="BB637" t="s">
        <v>125</v>
      </c>
      <c r="BC637" t="s">
        <v>125</v>
      </c>
      <c r="BD637" t="s">
        <v>125</v>
      </c>
      <c r="BE637" t="s">
        <v>125</v>
      </c>
      <c r="BF637" t="s">
        <v>125</v>
      </c>
      <c r="BG637" t="s">
        <v>125</v>
      </c>
      <c r="BH637">
        <v>0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 t="s">
        <v>125</v>
      </c>
      <c r="BP637" t="s">
        <v>125</v>
      </c>
      <c r="BQ637" t="s">
        <v>125</v>
      </c>
      <c r="BR637">
        <v>5.6911000000000003E-2</v>
      </c>
      <c r="BS637">
        <v>48.617885999999999</v>
      </c>
      <c r="BT637">
        <v>50</v>
      </c>
      <c r="BU637">
        <v>8.3624000000000004E-2</v>
      </c>
      <c r="BV637">
        <v>43.275261</v>
      </c>
      <c r="BW637">
        <v>50</v>
      </c>
      <c r="BX637" t="s">
        <v>125</v>
      </c>
      <c r="BY637" t="s">
        <v>125</v>
      </c>
      <c r="BZ637" t="s">
        <v>125</v>
      </c>
      <c r="CA637" t="s">
        <v>125</v>
      </c>
      <c r="CB637" t="s">
        <v>125</v>
      </c>
      <c r="CC637" t="s">
        <v>125</v>
      </c>
      <c r="CD637" t="s">
        <v>125</v>
      </c>
      <c r="CE637" t="s">
        <v>125</v>
      </c>
      <c r="CF637" t="s">
        <v>125</v>
      </c>
      <c r="CG637" t="s">
        <v>125</v>
      </c>
      <c r="CH637" t="s">
        <v>125</v>
      </c>
      <c r="CI637" t="s">
        <v>125</v>
      </c>
      <c r="CJ637" t="s">
        <v>125</v>
      </c>
      <c r="CK637" t="s">
        <v>125</v>
      </c>
      <c r="CL637" t="s">
        <v>125</v>
      </c>
      <c r="CM637" t="s">
        <v>125</v>
      </c>
      <c r="CN637" t="s">
        <v>125</v>
      </c>
      <c r="CO637" t="s">
        <v>125</v>
      </c>
      <c r="CP637" t="s">
        <v>125</v>
      </c>
      <c r="CQ637">
        <v>0.43902400000000003</v>
      </c>
      <c r="CR637">
        <v>0.87234</v>
      </c>
      <c r="CS637">
        <v>14.634145999999999</v>
      </c>
      <c r="CT637">
        <v>50</v>
      </c>
      <c r="CU637" t="s">
        <v>125</v>
      </c>
      <c r="CV637" t="s">
        <v>125</v>
      </c>
      <c r="CW637" t="s">
        <v>125</v>
      </c>
      <c r="CX637" t="s">
        <v>125</v>
      </c>
      <c r="CY637" t="s">
        <v>125</v>
      </c>
      <c r="CZ637" t="s">
        <v>125</v>
      </c>
      <c r="DA637">
        <v>15.314097</v>
      </c>
      <c r="DB637">
        <v>17.400950000000002</v>
      </c>
      <c r="DC637">
        <v>16.332519999999999</v>
      </c>
      <c r="DD637" t="s">
        <v>125</v>
      </c>
      <c r="DE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Q637" t="s">
        <v>126</v>
      </c>
    </row>
    <row r="638" spans="1:121" x14ac:dyDescent="0.15">
      <c r="A638">
        <v>2018</v>
      </c>
      <c r="B638" t="s">
        <v>167</v>
      </c>
      <c r="C638" t="str">
        <f t="shared" si="24"/>
        <v>0880011</v>
      </c>
      <c r="D638" t="s">
        <v>794</v>
      </c>
      <c r="E638" t="str">
        <f>"0886111"</f>
        <v>0886111</v>
      </c>
      <c r="F638" t="s">
        <v>328</v>
      </c>
      <c r="G638">
        <v>9</v>
      </c>
      <c r="H638">
        <v>12</v>
      </c>
      <c r="J638" t="s">
        <v>331</v>
      </c>
      <c r="K638">
        <v>995.63450999999998</v>
      </c>
      <c r="L638">
        <v>1550</v>
      </c>
      <c r="M638">
        <v>64.234485000000006</v>
      </c>
      <c r="N638">
        <v>3</v>
      </c>
      <c r="O638">
        <v>0</v>
      </c>
      <c r="P638">
        <v>50.554219000000003</v>
      </c>
      <c r="Q638">
        <v>101.10843800000001</v>
      </c>
      <c r="R638">
        <v>150</v>
      </c>
      <c r="S638">
        <v>45.025925999999998</v>
      </c>
      <c r="T638">
        <v>57.793650999999997</v>
      </c>
      <c r="U638">
        <v>90.051851999999997</v>
      </c>
      <c r="V638">
        <v>150</v>
      </c>
      <c r="W638">
        <v>45.593929000000003</v>
      </c>
      <c r="X638">
        <v>91.187858000000006</v>
      </c>
      <c r="Y638">
        <v>150</v>
      </c>
      <c r="Z638">
        <v>51.376984</v>
      </c>
      <c r="AA638">
        <v>41.177778000000004</v>
      </c>
      <c r="AB638">
        <v>82.355556000000007</v>
      </c>
      <c r="AC638">
        <v>150</v>
      </c>
      <c r="AD638">
        <v>50.179859999999998</v>
      </c>
      <c r="AE638">
        <v>66.906480000000002</v>
      </c>
      <c r="AF638">
        <v>100</v>
      </c>
      <c r="AG638">
        <v>44.67953</v>
      </c>
      <c r="AH638">
        <v>57.660308000000001</v>
      </c>
      <c r="AI638">
        <v>59.572707000000001</v>
      </c>
      <c r="AJ638">
        <v>100</v>
      </c>
      <c r="AK638">
        <v>12.76</v>
      </c>
      <c r="AL638">
        <v>10.19</v>
      </c>
      <c r="AM638">
        <v>12.98</v>
      </c>
      <c r="AN638" t="s">
        <v>125</v>
      </c>
      <c r="AO638" t="s">
        <v>125</v>
      </c>
      <c r="AP638" t="s">
        <v>125</v>
      </c>
      <c r="AQ638" t="s">
        <v>125</v>
      </c>
      <c r="AR638" t="s">
        <v>125</v>
      </c>
      <c r="AS638" t="s">
        <v>125</v>
      </c>
      <c r="AT638" t="s">
        <v>125</v>
      </c>
      <c r="AU638" t="s">
        <v>125</v>
      </c>
      <c r="AV638" t="s">
        <v>125</v>
      </c>
      <c r="AW638" t="s">
        <v>125</v>
      </c>
      <c r="AX638" t="s">
        <v>125</v>
      </c>
      <c r="AY638" t="s">
        <v>125</v>
      </c>
      <c r="AZ638" t="s">
        <v>125</v>
      </c>
      <c r="BA638" t="s">
        <v>125</v>
      </c>
      <c r="BB638">
        <v>0.55625899999999995</v>
      </c>
      <c r="BC638">
        <v>27.812968999999999</v>
      </c>
      <c r="BD638">
        <v>50</v>
      </c>
      <c r="BE638">
        <v>0.68993499999999996</v>
      </c>
      <c r="BF638">
        <v>34.496752999999998</v>
      </c>
      <c r="BG638">
        <v>50</v>
      </c>
      <c r="BH638">
        <v>1</v>
      </c>
      <c r="BI638">
        <v>0.967638</v>
      </c>
      <c r="BJ638">
        <v>0.94444399999999995</v>
      </c>
      <c r="BK638">
        <v>1</v>
      </c>
      <c r="BL638">
        <v>0.967638</v>
      </c>
      <c r="BM638">
        <v>0.94444399999999995</v>
      </c>
      <c r="BN638">
        <v>1</v>
      </c>
      <c r="BO638">
        <v>0.98045599999999999</v>
      </c>
      <c r="BP638">
        <v>0.97206700000000001</v>
      </c>
      <c r="BQ638">
        <v>0.99218799999999996</v>
      </c>
      <c r="BR638">
        <v>0.233956</v>
      </c>
      <c r="BS638">
        <v>13.208773000000001</v>
      </c>
      <c r="BT638">
        <v>50</v>
      </c>
      <c r="BU638">
        <v>0.30311199999999999</v>
      </c>
      <c r="BV638">
        <v>0</v>
      </c>
      <c r="BW638">
        <v>50</v>
      </c>
      <c r="BX638">
        <v>0.70607600000000004</v>
      </c>
      <c r="BY638">
        <v>47.071702000000002</v>
      </c>
      <c r="BZ638">
        <v>50</v>
      </c>
      <c r="CA638">
        <v>0.25287399999999999</v>
      </c>
      <c r="CB638">
        <v>16.858238</v>
      </c>
      <c r="CC638">
        <v>50</v>
      </c>
      <c r="CD638">
        <v>0.819079</v>
      </c>
      <c r="CE638">
        <v>43.568029000000003</v>
      </c>
      <c r="CF638">
        <v>50</v>
      </c>
      <c r="CG638">
        <v>0.87254900000000002</v>
      </c>
      <c r="CH638">
        <v>92.824364000000003</v>
      </c>
      <c r="CI638">
        <v>100</v>
      </c>
      <c r="CJ638">
        <v>1</v>
      </c>
      <c r="CK638">
        <v>0.85051500000000002</v>
      </c>
      <c r="CL638">
        <v>90.480368999999996</v>
      </c>
      <c r="CM638">
        <v>100</v>
      </c>
      <c r="CN638">
        <v>0.64874600000000004</v>
      </c>
      <c r="CO638">
        <v>86.499403000000001</v>
      </c>
      <c r="CP638">
        <v>100</v>
      </c>
      <c r="CQ638">
        <v>0.383212</v>
      </c>
      <c r="CR638">
        <v>0.86163500000000004</v>
      </c>
      <c r="CS638">
        <v>12.773723</v>
      </c>
      <c r="CT638">
        <v>50</v>
      </c>
      <c r="CU638">
        <v>0.46628799999999998</v>
      </c>
      <c r="CV638">
        <v>38.857298</v>
      </c>
      <c r="CW638">
        <v>50</v>
      </c>
      <c r="CX638">
        <v>0.85051500000000002</v>
      </c>
      <c r="CY638">
        <v>0.94</v>
      </c>
      <c r="CZ638">
        <v>8.9484999999999995E-2</v>
      </c>
      <c r="DA638">
        <v>15.314097</v>
      </c>
      <c r="DB638">
        <v>17.400950000000002</v>
      </c>
      <c r="DC638">
        <v>16.332519999999999</v>
      </c>
      <c r="DD638">
        <v>7.9891730000000001</v>
      </c>
      <c r="DE638">
        <v>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Q638" t="s">
        <v>126</v>
      </c>
    </row>
    <row r="639" spans="1:121" x14ac:dyDescent="0.15">
      <c r="A639">
        <v>2018</v>
      </c>
      <c r="B639" t="s">
        <v>167</v>
      </c>
      <c r="C639" t="str">
        <f t="shared" si="24"/>
        <v>0880011</v>
      </c>
      <c r="D639" t="s">
        <v>795</v>
      </c>
      <c r="E639" t="str">
        <f>"0880611"</f>
        <v>0880611</v>
      </c>
      <c r="F639" t="s">
        <v>328</v>
      </c>
      <c r="G639" t="s">
        <v>339</v>
      </c>
      <c r="H639">
        <v>4</v>
      </c>
      <c r="I639" t="s">
        <v>330</v>
      </c>
      <c r="J639" t="s">
        <v>331</v>
      </c>
      <c r="K639">
        <v>626.13421400000004</v>
      </c>
      <c r="L639">
        <v>850</v>
      </c>
      <c r="M639">
        <v>73.662848999999994</v>
      </c>
      <c r="N639">
        <v>2</v>
      </c>
      <c r="O639">
        <v>0</v>
      </c>
      <c r="P639">
        <v>69.852433000000005</v>
      </c>
      <c r="Q639">
        <v>46.568289</v>
      </c>
      <c r="R639">
        <v>50</v>
      </c>
      <c r="S639">
        <v>66.551013999999995</v>
      </c>
      <c r="T639">
        <v>75</v>
      </c>
      <c r="U639">
        <v>44.367342000000001</v>
      </c>
      <c r="V639">
        <v>50</v>
      </c>
      <c r="W639">
        <v>67.134181999999996</v>
      </c>
      <c r="X639">
        <v>44.756121</v>
      </c>
      <c r="Y639">
        <v>50</v>
      </c>
      <c r="Z639">
        <v>75</v>
      </c>
      <c r="AA639">
        <v>62.332428</v>
      </c>
      <c r="AB639">
        <v>41.554952</v>
      </c>
      <c r="AC639">
        <v>50</v>
      </c>
      <c r="AD639" t="s">
        <v>125</v>
      </c>
      <c r="AE639" t="s">
        <v>125</v>
      </c>
      <c r="AF639" t="s">
        <v>125</v>
      </c>
      <c r="AG639" t="s">
        <v>125</v>
      </c>
      <c r="AH639" t="s">
        <v>125</v>
      </c>
      <c r="AI639" t="s">
        <v>125</v>
      </c>
      <c r="AJ639" t="s">
        <v>125</v>
      </c>
      <c r="AK639">
        <v>8.44</v>
      </c>
      <c r="AL639">
        <v>12.66</v>
      </c>
      <c r="AM639" t="s">
        <v>125</v>
      </c>
      <c r="AN639">
        <v>0.59598399999999996</v>
      </c>
      <c r="AO639">
        <v>59.59843</v>
      </c>
      <c r="AP639">
        <v>100</v>
      </c>
      <c r="AQ639">
        <v>0.67962599999999995</v>
      </c>
      <c r="AR639">
        <v>67.962633999999994</v>
      </c>
      <c r="AS639">
        <v>100</v>
      </c>
      <c r="AT639">
        <v>0.66302399999999995</v>
      </c>
      <c r="AU639" t="s">
        <v>125</v>
      </c>
      <c r="AV639">
        <v>66.302364999999995</v>
      </c>
      <c r="AW639">
        <v>100</v>
      </c>
      <c r="AX639">
        <v>0.66430800000000001</v>
      </c>
      <c r="AY639" t="s">
        <v>125</v>
      </c>
      <c r="AZ639">
        <v>66.430772000000005</v>
      </c>
      <c r="BA639">
        <v>100</v>
      </c>
      <c r="BB639">
        <v>0.78576500000000005</v>
      </c>
      <c r="BC639">
        <v>39.288260999999999</v>
      </c>
      <c r="BD639">
        <v>50</v>
      </c>
      <c r="BE639">
        <v>0.57089000000000001</v>
      </c>
      <c r="BF639">
        <v>28.544492000000002</v>
      </c>
      <c r="BG639">
        <v>50</v>
      </c>
      <c r="BH639">
        <v>0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 t="s">
        <v>125</v>
      </c>
      <c r="BP639" t="s">
        <v>125</v>
      </c>
      <c r="BQ639" t="s">
        <v>125</v>
      </c>
      <c r="BR639">
        <v>0.105263</v>
      </c>
      <c r="BS639">
        <v>38.947367999999997</v>
      </c>
      <c r="BT639">
        <v>50</v>
      </c>
      <c r="BU639">
        <v>0.12307700000000001</v>
      </c>
      <c r="BV639">
        <v>35.384614999999997</v>
      </c>
      <c r="BW639">
        <v>50</v>
      </c>
      <c r="BX639" t="s">
        <v>125</v>
      </c>
      <c r="BY639" t="s">
        <v>125</v>
      </c>
      <c r="BZ639" t="s">
        <v>125</v>
      </c>
      <c r="CA639" t="s">
        <v>125</v>
      </c>
      <c r="CB639" t="s">
        <v>125</v>
      </c>
      <c r="CC639" t="s">
        <v>125</v>
      </c>
      <c r="CD639" t="s">
        <v>125</v>
      </c>
      <c r="CE639" t="s">
        <v>125</v>
      </c>
      <c r="CF639" t="s">
        <v>125</v>
      </c>
      <c r="CG639" t="s">
        <v>125</v>
      </c>
      <c r="CH639" t="s">
        <v>125</v>
      </c>
      <c r="CI639" t="s">
        <v>125</v>
      </c>
      <c r="CJ639" t="s">
        <v>125</v>
      </c>
      <c r="CK639" t="s">
        <v>125</v>
      </c>
      <c r="CL639" t="s">
        <v>125</v>
      </c>
      <c r="CM639" t="s">
        <v>125</v>
      </c>
      <c r="CN639" t="s">
        <v>125</v>
      </c>
      <c r="CO639" t="s">
        <v>125</v>
      </c>
      <c r="CP639" t="s">
        <v>125</v>
      </c>
      <c r="CQ639">
        <v>0.69642899999999996</v>
      </c>
      <c r="CR639">
        <v>1.0769230000000001</v>
      </c>
      <c r="CS639">
        <v>46.428570999999998</v>
      </c>
      <c r="CT639">
        <v>50</v>
      </c>
      <c r="CU639" t="s">
        <v>125</v>
      </c>
      <c r="CV639" t="s">
        <v>125</v>
      </c>
      <c r="CW639" t="s">
        <v>125</v>
      </c>
      <c r="CX639" t="s">
        <v>125</v>
      </c>
      <c r="CY639" t="s">
        <v>125</v>
      </c>
      <c r="CZ639" t="s">
        <v>125</v>
      </c>
      <c r="DA639">
        <v>15.314097</v>
      </c>
      <c r="DB639">
        <v>17.400950000000002</v>
      </c>
      <c r="DC639">
        <v>16.332519999999999</v>
      </c>
      <c r="DD639" t="s">
        <v>125</v>
      </c>
      <c r="DE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Q639" t="s">
        <v>126</v>
      </c>
    </row>
    <row r="640" spans="1:121" x14ac:dyDescent="0.15">
      <c r="A640">
        <v>2018</v>
      </c>
      <c r="B640" t="s">
        <v>167</v>
      </c>
      <c r="C640" t="str">
        <f t="shared" si="24"/>
        <v>0880011</v>
      </c>
      <c r="D640" t="s">
        <v>796</v>
      </c>
      <c r="E640" t="str">
        <f>"0880711"</f>
        <v>0880711</v>
      </c>
      <c r="F640" t="s">
        <v>328</v>
      </c>
      <c r="G640" t="s">
        <v>339</v>
      </c>
      <c r="H640">
        <v>4</v>
      </c>
      <c r="I640" t="s">
        <v>330</v>
      </c>
      <c r="J640" t="s">
        <v>331</v>
      </c>
      <c r="K640">
        <v>662.43677700000001</v>
      </c>
      <c r="L640">
        <v>750</v>
      </c>
      <c r="M640">
        <v>88.324904000000004</v>
      </c>
      <c r="N640">
        <v>1</v>
      </c>
      <c r="O640">
        <v>0</v>
      </c>
      <c r="P640">
        <v>71.404742999999996</v>
      </c>
      <c r="Q640">
        <v>47.603161999999998</v>
      </c>
      <c r="R640">
        <v>50</v>
      </c>
      <c r="S640">
        <v>67.529375000000002</v>
      </c>
      <c r="T640">
        <v>75</v>
      </c>
      <c r="U640">
        <v>45.019584000000002</v>
      </c>
      <c r="V640">
        <v>50</v>
      </c>
      <c r="W640">
        <v>74.644191000000006</v>
      </c>
      <c r="X640">
        <v>49.762794</v>
      </c>
      <c r="Y640">
        <v>50</v>
      </c>
      <c r="Z640">
        <v>75</v>
      </c>
      <c r="AA640">
        <v>69.74709</v>
      </c>
      <c r="AB640">
        <v>46.498060000000002</v>
      </c>
      <c r="AC640">
        <v>50</v>
      </c>
      <c r="AD640" t="s">
        <v>125</v>
      </c>
      <c r="AE640" t="s">
        <v>125</v>
      </c>
      <c r="AF640" t="s">
        <v>125</v>
      </c>
      <c r="AG640" t="s">
        <v>125</v>
      </c>
      <c r="AH640" t="s">
        <v>125</v>
      </c>
      <c r="AI640" t="s">
        <v>125</v>
      </c>
      <c r="AJ640" t="s">
        <v>125</v>
      </c>
      <c r="AK640">
        <v>7.47</v>
      </c>
      <c r="AL640">
        <v>5.25</v>
      </c>
      <c r="AM640" t="s">
        <v>125</v>
      </c>
      <c r="AN640">
        <v>0.72038100000000005</v>
      </c>
      <c r="AO640">
        <v>72.038139999999999</v>
      </c>
      <c r="AP640">
        <v>100</v>
      </c>
      <c r="AQ640">
        <v>1</v>
      </c>
      <c r="AR640">
        <v>100</v>
      </c>
      <c r="AS640">
        <v>100</v>
      </c>
      <c r="AT640">
        <v>0.679728</v>
      </c>
      <c r="AU640">
        <v>0.77241800000000005</v>
      </c>
      <c r="AV640">
        <v>67.972764999999995</v>
      </c>
      <c r="AW640">
        <v>100</v>
      </c>
      <c r="AX640">
        <v>0.97959399999999996</v>
      </c>
      <c r="AY640">
        <v>1</v>
      </c>
      <c r="AZ640">
        <v>97.959387000000007</v>
      </c>
      <c r="BA640">
        <v>100</v>
      </c>
      <c r="BB640" t="s">
        <v>125</v>
      </c>
      <c r="BC640" t="s">
        <v>125</v>
      </c>
      <c r="BD640" t="s">
        <v>125</v>
      </c>
      <c r="BE640" t="s">
        <v>125</v>
      </c>
      <c r="BF640" t="s">
        <v>125</v>
      </c>
      <c r="BG640" t="s">
        <v>125</v>
      </c>
      <c r="BH640">
        <v>0</v>
      </c>
      <c r="BI640">
        <v>0.99166699999999997</v>
      </c>
      <c r="BJ640">
        <v>0.98571399999999998</v>
      </c>
      <c r="BK640">
        <v>1</v>
      </c>
      <c r="BL640">
        <v>0.99166699999999997</v>
      </c>
      <c r="BM640">
        <v>0.98571399999999998</v>
      </c>
      <c r="BN640">
        <v>1</v>
      </c>
      <c r="BO640" t="s">
        <v>125</v>
      </c>
      <c r="BP640" t="s">
        <v>125</v>
      </c>
      <c r="BQ640" t="s">
        <v>125</v>
      </c>
      <c r="BR640">
        <v>7.0632E-2</v>
      </c>
      <c r="BS640">
        <v>45.873606000000002</v>
      </c>
      <c r="BT640">
        <v>50</v>
      </c>
      <c r="BU640">
        <v>9.8765000000000006E-2</v>
      </c>
      <c r="BV640">
        <v>40.246913999999997</v>
      </c>
      <c r="BW640">
        <v>50</v>
      </c>
      <c r="BX640" t="s">
        <v>125</v>
      </c>
      <c r="BY640" t="s">
        <v>125</v>
      </c>
      <c r="BZ640" t="s">
        <v>125</v>
      </c>
      <c r="CA640" t="s">
        <v>125</v>
      </c>
      <c r="CB640" t="s">
        <v>125</v>
      </c>
      <c r="CC640" t="s">
        <v>125</v>
      </c>
      <c r="CD640" t="s">
        <v>125</v>
      </c>
      <c r="CE640" t="s">
        <v>125</v>
      </c>
      <c r="CF640" t="s">
        <v>125</v>
      </c>
      <c r="CG640" t="s">
        <v>125</v>
      </c>
      <c r="CH640" t="s">
        <v>125</v>
      </c>
      <c r="CI640" t="s">
        <v>125</v>
      </c>
      <c r="CJ640" t="s">
        <v>125</v>
      </c>
      <c r="CK640" t="s">
        <v>125</v>
      </c>
      <c r="CL640" t="s">
        <v>125</v>
      </c>
      <c r="CM640" t="s">
        <v>125</v>
      </c>
      <c r="CN640" t="s">
        <v>125</v>
      </c>
      <c r="CO640" t="s">
        <v>125</v>
      </c>
      <c r="CP640" t="s">
        <v>125</v>
      </c>
      <c r="CQ640">
        <v>0.74193500000000001</v>
      </c>
      <c r="CR640">
        <v>0.96875</v>
      </c>
      <c r="CS640">
        <v>49.462366000000003</v>
      </c>
      <c r="CT640">
        <v>50</v>
      </c>
      <c r="CU640" t="s">
        <v>125</v>
      </c>
      <c r="CV640" t="s">
        <v>125</v>
      </c>
      <c r="CW640" t="s">
        <v>125</v>
      </c>
      <c r="CX640" t="s">
        <v>125</v>
      </c>
      <c r="CY640" t="s">
        <v>125</v>
      </c>
      <c r="CZ640" t="s">
        <v>125</v>
      </c>
      <c r="DA640">
        <v>15.314097</v>
      </c>
      <c r="DB640">
        <v>17.400950000000002</v>
      </c>
      <c r="DC640">
        <v>16.332519999999999</v>
      </c>
      <c r="DD640" t="s">
        <v>125</v>
      </c>
      <c r="DE640">
        <v>0</v>
      </c>
      <c r="DH640" t="s">
        <v>332</v>
      </c>
      <c r="DI640" t="s">
        <v>797</v>
      </c>
      <c r="DJ640">
        <v>1</v>
      </c>
      <c r="DK640">
        <v>0</v>
      </c>
      <c r="DL640">
        <v>1</v>
      </c>
      <c r="DM640">
        <v>0</v>
      </c>
      <c r="DN640">
        <v>1</v>
      </c>
      <c r="DO640">
        <v>0</v>
      </c>
      <c r="DQ640" t="s">
        <v>126</v>
      </c>
    </row>
    <row r="641" spans="1:121" x14ac:dyDescent="0.15">
      <c r="A641">
        <v>2018</v>
      </c>
      <c r="B641" t="s">
        <v>166</v>
      </c>
      <c r="C641" t="str">
        <f t="shared" ref="C641:C654" si="25">"0890011"</f>
        <v>0890011</v>
      </c>
      <c r="D641" t="s">
        <v>798</v>
      </c>
      <c r="E641" t="str">
        <f>"0890311"</f>
        <v>0890311</v>
      </c>
      <c r="F641" t="s">
        <v>328</v>
      </c>
      <c r="G641" t="s">
        <v>339</v>
      </c>
      <c r="H641">
        <v>5</v>
      </c>
      <c r="I641" t="s">
        <v>336</v>
      </c>
      <c r="J641" t="s">
        <v>331</v>
      </c>
      <c r="K641">
        <v>493.71169400000002</v>
      </c>
      <c r="L641">
        <v>950</v>
      </c>
      <c r="M641">
        <v>51.969652000000004</v>
      </c>
      <c r="N641">
        <v>4</v>
      </c>
      <c r="O641">
        <v>0</v>
      </c>
      <c r="P641">
        <v>55.507002999999997</v>
      </c>
      <c r="Q641">
        <v>37.004669</v>
      </c>
      <c r="R641">
        <v>50</v>
      </c>
      <c r="S641">
        <v>54.465823999999998</v>
      </c>
      <c r="T641" t="s">
        <v>125</v>
      </c>
      <c r="U641">
        <v>36.310549000000002</v>
      </c>
      <c r="V641">
        <v>50</v>
      </c>
      <c r="W641">
        <v>44.982605999999997</v>
      </c>
      <c r="X641">
        <v>29.988403999999999</v>
      </c>
      <c r="Y641">
        <v>50</v>
      </c>
      <c r="Z641" t="s">
        <v>125</v>
      </c>
      <c r="AA641">
        <v>44.025736999999999</v>
      </c>
      <c r="AB641">
        <v>29.350491999999999</v>
      </c>
      <c r="AC641">
        <v>50</v>
      </c>
      <c r="AD641">
        <v>47.108587</v>
      </c>
      <c r="AE641">
        <v>31.405725</v>
      </c>
      <c r="AF641">
        <v>50</v>
      </c>
      <c r="AG641">
        <v>46.556925999999997</v>
      </c>
      <c r="AH641" t="s">
        <v>125</v>
      </c>
      <c r="AI641">
        <v>31.037951</v>
      </c>
      <c r="AJ641">
        <v>50</v>
      </c>
      <c r="AK641" t="s">
        <v>125</v>
      </c>
      <c r="AL641" t="s">
        <v>125</v>
      </c>
      <c r="AM641" t="s">
        <v>125</v>
      </c>
      <c r="AN641">
        <v>0.50625100000000001</v>
      </c>
      <c r="AO641">
        <v>50.625053000000001</v>
      </c>
      <c r="AP641">
        <v>100</v>
      </c>
      <c r="AQ641">
        <v>0.375469</v>
      </c>
      <c r="AR641">
        <v>37.546878999999997</v>
      </c>
      <c r="AS641">
        <v>100</v>
      </c>
      <c r="AT641">
        <v>0.494199</v>
      </c>
      <c r="AU641" t="s">
        <v>125</v>
      </c>
      <c r="AV641">
        <v>49.419853000000003</v>
      </c>
      <c r="AW641">
        <v>100</v>
      </c>
      <c r="AX641">
        <v>0.35979499999999998</v>
      </c>
      <c r="AY641" t="s">
        <v>125</v>
      </c>
      <c r="AZ641">
        <v>35.979525000000002</v>
      </c>
      <c r="BA641">
        <v>100</v>
      </c>
      <c r="BB641">
        <v>0.457675</v>
      </c>
      <c r="BC641">
        <v>22.883724999999998</v>
      </c>
      <c r="BD641">
        <v>50</v>
      </c>
      <c r="BE641">
        <v>0.39414500000000002</v>
      </c>
      <c r="BF641">
        <v>19.707270999999999</v>
      </c>
      <c r="BG641">
        <v>50</v>
      </c>
      <c r="BH641">
        <v>0</v>
      </c>
      <c r="BI641">
        <v>1</v>
      </c>
      <c r="BJ641">
        <v>1</v>
      </c>
      <c r="BK641" t="s">
        <v>125</v>
      </c>
      <c r="BL641">
        <v>0.99604700000000002</v>
      </c>
      <c r="BM641">
        <v>0.99574499999999999</v>
      </c>
      <c r="BN641" t="s">
        <v>125</v>
      </c>
      <c r="BO641">
        <v>1</v>
      </c>
      <c r="BP641">
        <v>1</v>
      </c>
      <c r="BQ641" t="s">
        <v>125</v>
      </c>
      <c r="BR641">
        <v>0.137712</v>
      </c>
      <c r="BS641">
        <v>32.457627000000002</v>
      </c>
      <c r="BT641">
        <v>50</v>
      </c>
      <c r="BU641">
        <v>0.14285700000000001</v>
      </c>
      <c r="BV641">
        <v>31.428571000000002</v>
      </c>
      <c r="BW641">
        <v>50</v>
      </c>
      <c r="BX641" t="s">
        <v>125</v>
      </c>
      <c r="BY641" t="s">
        <v>125</v>
      </c>
      <c r="BZ641" t="s">
        <v>125</v>
      </c>
      <c r="CA641" t="s">
        <v>125</v>
      </c>
      <c r="CB641" t="s">
        <v>125</v>
      </c>
      <c r="CC641" t="s">
        <v>125</v>
      </c>
      <c r="CD641" t="s">
        <v>125</v>
      </c>
      <c r="CE641" t="s">
        <v>125</v>
      </c>
      <c r="CF641" t="s">
        <v>125</v>
      </c>
      <c r="CG641" t="s">
        <v>125</v>
      </c>
      <c r="CH641" t="s">
        <v>125</v>
      </c>
      <c r="CI641" t="s">
        <v>125</v>
      </c>
      <c r="CJ641" t="s">
        <v>125</v>
      </c>
      <c r="CK641" t="s">
        <v>125</v>
      </c>
      <c r="CL641" t="s">
        <v>125</v>
      </c>
      <c r="CM641" t="s">
        <v>125</v>
      </c>
      <c r="CN641" t="s">
        <v>125</v>
      </c>
      <c r="CO641" t="s">
        <v>125</v>
      </c>
      <c r="CP641" t="s">
        <v>125</v>
      </c>
      <c r="CQ641">
        <v>0.27848099999999998</v>
      </c>
      <c r="CR641">
        <v>1.0259739999999999</v>
      </c>
      <c r="CS641">
        <v>18.565401000000001</v>
      </c>
      <c r="CT641">
        <v>50</v>
      </c>
      <c r="CU641" t="s">
        <v>125</v>
      </c>
      <c r="CV641" t="s">
        <v>125</v>
      </c>
      <c r="CW641" t="s">
        <v>125</v>
      </c>
      <c r="CX641" t="s">
        <v>125</v>
      </c>
      <c r="CY641" t="s">
        <v>125</v>
      </c>
      <c r="CZ641" t="s">
        <v>125</v>
      </c>
      <c r="DA641">
        <v>15.314097</v>
      </c>
      <c r="DB641">
        <v>17.400950000000002</v>
      </c>
      <c r="DC641">
        <v>16.332519999999999</v>
      </c>
      <c r="DD641" t="s">
        <v>125</v>
      </c>
      <c r="DE641">
        <v>0</v>
      </c>
      <c r="DF641" t="s">
        <v>376</v>
      </c>
      <c r="DG641" t="s">
        <v>377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Q641" t="s">
        <v>126</v>
      </c>
    </row>
    <row r="642" spans="1:121" x14ac:dyDescent="0.15">
      <c r="A642">
        <v>2018</v>
      </c>
      <c r="B642" t="s">
        <v>166</v>
      </c>
      <c r="C642" t="str">
        <f t="shared" si="25"/>
        <v>0890011</v>
      </c>
      <c r="D642" t="s">
        <v>799</v>
      </c>
      <c r="E642" t="str">
        <f>"0891111"</f>
        <v>0891111</v>
      </c>
      <c r="F642" t="s">
        <v>328</v>
      </c>
      <c r="G642" t="s">
        <v>329</v>
      </c>
      <c r="H642">
        <v>8</v>
      </c>
      <c r="I642" t="s">
        <v>336</v>
      </c>
      <c r="J642" t="s">
        <v>331</v>
      </c>
      <c r="K642">
        <v>543.12550999999996</v>
      </c>
      <c r="L642">
        <v>1000</v>
      </c>
      <c r="M642">
        <v>54.312550999999999</v>
      </c>
      <c r="N642">
        <v>3</v>
      </c>
      <c r="O642">
        <v>0</v>
      </c>
      <c r="P642">
        <v>52.968454000000001</v>
      </c>
      <c r="Q642">
        <v>35.312303</v>
      </c>
      <c r="R642">
        <v>50</v>
      </c>
      <c r="S642">
        <v>51.783684999999998</v>
      </c>
      <c r="T642">
        <v>63.832557999999999</v>
      </c>
      <c r="U642">
        <v>34.522457000000003</v>
      </c>
      <c r="V642">
        <v>50</v>
      </c>
      <c r="W642">
        <v>43.312918000000003</v>
      </c>
      <c r="X642">
        <v>28.875278999999999</v>
      </c>
      <c r="Y642">
        <v>50</v>
      </c>
      <c r="Z642">
        <v>56.500658999999999</v>
      </c>
      <c r="AA642">
        <v>41.862814</v>
      </c>
      <c r="AB642">
        <v>27.908542000000001</v>
      </c>
      <c r="AC642">
        <v>50</v>
      </c>
      <c r="AD642">
        <v>51.224550999999998</v>
      </c>
      <c r="AE642">
        <v>34.149701</v>
      </c>
      <c r="AF642">
        <v>50</v>
      </c>
      <c r="AG642">
        <v>50.533451999999997</v>
      </c>
      <c r="AH642" t="s">
        <v>125</v>
      </c>
      <c r="AI642">
        <v>33.688968000000003</v>
      </c>
      <c r="AJ642">
        <v>50</v>
      </c>
      <c r="AK642">
        <v>12.04</v>
      </c>
      <c r="AL642">
        <v>14.63</v>
      </c>
      <c r="AM642" t="s">
        <v>125</v>
      </c>
      <c r="AN642">
        <v>0.45379199999999997</v>
      </c>
      <c r="AO642">
        <v>45.379151999999998</v>
      </c>
      <c r="AP642">
        <v>100</v>
      </c>
      <c r="AQ642">
        <v>0.40656599999999998</v>
      </c>
      <c r="AR642">
        <v>40.656565999999998</v>
      </c>
      <c r="AS642">
        <v>100</v>
      </c>
      <c r="AT642">
        <v>0.45784399999999997</v>
      </c>
      <c r="AU642">
        <v>0.41491</v>
      </c>
      <c r="AV642">
        <v>45.784365000000001</v>
      </c>
      <c r="AW642">
        <v>100</v>
      </c>
      <c r="AX642">
        <v>0.39768100000000001</v>
      </c>
      <c r="AY642">
        <v>0.49096600000000001</v>
      </c>
      <c r="AZ642">
        <v>39.768143000000002</v>
      </c>
      <c r="BA642">
        <v>100</v>
      </c>
      <c r="BB642">
        <v>0.50509000000000004</v>
      </c>
      <c r="BC642">
        <v>25.254474999999999</v>
      </c>
      <c r="BD642">
        <v>50</v>
      </c>
      <c r="BE642">
        <v>0.48678300000000002</v>
      </c>
      <c r="BF642">
        <v>24.339169999999999</v>
      </c>
      <c r="BG642">
        <v>50</v>
      </c>
      <c r="BH642">
        <v>0</v>
      </c>
      <c r="BI642">
        <v>0.99638300000000002</v>
      </c>
      <c r="BJ642">
        <v>0.99599199999999999</v>
      </c>
      <c r="BK642">
        <v>1</v>
      </c>
      <c r="BL642">
        <v>0.98914999999999997</v>
      </c>
      <c r="BM642">
        <v>0.98797599999999997</v>
      </c>
      <c r="BN642">
        <v>1</v>
      </c>
      <c r="BO642">
        <v>1</v>
      </c>
      <c r="BP642">
        <v>1</v>
      </c>
      <c r="BQ642" t="s">
        <v>125</v>
      </c>
      <c r="BR642">
        <v>9.3284000000000006E-2</v>
      </c>
      <c r="BS642">
        <v>41.343283999999997</v>
      </c>
      <c r="BT642">
        <v>50</v>
      </c>
      <c r="BU642">
        <v>0.101865</v>
      </c>
      <c r="BV642">
        <v>39.626973</v>
      </c>
      <c r="BW642">
        <v>50</v>
      </c>
      <c r="BX642" t="s">
        <v>125</v>
      </c>
      <c r="BY642" t="s">
        <v>125</v>
      </c>
      <c r="BZ642" t="s">
        <v>125</v>
      </c>
      <c r="CA642" t="s">
        <v>125</v>
      </c>
      <c r="CB642" t="s">
        <v>125</v>
      </c>
      <c r="CC642" t="s">
        <v>125</v>
      </c>
      <c r="CD642">
        <v>0.75</v>
      </c>
      <c r="CE642">
        <v>39.893616999999999</v>
      </c>
      <c r="CF642">
        <v>50</v>
      </c>
      <c r="CG642" t="s">
        <v>125</v>
      </c>
      <c r="CH642" t="s">
        <v>125</v>
      </c>
      <c r="CI642" t="s">
        <v>125</v>
      </c>
      <c r="CJ642" t="s">
        <v>125</v>
      </c>
      <c r="CK642" t="s">
        <v>125</v>
      </c>
      <c r="CL642" t="s">
        <v>125</v>
      </c>
      <c r="CM642" t="s">
        <v>125</v>
      </c>
      <c r="CN642" t="s">
        <v>125</v>
      </c>
      <c r="CO642" t="s">
        <v>125</v>
      </c>
      <c r="CP642" t="s">
        <v>125</v>
      </c>
      <c r="CQ642">
        <v>0.39735100000000001</v>
      </c>
      <c r="CR642">
        <v>0.55311399999999999</v>
      </c>
      <c r="CS642">
        <v>6.6225170000000002</v>
      </c>
      <c r="CT642">
        <v>50</v>
      </c>
      <c r="CU642" t="s">
        <v>125</v>
      </c>
      <c r="CV642" t="s">
        <v>125</v>
      </c>
      <c r="CW642" t="s">
        <v>125</v>
      </c>
      <c r="CX642" t="s">
        <v>125</v>
      </c>
      <c r="CY642" t="s">
        <v>125</v>
      </c>
      <c r="CZ642" t="s">
        <v>125</v>
      </c>
      <c r="DA642">
        <v>15.314097</v>
      </c>
      <c r="DB642">
        <v>17.400950000000002</v>
      </c>
      <c r="DC642">
        <v>16.332519999999999</v>
      </c>
      <c r="DD642" t="s">
        <v>125</v>
      </c>
      <c r="DE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Q642" t="s">
        <v>126</v>
      </c>
    </row>
    <row r="643" spans="1:121" x14ac:dyDescent="0.15">
      <c r="A643">
        <v>2018</v>
      </c>
      <c r="B643" t="s">
        <v>166</v>
      </c>
      <c r="C643" t="str">
        <f t="shared" si="25"/>
        <v>0890011</v>
      </c>
      <c r="D643" t="s">
        <v>800</v>
      </c>
      <c r="E643" t="str">
        <f>"0890511"</f>
        <v>0890511</v>
      </c>
      <c r="F643" t="s">
        <v>328</v>
      </c>
      <c r="G643" t="s">
        <v>329</v>
      </c>
      <c r="H643">
        <v>5</v>
      </c>
      <c r="I643" t="s">
        <v>336</v>
      </c>
      <c r="J643" t="s">
        <v>331</v>
      </c>
      <c r="K643">
        <v>583.90251499999999</v>
      </c>
      <c r="L643">
        <v>950</v>
      </c>
      <c r="M643">
        <v>61.463422999999999</v>
      </c>
      <c r="N643">
        <v>3</v>
      </c>
      <c r="O643">
        <v>0</v>
      </c>
      <c r="P643">
        <v>53.996381999999997</v>
      </c>
      <c r="Q643">
        <v>35.997588</v>
      </c>
      <c r="R643">
        <v>50</v>
      </c>
      <c r="S643">
        <v>52.595484999999996</v>
      </c>
      <c r="T643">
        <v>64.433063000000004</v>
      </c>
      <c r="U643">
        <v>35.063656999999999</v>
      </c>
      <c r="V643">
        <v>50</v>
      </c>
      <c r="W643">
        <v>46.892800000000001</v>
      </c>
      <c r="X643">
        <v>31.261866000000001</v>
      </c>
      <c r="Y643">
        <v>50</v>
      </c>
      <c r="Z643">
        <v>53.512583999999997</v>
      </c>
      <c r="AA643">
        <v>45.998233999999997</v>
      </c>
      <c r="AB643">
        <v>30.665489000000001</v>
      </c>
      <c r="AC643">
        <v>50</v>
      </c>
      <c r="AD643">
        <v>51.271081000000002</v>
      </c>
      <c r="AE643">
        <v>34.180720999999998</v>
      </c>
      <c r="AF643">
        <v>50</v>
      </c>
      <c r="AG643">
        <v>51.014887999999999</v>
      </c>
      <c r="AH643" t="s">
        <v>125</v>
      </c>
      <c r="AI643">
        <v>34.009926</v>
      </c>
      <c r="AJ643">
        <v>50</v>
      </c>
      <c r="AK643">
        <v>11.83</v>
      </c>
      <c r="AL643">
        <v>7.51</v>
      </c>
      <c r="AM643" t="s">
        <v>125</v>
      </c>
      <c r="AN643">
        <v>0.65082600000000002</v>
      </c>
      <c r="AO643">
        <v>65.082594</v>
      </c>
      <c r="AP643">
        <v>100</v>
      </c>
      <c r="AQ643">
        <v>0.52450799999999997</v>
      </c>
      <c r="AR643">
        <v>52.450806999999998</v>
      </c>
      <c r="AS643">
        <v>100</v>
      </c>
      <c r="AT643">
        <v>0.64638200000000001</v>
      </c>
      <c r="AU643" t="s">
        <v>125</v>
      </c>
      <c r="AV643">
        <v>64.638210999999998</v>
      </c>
      <c r="AW643">
        <v>100</v>
      </c>
      <c r="AX643">
        <v>0.53401900000000002</v>
      </c>
      <c r="AY643" t="s">
        <v>125</v>
      </c>
      <c r="AZ643">
        <v>53.401862999999999</v>
      </c>
      <c r="BA643">
        <v>100</v>
      </c>
      <c r="BB643">
        <v>0.49619799999999997</v>
      </c>
      <c r="BC643">
        <v>24.809913999999999</v>
      </c>
      <c r="BD643">
        <v>50</v>
      </c>
      <c r="BE643">
        <v>0.474053</v>
      </c>
      <c r="BF643">
        <v>23.702648</v>
      </c>
      <c r="BG643">
        <v>50</v>
      </c>
      <c r="BH643">
        <v>0</v>
      </c>
      <c r="BI643">
        <v>1</v>
      </c>
      <c r="BJ643">
        <v>1</v>
      </c>
      <c r="BK643">
        <v>1</v>
      </c>
      <c r="BL643">
        <v>0.99476399999999998</v>
      </c>
      <c r="BM643">
        <v>0.99397599999999997</v>
      </c>
      <c r="BN643">
        <v>1</v>
      </c>
      <c r="BO643">
        <v>1</v>
      </c>
      <c r="BP643">
        <v>1</v>
      </c>
      <c r="BQ643" t="s">
        <v>125</v>
      </c>
      <c r="BR643">
        <v>0.101523</v>
      </c>
      <c r="BS643">
        <v>39.695430999999999</v>
      </c>
      <c r="BT643">
        <v>50</v>
      </c>
      <c r="BU643">
        <v>0.111111</v>
      </c>
      <c r="BV643">
        <v>37.777777999999998</v>
      </c>
      <c r="BW643">
        <v>50</v>
      </c>
      <c r="BX643" t="s">
        <v>125</v>
      </c>
      <c r="BY643" t="s">
        <v>125</v>
      </c>
      <c r="BZ643" t="s">
        <v>125</v>
      </c>
      <c r="CA643" t="s">
        <v>125</v>
      </c>
      <c r="CB643" t="s">
        <v>125</v>
      </c>
      <c r="CC643" t="s">
        <v>125</v>
      </c>
      <c r="CD643" t="s">
        <v>125</v>
      </c>
      <c r="CE643" t="s">
        <v>125</v>
      </c>
      <c r="CF643" t="s">
        <v>125</v>
      </c>
      <c r="CG643" t="s">
        <v>125</v>
      </c>
      <c r="CH643" t="s">
        <v>125</v>
      </c>
      <c r="CI643" t="s">
        <v>125</v>
      </c>
      <c r="CJ643" t="s">
        <v>125</v>
      </c>
      <c r="CK643" t="s">
        <v>125</v>
      </c>
      <c r="CL643" t="s">
        <v>125</v>
      </c>
      <c r="CM643" t="s">
        <v>125</v>
      </c>
      <c r="CN643" t="s">
        <v>125</v>
      </c>
      <c r="CO643" t="s">
        <v>125</v>
      </c>
      <c r="CP643" t="s">
        <v>125</v>
      </c>
      <c r="CQ643">
        <v>0.31746000000000002</v>
      </c>
      <c r="CR643">
        <v>1.0677970000000001</v>
      </c>
      <c r="CS643">
        <v>21.164021000000002</v>
      </c>
      <c r="CT643">
        <v>50</v>
      </c>
      <c r="CU643" t="s">
        <v>125</v>
      </c>
      <c r="CV643" t="s">
        <v>125</v>
      </c>
      <c r="CW643" t="s">
        <v>125</v>
      </c>
      <c r="CX643" t="s">
        <v>125</v>
      </c>
      <c r="CY643" t="s">
        <v>125</v>
      </c>
      <c r="CZ643" t="s">
        <v>125</v>
      </c>
      <c r="DA643">
        <v>15.314097</v>
      </c>
      <c r="DB643">
        <v>17.400950000000002</v>
      </c>
      <c r="DC643">
        <v>16.332519999999999</v>
      </c>
      <c r="DD643" t="s">
        <v>125</v>
      </c>
      <c r="DE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Q643" t="s">
        <v>126</v>
      </c>
    </row>
    <row r="644" spans="1:121" x14ac:dyDescent="0.15">
      <c r="A644">
        <v>2018</v>
      </c>
      <c r="B644" t="s">
        <v>166</v>
      </c>
      <c r="C644" t="str">
        <f t="shared" si="25"/>
        <v>0890011</v>
      </c>
      <c r="D644" t="s">
        <v>495</v>
      </c>
      <c r="E644" t="str">
        <f>"0890611"</f>
        <v>0890611</v>
      </c>
      <c r="F644" t="s">
        <v>328</v>
      </c>
      <c r="G644" t="s">
        <v>339</v>
      </c>
      <c r="H644">
        <v>5</v>
      </c>
      <c r="I644" t="s">
        <v>336</v>
      </c>
      <c r="J644" t="s">
        <v>331</v>
      </c>
      <c r="K644">
        <v>612.18375900000001</v>
      </c>
      <c r="L644">
        <v>950</v>
      </c>
      <c r="M644">
        <v>64.440396000000007</v>
      </c>
      <c r="N644">
        <v>3</v>
      </c>
      <c r="O644">
        <v>0</v>
      </c>
      <c r="P644">
        <v>61.316802000000003</v>
      </c>
      <c r="Q644">
        <v>40.877867999999999</v>
      </c>
      <c r="R644">
        <v>50</v>
      </c>
      <c r="S644">
        <v>58.497622999999997</v>
      </c>
      <c r="T644">
        <v>69.037015999999994</v>
      </c>
      <c r="U644">
        <v>38.998415000000001</v>
      </c>
      <c r="V644">
        <v>50</v>
      </c>
      <c r="W644">
        <v>51.783583</v>
      </c>
      <c r="X644">
        <v>34.522388999999997</v>
      </c>
      <c r="Y644">
        <v>50</v>
      </c>
      <c r="Z644">
        <v>58.352074999999999</v>
      </c>
      <c r="AA644">
        <v>49.384976999999999</v>
      </c>
      <c r="AB644">
        <v>32.923318000000002</v>
      </c>
      <c r="AC644">
        <v>50</v>
      </c>
      <c r="AD644">
        <v>60.538946000000003</v>
      </c>
      <c r="AE644">
        <v>40.359296999999998</v>
      </c>
      <c r="AF644">
        <v>50</v>
      </c>
      <c r="AG644">
        <v>57.483871000000001</v>
      </c>
      <c r="AH644">
        <v>68.375877000000003</v>
      </c>
      <c r="AI644">
        <v>38.322581</v>
      </c>
      <c r="AJ644">
        <v>50</v>
      </c>
      <c r="AK644">
        <v>10.53</v>
      </c>
      <c r="AL644">
        <v>8.9600000000000009</v>
      </c>
      <c r="AM644">
        <v>10.89</v>
      </c>
      <c r="AN644">
        <v>0.59013300000000002</v>
      </c>
      <c r="AO644">
        <v>59.013252000000001</v>
      </c>
      <c r="AP644">
        <v>100</v>
      </c>
      <c r="AQ644">
        <v>0.488672</v>
      </c>
      <c r="AR644">
        <v>48.867199999999997</v>
      </c>
      <c r="AS644">
        <v>100</v>
      </c>
      <c r="AT644">
        <v>0.571465</v>
      </c>
      <c r="AU644">
        <v>0.63241999999999998</v>
      </c>
      <c r="AV644">
        <v>57.146514000000003</v>
      </c>
      <c r="AW644">
        <v>100</v>
      </c>
      <c r="AX644">
        <v>0.47919099999999998</v>
      </c>
      <c r="AY644">
        <v>0.51014899999999996</v>
      </c>
      <c r="AZ644">
        <v>47.919117999999997</v>
      </c>
      <c r="BA644">
        <v>100</v>
      </c>
      <c r="BB644">
        <v>0.75527900000000003</v>
      </c>
      <c r="BC644">
        <v>37.763925999999998</v>
      </c>
      <c r="BD644">
        <v>50</v>
      </c>
      <c r="BE644">
        <v>0.58940800000000004</v>
      </c>
      <c r="BF644">
        <v>29.470376000000002</v>
      </c>
      <c r="BG644">
        <v>50</v>
      </c>
      <c r="BH644">
        <v>0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9.8618999999999998E-2</v>
      </c>
      <c r="BS644">
        <v>40.276133999999999</v>
      </c>
      <c r="BT644">
        <v>50</v>
      </c>
      <c r="BU644">
        <v>0.124324</v>
      </c>
      <c r="BV644">
        <v>35.135134999999998</v>
      </c>
      <c r="BW644">
        <v>50</v>
      </c>
      <c r="BX644" t="s">
        <v>125</v>
      </c>
      <c r="BY644" t="s">
        <v>125</v>
      </c>
      <c r="BZ644" t="s">
        <v>125</v>
      </c>
      <c r="CA644" t="s">
        <v>125</v>
      </c>
      <c r="CB644" t="s">
        <v>125</v>
      </c>
      <c r="CC644" t="s">
        <v>125</v>
      </c>
      <c r="CD644" t="s">
        <v>125</v>
      </c>
      <c r="CE644" t="s">
        <v>125</v>
      </c>
      <c r="CF644" t="s">
        <v>125</v>
      </c>
      <c r="CG644" t="s">
        <v>125</v>
      </c>
      <c r="CH644" t="s">
        <v>125</v>
      </c>
      <c r="CI644" t="s">
        <v>125</v>
      </c>
      <c r="CJ644" t="s">
        <v>125</v>
      </c>
      <c r="CK644" t="s">
        <v>125</v>
      </c>
      <c r="CL644" t="s">
        <v>125</v>
      </c>
      <c r="CM644" t="s">
        <v>125</v>
      </c>
      <c r="CN644" t="s">
        <v>125</v>
      </c>
      <c r="CO644" t="s">
        <v>125</v>
      </c>
      <c r="CP644" t="s">
        <v>125</v>
      </c>
      <c r="CQ644">
        <v>0.45882400000000001</v>
      </c>
      <c r="CR644">
        <v>1.0119050000000001</v>
      </c>
      <c r="CS644">
        <v>30.588235000000001</v>
      </c>
      <c r="CT644">
        <v>50</v>
      </c>
      <c r="CU644" t="s">
        <v>125</v>
      </c>
      <c r="CV644" t="s">
        <v>125</v>
      </c>
      <c r="CW644" t="s">
        <v>125</v>
      </c>
      <c r="CX644" t="s">
        <v>125</v>
      </c>
      <c r="CY644" t="s">
        <v>125</v>
      </c>
      <c r="CZ644" t="s">
        <v>125</v>
      </c>
      <c r="DA644">
        <v>15.314097</v>
      </c>
      <c r="DB644">
        <v>17.400950000000002</v>
      </c>
      <c r="DC644">
        <v>16.332519999999999</v>
      </c>
      <c r="DD644" t="s">
        <v>125</v>
      </c>
      <c r="DE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Q644" t="s">
        <v>126</v>
      </c>
    </row>
    <row r="645" spans="1:121" x14ac:dyDescent="0.15">
      <c r="A645">
        <v>2018</v>
      </c>
      <c r="B645" t="s">
        <v>166</v>
      </c>
      <c r="C645" t="str">
        <f t="shared" si="25"/>
        <v>0890011</v>
      </c>
      <c r="D645" t="s">
        <v>801</v>
      </c>
      <c r="E645" t="str">
        <f>"0895411"</f>
        <v>0895411</v>
      </c>
      <c r="F645" t="s">
        <v>328</v>
      </c>
      <c r="G645">
        <v>6</v>
      </c>
      <c r="H645">
        <v>8</v>
      </c>
      <c r="I645" t="s">
        <v>336</v>
      </c>
      <c r="J645" t="s">
        <v>331</v>
      </c>
      <c r="K645">
        <v>763.83624599999996</v>
      </c>
      <c r="L645">
        <v>900</v>
      </c>
      <c r="M645">
        <v>84.870694</v>
      </c>
      <c r="N645">
        <v>2</v>
      </c>
      <c r="O645">
        <v>0</v>
      </c>
      <c r="P645">
        <v>85.307723999999993</v>
      </c>
      <c r="Q645">
        <v>50</v>
      </c>
      <c r="R645">
        <v>50</v>
      </c>
      <c r="S645">
        <v>84.716904999999997</v>
      </c>
      <c r="T645">
        <v>75</v>
      </c>
      <c r="U645">
        <v>50</v>
      </c>
      <c r="V645">
        <v>50</v>
      </c>
      <c r="W645">
        <v>80.522019999999998</v>
      </c>
      <c r="X645">
        <v>50</v>
      </c>
      <c r="Y645">
        <v>50</v>
      </c>
      <c r="Z645">
        <v>75</v>
      </c>
      <c r="AA645">
        <v>78.849902999999998</v>
      </c>
      <c r="AB645">
        <v>50</v>
      </c>
      <c r="AC645">
        <v>50</v>
      </c>
      <c r="AD645">
        <v>82.310344999999998</v>
      </c>
      <c r="AE645">
        <v>50</v>
      </c>
      <c r="AF645">
        <v>50</v>
      </c>
      <c r="AG645">
        <v>81.717671999999993</v>
      </c>
      <c r="AH645" t="s">
        <v>125</v>
      </c>
      <c r="AI645">
        <v>50</v>
      </c>
      <c r="AJ645">
        <v>50</v>
      </c>
      <c r="AK645">
        <v>-9.7100000000000009</v>
      </c>
      <c r="AL645">
        <v>-3.84</v>
      </c>
      <c r="AM645" t="s">
        <v>125</v>
      </c>
      <c r="AN645">
        <v>0.63078999999999996</v>
      </c>
      <c r="AO645">
        <v>63.079037999999997</v>
      </c>
      <c r="AP645">
        <v>100</v>
      </c>
      <c r="AQ645">
        <v>0.80400000000000005</v>
      </c>
      <c r="AR645">
        <v>80.399991999999997</v>
      </c>
      <c r="AS645">
        <v>100</v>
      </c>
      <c r="AT645">
        <v>0.61898500000000001</v>
      </c>
      <c r="AU645">
        <v>0.65879399999999999</v>
      </c>
      <c r="AV645">
        <v>61.898477</v>
      </c>
      <c r="AW645">
        <v>100</v>
      </c>
      <c r="AX645">
        <v>0.79032400000000003</v>
      </c>
      <c r="AY645">
        <v>0.83643999999999996</v>
      </c>
      <c r="AZ645">
        <v>79.032437000000002</v>
      </c>
      <c r="BA645">
        <v>100</v>
      </c>
      <c r="BB645" t="s">
        <v>125</v>
      </c>
      <c r="BC645" t="s">
        <v>125</v>
      </c>
      <c r="BD645" t="s">
        <v>125</v>
      </c>
      <c r="BE645" t="s">
        <v>125</v>
      </c>
      <c r="BF645" t="s">
        <v>125</v>
      </c>
      <c r="BG645" t="s">
        <v>125</v>
      </c>
      <c r="BH645">
        <v>0</v>
      </c>
      <c r="BI645">
        <v>0.98657700000000004</v>
      </c>
      <c r="BJ645">
        <v>0.99065400000000003</v>
      </c>
      <c r="BK645">
        <v>0.97619</v>
      </c>
      <c r="BL645">
        <v>0.98657700000000004</v>
      </c>
      <c r="BM645">
        <v>0.99065400000000003</v>
      </c>
      <c r="BN645">
        <v>0.97619</v>
      </c>
      <c r="BO645">
        <v>1</v>
      </c>
      <c r="BP645">
        <v>1</v>
      </c>
      <c r="BQ645" t="s">
        <v>125</v>
      </c>
      <c r="BR645">
        <v>6.0402999999999998E-2</v>
      </c>
      <c r="BS645">
        <v>47.919463</v>
      </c>
      <c r="BT645">
        <v>50</v>
      </c>
      <c r="BU645">
        <v>8.4905999999999995E-2</v>
      </c>
      <c r="BV645">
        <v>43.018867999999998</v>
      </c>
      <c r="BW645">
        <v>50</v>
      </c>
      <c r="BX645" t="s">
        <v>125</v>
      </c>
      <c r="BY645" t="s">
        <v>125</v>
      </c>
      <c r="BZ645" t="s">
        <v>125</v>
      </c>
      <c r="CA645" t="s">
        <v>125</v>
      </c>
      <c r="CB645" t="s">
        <v>125</v>
      </c>
      <c r="CC645" t="s">
        <v>125</v>
      </c>
      <c r="CD645">
        <v>1</v>
      </c>
      <c r="CE645">
        <v>50</v>
      </c>
      <c r="CF645">
        <v>50</v>
      </c>
      <c r="CG645" t="s">
        <v>125</v>
      </c>
      <c r="CH645" t="s">
        <v>125</v>
      </c>
      <c r="CI645" t="s">
        <v>125</v>
      </c>
      <c r="CJ645" t="s">
        <v>125</v>
      </c>
      <c r="CK645" t="s">
        <v>125</v>
      </c>
      <c r="CL645" t="s">
        <v>125</v>
      </c>
      <c r="CM645" t="s">
        <v>125</v>
      </c>
      <c r="CN645" t="s">
        <v>125</v>
      </c>
      <c r="CO645" t="s">
        <v>125</v>
      </c>
      <c r="CP645" t="s">
        <v>125</v>
      </c>
      <c r="CQ645">
        <v>0.57732000000000006</v>
      </c>
      <c r="CR645">
        <v>0.95098000000000005</v>
      </c>
      <c r="CS645">
        <v>38.487972999999997</v>
      </c>
      <c r="CT645">
        <v>50</v>
      </c>
      <c r="CU645" t="s">
        <v>125</v>
      </c>
      <c r="CV645" t="s">
        <v>125</v>
      </c>
      <c r="CW645" t="s">
        <v>125</v>
      </c>
      <c r="CX645" t="s">
        <v>125</v>
      </c>
      <c r="CY645" t="s">
        <v>125</v>
      </c>
      <c r="CZ645" t="s">
        <v>125</v>
      </c>
      <c r="DA645">
        <v>15.314097</v>
      </c>
      <c r="DB645">
        <v>17.400950000000002</v>
      </c>
      <c r="DC645">
        <v>16.332519999999999</v>
      </c>
      <c r="DD645" t="s">
        <v>125</v>
      </c>
      <c r="DE645">
        <v>0</v>
      </c>
      <c r="DH645" t="s">
        <v>332</v>
      </c>
      <c r="DI645" t="s">
        <v>432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Q645" t="s">
        <v>126</v>
      </c>
    </row>
    <row r="646" spans="1:121" x14ac:dyDescent="0.15">
      <c r="A646">
        <v>2018</v>
      </c>
      <c r="B646" t="s">
        <v>166</v>
      </c>
      <c r="C646" t="str">
        <f t="shared" si="25"/>
        <v>0890011</v>
      </c>
      <c r="D646" t="s">
        <v>802</v>
      </c>
      <c r="E646" t="str">
        <f>"0890711"</f>
        <v>0890711</v>
      </c>
      <c r="F646" t="s">
        <v>328</v>
      </c>
      <c r="G646" t="s">
        <v>339</v>
      </c>
      <c r="H646">
        <v>5</v>
      </c>
      <c r="I646" t="s">
        <v>336</v>
      </c>
      <c r="J646" t="s">
        <v>331</v>
      </c>
      <c r="K646">
        <v>634.80415600000003</v>
      </c>
      <c r="L646">
        <v>950</v>
      </c>
      <c r="M646">
        <v>66.821489999999997</v>
      </c>
      <c r="N646">
        <v>3</v>
      </c>
      <c r="O646">
        <v>0</v>
      </c>
      <c r="P646">
        <v>62.770854999999997</v>
      </c>
      <c r="Q646">
        <v>41.847236000000002</v>
      </c>
      <c r="R646">
        <v>50</v>
      </c>
      <c r="S646">
        <v>61.616773999999999</v>
      </c>
      <c r="T646" t="s">
        <v>125</v>
      </c>
      <c r="U646">
        <v>41.077849000000001</v>
      </c>
      <c r="V646">
        <v>50</v>
      </c>
      <c r="W646">
        <v>55.645477999999997</v>
      </c>
      <c r="X646">
        <v>37.096984999999997</v>
      </c>
      <c r="Y646">
        <v>50</v>
      </c>
      <c r="Z646" t="s">
        <v>125</v>
      </c>
      <c r="AA646">
        <v>54.892071999999999</v>
      </c>
      <c r="AB646">
        <v>36.594715000000001</v>
      </c>
      <c r="AC646">
        <v>50</v>
      </c>
      <c r="AD646">
        <v>61.453628999999999</v>
      </c>
      <c r="AE646">
        <v>40.969085999999997</v>
      </c>
      <c r="AF646">
        <v>50</v>
      </c>
      <c r="AG646">
        <v>60.260328000000001</v>
      </c>
      <c r="AH646" t="s">
        <v>125</v>
      </c>
      <c r="AI646">
        <v>40.173552000000001</v>
      </c>
      <c r="AJ646">
        <v>50</v>
      </c>
      <c r="AK646" t="s">
        <v>125</v>
      </c>
      <c r="AL646" t="s">
        <v>125</v>
      </c>
      <c r="AM646" t="s">
        <v>125</v>
      </c>
      <c r="AN646">
        <v>0.605707</v>
      </c>
      <c r="AO646">
        <v>60.570653999999998</v>
      </c>
      <c r="AP646">
        <v>100</v>
      </c>
      <c r="AQ646">
        <v>0.55971800000000005</v>
      </c>
      <c r="AR646">
        <v>55.971806999999998</v>
      </c>
      <c r="AS646">
        <v>100</v>
      </c>
      <c r="AT646">
        <v>0.58811000000000002</v>
      </c>
      <c r="AU646" t="s">
        <v>125</v>
      </c>
      <c r="AV646">
        <v>58.810994000000001</v>
      </c>
      <c r="AW646">
        <v>100</v>
      </c>
      <c r="AX646">
        <v>0.57842800000000005</v>
      </c>
      <c r="AY646" t="s">
        <v>125</v>
      </c>
      <c r="AZ646">
        <v>57.842809000000003</v>
      </c>
      <c r="BA646">
        <v>100</v>
      </c>
      <c r="BB646">
        <v>0.69354700000000002</v>
      </c>
      <c r="BC646">
        <v>34.677365000000002</v>
      </c>
      <c r="BD646">
        <v>50</v>
      </c>
      <c r="BE646">
        <v>0.49255199999999999</v>
      </c>
      <c r="BF646">
        <v>24.627576000000001</v>
      </c>
      <c r="BG646">
        <v>50</v>
      </c>
      <c r="BH646">
        <v>0</v>
      </c>
      <c r="BI646">
        <v>0.995475</v>
      </c>
      <c r="BJ646">
        <v>0.99507400000000001</v>
      </c>
      <c r="BK646" t="s">
        <v>125</v>
      </c>
      <c r="BL646">
        <v>0.995475</v>
      </c>
      <c r="BM646">
        <v>0.99507400000000001</v>
      </c>
      <c r="BN646" t="s">
        <v>125</v>
      </c>
      <c r="BO646">
        <v>1</v>
      </c>
      <c r="BP646">
        <v>1</v>
      </c>
      <c r="BQ646" t="s">
        <v>125</v>
      </c>
      <c r="BR646">
        <v>0.104911</v>
      </c>
      <c r="BS646">
        <v>39.017856999999999</v>
      </c>
      <c r="BT646">
        <v>50</v>
      </c>
      <c r="BU646">
        <v>0.111675</v>
      </c>
      <c r="BV646">
        <v>37.664974999999998</v>
      </c>
      <c r="BW646">
        <v>50</v>
      </c>
      <c r="BX646" t="s">
        <v>125</v>
      </c>
      <c r="BY646" t="s">
        <v>125</v>
      </c>
      <c r="BZ646" t="s">
        <v>125</v>
      </c>
      <c r="CA646" t="s">
        <v>125</v>
      </c>
      <c r="CB646" t="s">
        <v>125</v>
      </c>
      <c r="CC646" t="s">
        <v>125</v>
      </c>
      <c r="CD646" t="s">
        <v>125</v>
      </c>
      <c r="CE646" t="s">
        <v>125</v>
      </c>
      <c r="CF646" t="s">
        <v>125</v>
      </c>
      <c r="CG646" t="s">
        <v>125</v>
      </c>
      <c r="CH646" t="s">
        <v>125</v>
      </c>
      <c r="CI646" t="s">
        <v>125</v>
      </c>
      <c r="CJ646" t="s">
        <v>125</v>
      </c>
      <c r="CK646" t="s">
        <v>125</v>
      </c>
      <c r="CL646" t="s">
        <v>125</v>
      </c>
      <c r="CM646" t="s">
        <v>125</v>
      </c>
      <c r="CN646" t="s">
        <v>125</v>
      </c>
      <c r="CO646" t="s">
        <v>125</v>
      </c>
      <c r="CP646" t="s">
        <v>125</v>
      </c>
      <c r="CQ646">
        <v>0.41791</v>
      </c>
      <c r="CR646">
        <v>1.0151520000000001</v>
      </c>
      <c r="CS646">
        <v>27.860696999999998</v>
      </c>
      <c r="CT646">
        <v>50</v>
      </c>
      <c r="CU646" t="s">
        <v>125</v>
      </c>
      <c r="CV646" t="s">
        <v>125</v>
      </c>
      <c r="CW646" t="s">
        <v>125</v>
      </c>
      <c r="CX646" t="s">
        <v>125</v>
      </c>
      <c r="CY646" t="s">
        <v>125</v>
      </c>
      <c r="CZ646" t="s">
        <v>125</v>
      </c>
      <c r="DA646">
        <v>15.314097</v>
      </c>
      <c r="DB646">
        <v>17.400950000000002</v>
      </c>
      <c r="DC646">
        <v>16.332519999999999</v>
      </c>
      <c r="DD646" t="s">
        <v>125</v>
      </c>
      <c r="DE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Q646" t="s">
        <v>126</v>
      </c>
    </row>
    <row r="647" spans="1:121" x14ac:dyDescent="0.15">
      <c r="A647">
        <v>2018</v>
      </c>
      <c r="B647" t="s">
        <v>166</v>
      </c>
      <c r="C647" t="str">
        <f t="shared" si="25"/>
        <v>0890011</v>
      </c>
      <c r="D647" t="s">
        <v>803</v>
      </c>
      <c r="E647" t="str">
        <f>"0890811"</f>
        <v>0890811</v>
      </c>
      <c r="F647" t="s">
        <v>328</v>
      </c>
      <c r="G647" t="s">
        <v>329</v>
      </c>
      <c r="H647">
        <v>5</v>
      </c>
      <c r="I647" t="s">
        <v>336</v>
      </c>
      <c r="J647" t="s">
        <v>331</v>
      </c>
      <c r="K647">
        <v>521.91144799999995</v>
      </c>
      <c r="L647">
        <v>950</v>
      </c>
      <c r="M647">
        <v>54.938046999999997</v>
      </c>
      <c r="N647">
        <v>3</v>
      </c>
      <c r="O647">
        <v>1</v>
      </c>
      <c r="P647">
        <v>52.873685999999999</v>
      </c>
      <c r="Q647">
        <v>35.249124000000002</v>
      </c>
      <c r="R647">
        <v>50</v>
      </c>
      <c r="S647">
        <v>51.526010999999997</v>
      </c>
      <c r="T647">
        <v>69.397345000000001</v>
      </c>
      <c r="U647">
        <v>34.350673999999998</v>
      </c>
      <c r="V647">
        <v>50</v>
      </c>
      <c r="W647">
        <v>44.733508</v>
      </c>
      <c r="X647">
        <v>29.822338999999999</v>
      </c>
      <c r="Y647">
        <v>50</v>
      </c>
      <c r="Z647">
        <v>58.946354999999997</v>
      </c>
      <c r="AA647">
        <v>43.561839999999997</v>
      </c>
      <c r="AB647">
        <v>29.041226999999999</v>
      </c>
      <c r="AC647">
        <v>50</v>
      </c>
      <c r="AD647">
        <v>50.636239000000003</v>
      </c>
      <c r="AE647">
        <v>33.757492999999997</v>
      </c>
      <c r="AF647">
        <v>50</v>
      </c>
      <c r="AG647">
        <v>48.967742000000001</v>
      </c>
      <c r="AH647" t="s">
        <v>125</v>
      </c>
      <c r="AI647">
        <v>32.645161000000002</v>
      </c>
      <c r="AJ647">
        <v>50</v>
      </c>
      <c r="AK647">
        <v>17.87</v>
      </c>
      <c r="AL647">
        <v>15.38</v>
      </c>
      <c r="AM647" t="s">
        <v>125</v>
      </c>
      <c r="AN647">
        <v>0.48615399999999998</v>
      </c>
      <c r="AO647">
        <v>48.615402000000003</v>
      </c>
      <c r="AP647">
        <v>100</v>
      </c>
      <c r="AQ647">
        <v>0.45927400000000002</v>
      </c>
      <c r="AR647">
        <v>45.927447999999998</v>
      </c>
      <c r="AS647">
        <v>100</v>
      </c>
      <c r="AT647">
        <v>0.48041</v>
      </c>
      <c r="AU647" t="s">
        <v>125</v>
      </c>
      <c r="AV647">
        <v>48.041037000000003</v>
      </c>
      <c r="AW647">
        <v>100</v>
      </c>
      <c r="AX647">
        <v>0.45333800000000002</v>
      </c>
      <c r="AY647" t="s">
        <v>125</v>
      </c>
      <c r="AZ647">
        <v>45.333809000000002</v>
      </c>
      <c r="BA647">
        <v>100</v>
      </c>
      <c r="BB647">
        <v>0.56820499999999996</v>
      </c>
      <c r="BC647">
        <v>28.410266</v>
      </c>
      <c r="BD647">
        <v>50</v>
      </c>
      <c r="BE647">
        <v>0.48458899999999999</v>
      </c>
      <c r="BF647">
        <v>24.229472000000001</v>
      </c>
      <c r="BG647">
        <v>50</v>
      </c>
      <c r="BH647">
        <v>0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0.99082599999999998</v>
      </c>
      <c r="BP647">
        <v>0.99009899999999995</v>
      </c>
      <c r="BQ647" t="s">
        <v>125</v>
      </c>
      <c r="BR647">
        <v>0.18038000000000001</v>
      </c>
      <c r="BS647">
        <v>23.924050999999999</v>
      </c>
      <c r="BT647">
        <v>50</v>
      </c>
      <c r="BU647">
        <v>0.19478300000000001</v>
      </c>
      <c r="BV647">
        <v>21.043478</v>
      </c>
      <c r="BW647">
        <v>50</v>
      </c>
      <c r="BX647" t="s">
        <v>125</v>
      </c>
      <c r="BY647" t="s">
        <v>125</v>
      </c>
      <c r="BZ647" t="s">
        <v>125</v>
      </c>
      <c r="CA647" t="s">
        <v>125</v>
      </c>
      <c r="CB647" t="s">
        <v>125</v>
      </c>
      <c r="CC647" t="s">
        <v>125</v>
      </c>
      <c r="CD647" t="s">
        <v>125</v>
      </c>
      <c r="CE647" t="s">
        <v>125</v>
      </c>
      <c r="CF647" t="s">
        <v>125</v>
      </c>
      <c r="CG647" t="s">
        <v>125</v>
      </c>
      <c r="CH647" t="s">
        <v>125</v>
      </c>
      <c r="CI647" t="s">
        <v>125</v>
      </c>
      <c r="CJ647" t="s">
        <v>125</v>
      </c>
      <c r="CK647" t="s">
        <v>125</v>
      </c>
      <c r="CL647" t="s">
        <v>125</v>
      </c>
      <c r="CM647" t="s">
        <v>125</v>
      </c>
      <c r="CN647" t="s">
        <v>125</v>
      </c>
      <c r="CO647" t="s">
        <v>125</v>
      </c>
      <c r="CP647" t="s">
        <v>125</v>
      </c>
      <c r="CQ647">
        <v>0.622807</v>
      </c>
      <c r="CR647">
        <v>1.017857</v>
      </c>
      <c r="CS647">
        <v>41.520468000000001</v>
      </c>
      <c r="CT647">
        <v>50</v>
      </c>
      <c r="CU647" t="s">
        <v>125</v>
      </c>
      <c r="CV647" t="s">
        <v>125</v>
      </c>
      <c r="CW647" t="s">
        <v>125</v>
      </c>
      <c r="CX647" t="s">
        <v>125</v>
      </c>
      <c r="CY647" t="s">
        <v>125</v>
      </c>
      <c r="CZ647" t="s">
        <v>125</v>
      </c>
      <c r="DA647">
        <v>15.314097</v>
      </c>
      <c r="DB647">
        <v>17.400950000000002</v>
      </c>
      <c r="DC647">
        <v>16.332519999999999</v>
      </c>
      <c r="DD647" t="s">
        <v>125</v>
      </c>
      <c r="DE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Q647" t="s">
        <v>126</v>
      </c>
    </row>
    <row r="648" spans="1:121" x14ac:dyDescent="0.15">
      <c r="A648">
        <v>2018</v>
      </c>
      <c r="B648" t="s">
        <v>166</v>
      </c>
      <c r="C648" t="str">
        <f t="shared" si="25"/>
        <v>0890011</v>
      </c>
      <c r="D648" t="s">
        <v>804</v>
      </c>
      <c r="E648" t="str">
        <f>"0896111"</f>
        <v>0896111</v>
      </c>
      <c r="F648" t="s">
        <v>328</v>
      </c>
      <c r="G648">
        <v>9</v>
      </c>
      <c r="H648">
        <v>12</v>
      </c>
      <c r="I648" t="s">
        <v>336</v>
      </c>
      <c r="J648" t="s">
        <v>331</v>
      </c>
      <c r="K648">
        <v>868.12329299999999</v>
      </c>
      <c r="L648">
        <v>1550</v>
      </c>
      <c r="M648">
        <v>56.007953999999998</v>
      </c>
      <c r="N648">
        <v>3</v>
      </c>
      <c r="O648">
        <v>0</v>
      </c>
      <c r="P648">
        <v>43.704062</v>
      </c>
      <c r="Q648">
        <v>87.408124999999998</v>
      </c>
      <c r="R648">
        <v>150</v>
      </c>
      <c r="S648">
        <v>41.054225000000002</v>
      </c>
      <c r="T648">
        <v>54.907173</v>
      </c>
      <c r="U648">
        <v>82.108450000000005</v>
      </c>
      <c r="V648">
        <v>150</v>
      </c>
      <c r="W648">
        <v>40.339252000000002</v>
      </c>
      <c r="X648">
        <v>80.678504000000004</v>
      </c>
      <c r="Y648">
        <v>150</v>
      </c>
      <c r="Z648">
        <v>50.149788999999998</v>
      </c>
      <c r="AA648">
        <v>38.018796000000002</v>
      </c>
      <c r="AB648">
        <v>76.037591000000006</v>
      </c>
      <c r="AC648">
        <v>150</v>
      </c>
      <c r="AD648">
        <v>44.940219999999997</v>
      </c>
      <c r="AE648">
        <v>59.920293000000001</v>
      </c>
      <c r="AF648">
        <v>100</v>
      </c>
      <c r="AG648">
        <v>42.592353000000003</v>
      </c>
      <c r="AH648">
        <v>54.807205000000003</v>
      </c>
      <c r="AI648">
        <v>56.789803999999997</v>
      </c>
      <c r="AJ648">
        <v>100</v>
      </c>
      <c r="AK648">
        <v>13.85</v>
      </c>
      <c r="AL648">
        <v>12.13</v>
      </c>
      <c r="AM648">
        <v>12.21</v>
      </c>
      <c r="AN648" t="s">
        <v>125</v>
      </c>
      <c r="AO648" t="s">
        <v>125</v>
      </c>
      <c r="AP648" t="s">
        <v>125</v>
      </c>
      <c r="AQ648" t="s">
        <v>125</v>
      </c>
      <c r="AR648" t="s">
        <v>125</v>
      </c>
      <c r="AS648" t="s">
        <v>125</v>
      </c>
      <c r="AT648" t="s">
        <v>125</v>
      </c>
      <c r="AU648" t="s">
        <v>125</v>
      </c>
      <c r="AV648" t="s">
        <v>125</v>
      </c>
      <c r="AW648" t="s">
        <v>125</v>
      </c>
      <c r="AX648" t="s">
        <v>125</v>
      </c>
      <c r="AY648" t="s">
        <v>125</v>
      </c>
      <c r="AZ648" t="s">
        <v>125</v>
      </c>
      <c r="BA648" t="s">
        <v>125</v>
      </c>
      <c r="BB648">
        <v>0.31177700000000003</v>
      </c>
      <c r="BC648">
        <v>15.588850000000001</v>
      </c>
      <c r="BD648">
        <v>50</v>
      </c>
      <c r="BE648">
        <v>0.42723100000000003</v>
      </c>
      <c r="BF648">
        <v>21.361543999999999</v>
      </c>
      <c r="BG648">
        <v>50</v>
      </c>
      <c r="BH648">
        <v>1</v>
      </c>
      <c r="BI648">
        <v>0.93487399999999998</v>
      </c>
      <c r="BJ648">
        <v>0.92583099999999996</v>
      </c>
      <c r="BK648">
        <v>0.97647099999999998</v>
      </c>
      <c r="BL648">
        <v>0.93487399999999998</v>
      </c>
      <c r="BM648">
        <v>0.92583099999999996</v>
      </c>
      <c r="BN648">
        <v>0.97647099999999998</v>
      </c>
      <c r="BO648">
        <v>0.92452800000000002</v>
      </c>
      <c r="BP648">
        <v>0.91071400000000002</v>
      </c>
      <c r="BQ648">
        <v>0.98823499999999997</v>
      </c>
      <c r="BR648">
        <v>0.39605800000000002</v>
      </c>
      <c r="BS648">
        <v>0</v>
      </c>
      <c r="BT648">
        <v>50</v>
      </c>
      <c r="BU648">
        <v>0.43732900000000002</v>
      </c>
      <c r="BV648">
        <v>0</v>
      </c>
      <c r="BW648">
        <v>50</v>
      </c>
      <c r="BX648">
        <v>0.766845</v>
      </c>
      <c r="BY648">
        <v>50</v>
      </c>
      <c r="BZ648">
        <v>50</v>
      </c>
      <c r="CA648">
        <v>0.13796800000000001</v>
      </c>
      <c r="CB648">
        <v>9.1978609999999996</v>
      </c>
      <c r="CC648">
        <v>50</v>
      </c>
      <c r="CD648">
        <v>0.59071700000000005</v>
      </c>
      <c r="CE648">
        <v>31.421133000000001</v>
      </c>
      <c r="CF648">
        <v>50</v>
      </c>
      <c r="CG648">
        <v>0.80477200000000004</v>
      </c>
      <c r="CH648">
        <v>85.614067000000006</v>
      </c>
      <c r="CI648">
        <v>100</v>
      </c>
      <c r="CJ648">
        <v>1</v>
      </c>
      <c r="CK648">
        <v>0.77559100000000003</v>
      </c>
      <c r="CL648">
        <v>82.509632999999994</v>
      </c>
      <c r="CM648">
        <v>100</v>
      </c>
      <c r="CN648">
        <v>0.56608499999999995</v>
      </c>
      <c r="CO648">
        <v>75.477971999999994</v>
      </c>
      <c r="CP648">
        <v>100</v>
      </c>
      <c r="CQ648">
        <v>0.34975400000000001</v>
      </c>
      <c r="CR648">
        <v>0.727599</v>
      </c>
      <c r="CS648">
        <v>11.658455999999999</v>
      </c>
      <c r="CT648">
        <v>50</v>
      </c>
      <c r="CU648">
        <v>0.508212</v>
      </c>
      <c r="CV648">
        <v>42.351008999999998</v>
      </c>
      <c r="CW648">
        <v>50</v>
      </c>
      <c r="CX648">
        <v>0.77559100000000003</v>
      </c>
      <c r="CY648">
        <v>0.94</v>
      </c>
      <c r="CZ648">
        <v>0.164409</v>
      </c>
      <c r="DA648">
        <v>15.314097</v>
      </c>
      <c r="DB648">
        <v>17.400950000000002</v>
      </c>
      <c r="DC648">
        <v>16.332519999999999</v>
      </c>
      <c r="DD648">
        <v>7.9891730000000001</v>
      </c>
      <c r="DE648">
        <v>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Q648" t="s">
        <v>126</v>
      </c>
    </row>
    <row r="649" spans="1:121" x14ac:dyDescent="0.15">
      <c r="A649">
        <v>2018</v>
      </c>
      <c r="B649" t="s">
        <v>166</v>
      </c>
      <c r="C649" t="str">
        <f t="shared" si="25"/>
        <v>0890011</v>
      </c>
      <c r="D649" t="s">
        <v>805</v>
      </c>
      <c r="E649" t="str">
        <f>"0890911"</f>
        <v>0890911</v>
      </c>
      <c r="F649" t="s">
        <v>328</v>
      </c>
      <c r="G649" t="s">
        <v>339</v>
      </c>
      <c r="H649">
        <v>5</v>
      </c>
      <c r="I649" t="s">
        <v>336</v>
      </c>
      <c r="J649" t="s">
        <v>331</v>
      </c>
      <c r="K649">
        <v>526.20578499999999</v>
      </c>
      <c r="L649">
        <v>950</v>
      </c>
      <c r="M649">
        <v>55.390082999999997</v>
      </c>
      <c r="N649">
        <v>5</v>
      </c>
      <c r="O649">
        <v>0</v>
      </c>
      <c r="P649">
        <v>54.213726999999999</v>
      </c>
      <c r="Q649">
        <v>36.142484000000003</v>
      </c>
      <c r="R649">
        <v>50</v>
      </c>
      <c r="S649">
        <v>53.232781000000003</v>
      </c>
      <c r="T649" t="s">
        <v>125</v>
      </c>
      <c r="U649">
        <v>35.488520999999999</v>
      </c>
      <c r="V649">
        <v>50</v>
      </c>
      <c r="W649">
        <v>44.734788999999999</v>
      </c>
      <c r="X649">
        <v>29.823191999999999</v>
      </c>
      <c r="Y649">
        <v>50</v>
      </c>
      <c r="Z649" t="s">
        <v>125</v>
      </c>
      <c r="AA649">
        <v>43.692208000000001</v>
      </c>
      <c r="AB649">
        <v>29.128139000000001</v>
      </c>
      <c r="AC649">
        <v>50</v>
      </c>
      <c r="AD649">
        <v>50.387096999999997</v>
      </c>
      <c r="AE649">
        <v>33.591397999999998</v>
      </c>
      <c r="AF649">
        <v>50</v>
      </c>
      <c r="AG649">
        <v>49.034274000000003</v>
      </c>
      <c r="AH649" t="s">
        <v>125</v>
      </c>
      <c r="AI649">
        <v>32.689515999999998</v>
      </c>
      <c r="AJ649">
        <v>50</v>
      </c>
      <c r="AK649" t="s">
        <v>125</v>
      </c>
      <c r="AL649" t="s">
        <v>125</v>
      </c>
      <c r="AM649" t="s">
        <v>125</v>
      </c>
      <c r="AN649">
        <v>0.51078800000000002</v>
      </c>
      <c r="AO649">
        <v>51.078750999999997</v>
      </c>
      <c r="AP649">
        <v>100</v>
      </c>
      <c r="AQ649">
        <v>0.47858699999999998</v>
      </c>
      <c r="AR649">
        <v>47.858722</v>
      </c>
      <c r="AS649">
        <v>100</v>
      </c>
      <c r="AT649">
        <v>0.52970899999999999</v>
      </c>
      <c r="AU649" t="s">
        <v>125</v>
      </c>
      <c r="AV649">
        <v>52.970931999999998</v>
      </c>
      <c r="AW649">
        <v>100</v>
      </c>
      <c r="AX649">
        <v>0.47747000000000001</v>
      </c>
      <c r="AY649" t="s">
        <v>125</v>
      </c>
      <c r="AZ649">
        <v>47.746997</v>
      </c>
      <c r="BA649">
        <v>100</v>
      </c>
      <c r="BB649">
        <v>0.56184400000000001</v>
      </c>
      <c r="BC649">
        <v>28.092222</v>
      </c>
      <c r="BD649">
        <v>50</v>
      </c>
      <c r="BE649">
        <v>0.44313200000000003</v>
      </c>
      <c r="BF649">
        <v>22.156624000000001</v>
      </c>
      <c r="BG649">
        <v>50</v>
      </c>
      <c r="BH649">
        <v>0</v>
      </c>
      <c r="BI649">
        <v>1</v>
      </c>
      <c r="BJ649">
        <v>1</v>
      </c>
      <c r="BK649" t="s">
        <v>125</v>
      </c>
      <c r="BL649">
        <v>1</v>
      </c>
      <c r="BM649">
        <v>1</v>
      </c>
      <c r="BN649" t="s">
        <v>125</v>
      </c>
      <c r="BO649">
        <v>1</v>
      </c>
      <c r="BP649">
        <v>1</v>
      </c>
      <c r="BQ649" t="s">
        <v>125</v>
      </c>
      <c r="BR649">
        <v>0.177536</v>
      </c>
      <c r="BS649">
        <v>24.492754000000001</v>
      </c>
      <c r="BT649">
        <v>50</v>
      </c>
      <c r="BU649">
        <v>0.18823500000000001</v>
      </c>
      <c r="BV649">
        <v>22.352941000000001</v>
      </c>
      <c r="BW649">
        <v>50</v>
      </c>
      <c r="BX649" t="s">
        <v>125</v>
      </c>
      <c r="BY649" t="s">
        <v>125</v>
      </c>
      <c r="BZ649" t="s">
        <v>125</v>
      </c>
      <c r="CA649" t="s">
        <v>125</v>
      </c>
      <c r="CB649" t="s">
        <v>125</v>
      </c>
      <c r="CC649" t="s">
        <v>125</v>
      </c>
      <c r="CD649" t="s">
        <v>125</v>
      </c>
      <c r="CE649" t="s">
        <v>125</v>
      </c>
      <c r="CF649" t="s">
        <v>125</v>
      </c>
      <c r="CG649" t="s">
        <v>125</v>
      </c>
      <c r="CH649" t="s">
        <v>125</v>
      </c>
      <c r="CI649" t="s">
        <v>125</v>
      </c>
      <c r="CJ649" t="s">
        <v>125</v>
      </c>
      <c r="CK649" t="s">
        <v>125</v>
      </c>
      <c r="CL649" t="s">
        <v>125</v>
      </c>
      <c r="CM649" t="s">
        <v>125</v>
      </c>
      <c r="CN649" t="s">
        <v>125</v>
      </c>
      <c r="CO649" t="s">
        <v>125</v>
      </c>
      <c r="CP649" t="s">
        <v>125</v>
      </c>
      <c r="CQ649">
        <v>0.48888900000000002</v>
      </c>
      <c r="CR649">
        <v>0.9375</v>
      </c>
      <c r="CS649">
        <v>32.592593000000001</v>
      </c>
      <c r="CT649">
        <v>50</v>
      </c>
      <c r="CU649" t="s">
        <v>125</v>
      </c>
      <c r="CV649" t="s">
        <v>125</v>
      </c>
      <c r="CW649" t="s">
        <v>125</v>
      </c>
      <c r="CX649" t="s">
        <v>125</v>
      </c>
      <c r="CY649" t="s">
        <v>125</v>
      </c>
      <c r="CZ649" t="s">
        <v>125</v>
      </c>
      <c r="DA649">
        <v>15.314097</v>
      </c>
      <c r="DB649">
        <v>17.400950000000002</v>
      </c>
      <c r="DC649">
        <v>16.332519999999999</v>
      </c>
      <c r="DD649" t="s">
        <v>125</v>
      </c>
      <c r="DE649">
        <v>0</v>
      </c>
      <c r="DF649" t="s">
        <v>385</v>
      </c>
      <c r="DG649" t="s">
        <v>418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Q649" t="s">
        <v>126</v>
      </c>
    </row>
    <row r="650" spans="1:121" x14ac:dyDescent="0.15">
      <c r="A650">
        <v>2018</v>
      </c>
      <c r="B650" t="s">
        <v>166</v>
      </c>
      <c r="C650" t="str">
        <f t="shared" si="25"/>
        <v>0890011</v>
      </c>
      <c r="D650" t="s">
        <v>806</v>
      </c>
      <c r="E650" t="str">
        <f>"0895311"</f>
        <v>0895311</v>
      </c>
      <c r="F650" t="s">
        <v>328</v>
      </c>
      <c r="G650">
        <v>6</v>
      </c>
      <c r="H650">
        <v>8</v>
      </c>
      <c r="I650" t="s">
        <v>336</v>
      </c>
      <c r="J650" t="s">
        <v>331</v>
      </c>
      <c r="K650">
        <v>423.84471100000002</v>
      </c>
      <c r="L650">
        <v>1000</v>
      </c>
      <c r="M650">
        <v>42.384470999999998</v>
      </c>
      <c r="N650">
        <v>5</v>
      </c>
      <c r="O650">
        <v>0</v>
      </c>
      <c r="P650">
        <v>45.521056000000002</v>
      </c>
      <c r="Q650">
        <v>30.347370999999999</v>
      </c>
      <c r="R650">
        <v>50</v>
      </c>
      <c r="S650">
        <v>44.383786000000001</v>
      </c>
      <c r="T650">
        <v>58.283757999999999</v>
      </c>
      <c r="U650">
        <v>29.589191</v>
      </c>
      <c r="V650">
        <v>50</v>
      </c>
      <c r="W650">
        <v>35.150916000000002</v>
      </c>
      <c r="X650">
        <v>23.433944</v>
      </c>
      <c r="Y650">
        <v>50</v>
      </c>
      <c r="Z650">
        <v>48.982360999999997</v>
      </c>
      <c r="AA650">
        <v>33.898932000000002</v>
      </c>
      <c r="AB650">
        <v>22.599288000000001</v>
      </c>
      <c r="AC650">
        <v>50</v>
      </c>
      <c r="AD650">
        <v>44.303463000000001</v>
      </c>
      <c r="AE650">
        <v>29.535641999999999</v>
      </c>
      <c r="AF650">
        <v>50</v>
      </c>
      <c r="AG650">
        <v>43.545509000000003</v>
      </c>
      <c r="AH650" t="s">
        <v>125</v>
      </c>
      <c r="AI650">
        <v>29.030339000000001</v>
      </c>
      <c r="AJ650">
        <v>50</v>
      </c>
      <c r="AK650">
        <v>13.89</v>
      </c>
      <c r="AL650">
        <v>15.08</v>
      </c>
      <c r="AM650" t="s">
        <v>125</v>
      </c>
      <c r="AN650">
        <v>0.42835099999999998</v>
      </c>
      <c r="AO650">
        <v>42.835140000000003</v>
      </c>
      <c r="AP650">
        <v>100</v>
      </c>
      <c r="AQ650">
        <v>0.35688700000000001</v>
      </c>
      <c r="AR650">
        <v>35.688687000000002</v>
      </c>
      <c r="AS650">
        <v>100</v>
      </c>
      <c r="AT650">
        <v>0.43162899999999998</v>
      </c>
      <c r="AU650">
        <v>0.39401700000000001</v>
      </c>
      <c r="AV650">
        <v>43.162855999999998</v>
      </c>
      <c r="AW650">
        <v>100</v>
      </c>
      <c r="AX650">
        <v>0.35866100000000001</v>
      </c>
      <c r="AY650">
        <v>0.33855000000000002</v>
      </c>
      <c r="AZ650">
        <v>35.866050999999999</v>
      </c>
      <c r="BA650">
        <v>100</v>
      </c>
      <c r="BB650">
        <v>0.49827100000000002</v>
      </c>
      <c r="BC650">
        <v>24.913544000000002</v>
      </c>
      <c r="BD650">
        <v>50</v>
      </c>
      <c r="BE650">
        <v>0.419902</v>
      </c>
      <c r="BF650">
        <v>20.995121999999999</v>
      </c>
      <c r="BG650">
        <v>50</v>
      </c>
      <c r="BH650">
        <v>0</v>
      </c>
      <c r="BI650">
        <v>0.98863599999999996</v>
      </c>
      <c r="BJ650">
        <v>0.98770000000000002</v>
      </c>
      <c r="BK650">
        <v>1</v>
      </c>
      <c r="BL650">
        <v>0.97383399999999998</v>
      </c>
      <c r="BM650">
        <v>0.97167499999999996</v>
      </c>
      <c r="BN650">
        <v>1</v>
      </c>
      <c r="BO650">
        <v>0.97857099999999997</v>
      </c>
      <c r="BP650">
        <v>0.97701099999999996</v>
      </c>
      <c r="BQ650" t="s">
        <v>125</v>
      </c>
      <c r="BR650">
        <v>0.278613</v>
      </c>
      <c r="BS650">
        <v>4.2774570000000001</v>
      </c>
      <c r="BT650">
        <v>50</v>
      </c>
      <c r="BU650">
        <v>0.29308200000000001</v>
      </c>
      <c r="BV650">
        <v>1.383648</v>
      </c>
      <c r="BW650">
        <v>50</v>
      </c>
      <c r="BX650" t="s">
        <v>125</v>
      </c>
      <c r="BY650" t="s">
        <v>125</v>
      </c>
      <c r="BZ650" t="s">
        <v>125</v>
      </c>
      <c r="CA650" t="s">
        <v>125</v>
      </c>
      <c r="CB650" t="s">
        <v>125</v>
      </c>
      <c r="CC650" t="s">
        <v>125</v>
      </c>
      <c r="CD650">
        <v>0.64285700000000001</v>
      </c>
      <c r="CE650">
        <v>34.194529000000003</v>
      </c>
      <c r="CF650">
        <v>50</v>
      </c>
      <c r="CG650" t="s">
        <v>125</v>
      </c>
      <c r="CH650" t="s">
        <v>125</v>
      </c>
      <c r="CI650" t="s">
        <v>125</v>
      </c>
      <c r="CJ650" t="s">
        <v>125</v>
      </c>
      <c r="CK650" t="s">
        <v>125</v>
      </c>
      <c r="CL650" t="s">
        <v>125</v>
      </c>
      <c r="CM650" t="s">
        <v>125</v>
      </c>
      <c r="CN650" t="s">
        <v>125</v>
      </c>
      <c r="CO650" t="s">
        <v>125</v>
      </c>
      <c r="CP650" t="s">
        <v>125</v>
      </c>
      <c r="CQ650">
        <v>0.47975699999999999</v>
      </c>
      <c r="CR650">
        <v>0.83728800000000003</v>
      </c>
      <c r="CS650">
        <v>15.991903000000001</v>
      </c>
      <c r="CT650">
        <v>50</v>
      </c>
      <c r="CU650" t="s">
        <v>125</v>
      </c>
      <c r="CV650" t="s">
        <v>125</v>
      </c>
      <c r="CW650" t="s">
        <v>125</v>
      </c>
      <c r="CX650" t="s">
        <v>125</v>
      </c>
      <c r="CY650" t="s">
        <v>125</v>
      </c>
      <c r="CZ650" t="s">
        <v>125</v>
      </c>
      <c r="DA650">
        <v>15.314097</v>
      </c>
      <c r="DB650">
        <v>17.400950000000002</v>
      </c>
      <c r="DC650">
        <v>16.332519999999999</v>
      </c>
      <c r="DD650" t="s">
        <v>125</v>
      </c>
      <c r="DE650">
        <v>0</v>
      </c>
      <c r="DF650" t="s">
        <v>376</v>
      </c>
      <c r="DG650" t="s">
        <v>377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Q650" t="s">
        <v>126</v>
      </c>
    </row>
    <row r="651" spans="1:121" x14ac:dyDescent="0.15">
      <c r="A651">
        <v>2018</v>
      </c>
      <c r="B651" t="s">
        <v>166</v>
      </c>
      <c r="C651" t="str">
        <f t="shared" si="25"/>
        <v>0890011</v>
      </c>
      <c r="D651" t="s">
        <v>807</v>
      </c>
      <c r="E651" t="str">
        <f>"0895211"</f>
        <v>0895211</v>
      </c>
      <c r="F651" t="s">
        <v>328</v>
      </c>
      <c r="G651">
        <v>6</v>
      </c>
      <c r="H651">
        <v>8</v>
      </c>
      <c r="I651" t="s">
        <v>336</v>
      </c>
      <c r="J651" t="s">
        <v>331</v>
      </c>
      <c r="K651">
        <v>429.86152800000002</v>
      </c>
      <c r="L651">
        <v>1000</v>
      </c>
      <c r="M651">
        <v>42.986153000000002</v>
      </c>
      <c r="N651">
        <v>5</v>
      </c>
      <c r="O651">
        <v>0</v>
      </c>
      <c r="P651">
        <v>45.399489000000003</v>
      </c>
      <c r="Q651">
        <v>30.266325999999999</v>
      </c>
      <c r="R651">
        <v>50</v>
      </c>
      <c r="S651">
        <v>44.727415000000001</v>
      </c>
      <c r="T651">
        <v>55.096545999999996</v>
      </c>
      <c r="U651">
        <v>29.818276999999998</v>
      </c>
      <c r="V651">
        <v>50</v>
      </c>
      <c r="W651">
        <v>35.232731999999999</v>
      </c>
      <c r="X651">
        <v>23.488488</v>
      </c>
      <c r="Y651">
        <v>50</v>
      </c>
      <c r="Z651">
        <v>41.087767999999997</v>
      </c>
      <c r="AA651">
        <v>34.827772000000003</v>
      </c>
      <c r="AB651">
        <v>23.218515</v>
      </c>
      <c r="AC651">
        <v>50</v>
      </c>
      <c r="AD651">
        <v>40.946902999999999</v>
      </c>
      <c r="AE651">
        <v>27.297936</v>
      </c>
      <c r="AF651">
        <v>50</v>
      </c>
      <c r="AG651">
        <v>40.859346000000002</v>
      </c>
      <c r="AH651" t="s">
        <v>125</v>
      </c>
      <c r="AI651">
        <v>27.239564000000001</v>
      </c>
      <c r="AJ651">
        <v>50</v>
      </c>
      <c r="AK651">
        <v>10.36</v>
      </c>
      <c r="AL651">
        <v>6.25</v>
      </c>
      <c r="AM651" t="s">
        <v>125</v>
      </c>
      <c r="AN651">
        <v>0.45575199999999999</v>
      </c>
      <c r="AO651">
        <v>45.575218</v>
      </c>
      <c r="AP651">
        <v>100</v>
      </c>
      <c r="AQ651">
        <v>0.33609699999999998</v>
      </c>
      <c r="AR651">
        <v>33.609734000000003</v>
      </c>
      <c r="AS651">
        <v>100</v>
      </c>
      <c r="AT651">
        <v>0.45399200000000001</v>
      </c>
      <c r="AU651">
        <v>0.48011199999999998</v>
      </c>
      <c r="AV651">
        <v>45.399165000000004</v>
      </c>
      <c r="AW651">
        <v>100</v>
      </c>
      <c r="AX651">
        <v>0.34179399999999999</v>
      </c>
      <c r="AY651">
        <v>0.25914100000000001</v>
      </c>
      <c r="AZ651">
        <v>34.179352000000002</v>
      </c>
      <c r="BA651">
        <v>100</v>
      </c>
      <c r="BB651">
        <v>0.590507</v>
      </c>
      <c r="BC651">
        <v>29.525327999999998</v>
      </c>
      <c r="BD651">
        <v>50</v>
      </c>
      <c r="BE651">
        <v>0.46116699999999999</v>
      </c>
      <c r="BF651">
        <v>23.058327999999999</v>
      </c>
      <c r="BG651">
        <v>50</v>
      </c>
      <c r="BH651">
        <v>0</v>
      </c>
      <c r="BI651">
        <v>0.97538100000000005</v>
      </c>
      <c r="BJ651">
        <v>0.97733000000000003</v>
      </c>
      <c r="BK651">
        <v>0.94915300000000002</v>
      </c>
      <c r="BL651">
        <v>0.95779599999999998</v>
      </c>
      <c r="BM651">
        <v>0.95974800000000005</v>
      </c>
      <c r="BN651">
        <v>0.93103400000000003</v>
      </c>
      <c r="BO651">
        <v>0.973244</v>
      </c>
      <c r="BP651">
        <v>0.97142899999999999</v>
      </c>
      <c r="BQ651" t="s">
        <v>125</v>
      </c>
      <c r="BR651">
        <v>0.271868</v>
      </c>
      <c r="BS651">
        <v>5.6264779999999996</v>
      </c>
      <c r="BT651">
        <v>50</v>
      </c>
      <c r="BU651">
        <v>0.28335500000000002</v>
      </c>
      <c r="BV651">
        <v>3.3290980000000001</v>
      </c>
      <c r="BW651">
        <v>50</v>
      </c>
      <c r="BX651" t="s">
        <v>125</v>
      </c>
      <c r="BY651" t="s">
        <v>125</v>
      </c>
      <c r="BZ651" t="s">
        <v>125</v>
      </c>
      <c r="CA651" t="s">
        <v>125</v>
      </c>
      <c r="CB651" t="s">
        <v>125</v>
      </c>
      <c r="CC651" t="s">
        <v>125</v>
      </c>
      <c r="CD651">
        <v>0.70428000000000002</v>
      </c>
      <c r="CE651">
        <v>37.461709999999997</v>
      </c>
      <c r="CF651">
        <v>50</v>
      </c>
      <c r="CG651" t="s">
        <v>125</v>
      </c>
      <c r="CH651" t="s">
        <v>125</v>
      </c>
      <c r="CI651" t="s">
        <v>125</v>
      </c>
      <c r="CJ651" t="s">
        <v>125</v>
      </c>
      <c r="CK651" t="s">
        <v>125</v>
      </c>
      <c r="CL651" t="s">
        <v>125</v>
      </c>
      <c r="CM651" t="s">
        <v>125</v>
      </c>
      <c r="CN651" t="s">
        <v>125</v>
      </c>
      <c r="CO651" t="s">
        <v>125</v>
      </c>
      <c r="CP651" t="s">
        <v>125</v>
      </c>
      <c r="CQ651">
        <v>0.32303999999999999</v>
      </c>
      <c r="CR651">
        <v>0.73217399999999999</v>
      </c>
      <c r="CS651">
        <v>10.768013</v>
      </c>
      <c r="CT651">
        <v>50</v>
      </c>
      <c r="CU651" t="s">
        <v>125</v>
      </c>
      <c r="CV651" t="s">
        <v>125</v>
      </c>
      <c r="CW651" t="s">
        <v>125</v>
      </c>
      <c r="CX651" t="s">
        <v>125</v>
      </c>
      <c r="CY651" t="s">
        <v>125</v>
      </c>
      <c r="CZ651" t="s">
        <v>125</v>
      </c>
      <c r="DA651">
        <v>15.314097</v>
      </c>
      <c r="DB651">
        <v>17.400950000000002</v>
      </c>
      <c r="DC651">
        <v>16.332519999999999</v>
      </c>
      <c r="DD651" t="s">
        <v>125</v>
      </c>
      <c r="DE651">
        <v>0</v>
      </c>
      <c r="DF651" t="s">
        <v>376</v>
      </c>
      <c r="DG651" t="s">
        <v>377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Q651" t="s">
        <v>126</v>
      </c>
    </row>
    <row r="652" spans="1:121" x14ac:dyDescent="0.15">
      <c r="A652">
        <v>2018</v>
      </c>
      <c r="B652" t="s">
        <v>166</v>
      </c>
      <c r="C652" t="str">
        <f t="shared" si="25"/>
        <v>0890011</v>
      </c>
      <c r="D652" t="s">
        <v>808</v>
      </c>
      <c r="E652" t="str">
        <f>"0891211"</f>
        <v>0891211</v>
      </c>
      <c r="F652" t="s">
        <v>328</v>
      </c>
      <c r="G652" t="s">
        <v>339</v>
      </c>
      <c r="H652">
        <v>5</v>
      </c>
      <c r="I652" t="s">
        <v>336</v>
      </c>
      <c r="J652" t="s">
        <v>331</v>
      </c>
      <c r="K652">
        <v>447.74677500000001</v>
      </c>
      <c r="L652">
        <v>950</v>
      </c>
      <c r="M652">
        <v>47.131239000000001</v>
      </c>
      <c r="N652">
        <v>5</v>
      </c>
      <c r="O652">
        <v>0</v>
      </c>
      <c r="P652">
        <v>46.060524999999998</v>
      </c>
      <c r="Q652">
        <v>30.707015999999999</v>
      </c>
      <c r="R652">
        <v>50</v>
      </c>
      <c r="S652">
        <v>45.799931000000001</v>
      </c>
      <c r="T652" t="s">
        <v>125</v>
      </c>
      <c r="U652">
        <v>30.533287000000001</v>
      </c>
      <c r="V652">
        <v>50</v>
      </c>
      <c r="W652">
        <v>41.040002999999999</v>
      </c>
      <c r="X652">
        <v>27.360002000000001</v>
      </c>
      <c r="Y652">
        <v>50</v>
      </c>
      <c r="Z652" t="s">
        <v>125</v>
      </c>
      <c r="AA652">
        <v>40.998038000000001</v>
      </c>
      <c r="AB652">
        <v>27.332025000000002</v>
      </c>
      <c r="AC652">
        <v>50</v>
      </c>
      <c r="AD652">
        <v>45.292627000000003</v>
      </c>
      <c r="AE652">
        <v>30.195084000000001</v>
      </c>
      <c r="AF652">
        <v>50</v>
      </c>
      <c r="AG652">
        <v>45.292627000000003</v>
      </c>
      <c r="AH652" t="s">
        <v>125</v>
      </c>
      <c r="AI652">
        <v>30.195084000000001</v>
      </c>
      <c r="AJ652">
        <v>50</v>
      </c>
      <c r="AK652" t="s">
        <v>125</v>
      </c>
      <c r="AL652" t="s">
        <v>125</v>
      </c>
      <c r="AM652" t="s">
        <v>125</v>
      </c>
      <c r="AN652">
        <v>0.46138499999999999</v>
      </c>
      <c r="AO652">
        <v>46.138516000000003</v>
      </c>
      <c r="AP652">
        <v>100</v>
      </c>
      <c r="AQ652">
        <v>0.52606200000000003</v>
      </c>
      <c r="AR652">
        <v>52.606214000000001</v>
      </c>
      <c r="AS652">
        <v>100</v>
      </c>
      <c r="AT652">
        <v>0.46308700000000003</v>
      </c>
      <c r="AU652" t="s">
        <v>125</v>
      </c>
      <c r="AV652">
        <v>46.308669000000002</v>
      </c>
      <c r="AW652">
        <v>100</v>
      </c>
      <c r="AX652">
        <v>0.53380700000000003</v>
      </c>
      <c r="AY652" t="s">
        <v>125</v>
      </c>
      <c r="AZ652">
        <v>53.380729000000002</v>
      </c>
      <c r="BA652">
        <v>100</v>
      </c>
      <c r="BB652">
        <v>0.45897199999999999</v>
      </c>
      <c r="BC652">
        <v>22.948605000000001</v>
      </c>
      <c r="BD652">
        <v>50</v>
      </c>
      <c r="BE652">
        <v>0.485097</v>
      </c>
      <c r="BF652">
        <v>24.254857999999999</v>
      </c>
      <c r="BG652">
        <v>50</v>
      </c>
      <c r="BH652">
        <v>0</v>
      </c>
      <c r="BI652">
        <v>0.99365099999999995</v>
      </c>
      <c r="BJ652">
        <v>0.99674300000000005</v>
      </c>
      <c r="BK652" t="s">
        <v>125</v>
      </c>
      <c r="BL652">
        <v>0.99053599999999997</v>
      </c>
      <c r="BM652">
        <v>0.993506</v>
      </c>
      <c r="BN652" t="s">
        <v>125</v>
      </c>
      <c r="BO652">
        <v>0.98876399999999998</v>
      </c>
      <c r="BP652">
        <v>0.98863599999999996</v>
      </c>
      <c r="BQ652" t="s">
        <v>125</v>
      </c>
      <c r="BR652">
        <v>0.26412200000000002</v>
      </c>
      <c r="BS652">
        <v>7.175573</v>
      </c>
      <c r="BT652">
        <v>50</v>
      </c>
      <c r="BU652">
        <v>0.263492</v>
      </c>
      <c r="BV652">
        <v>7.3015869999999996</v>
      </c>
      <c r="BW652">
        <v>50</v>
      </c>
      <c r="BX652" t="s">
        <v>125</v>
      </c>
      <c r="BY652" t="s">
        <v>125</v>
      </c>
      <c r="BZ652" t="s">
        <v>125</v>
      </c>
      <c r="CA652" t="s">
        <v>125</v>
      </c>
      <c r="CB652" t="s">
        <v>125</v>
      </c>
      <c r="CC652" t="s">
        <v>125</v>
      </c>
      <c r="CD652" t="s">
        <v>125</v>
      </c>
      <c r="CE652" t="s">
        <v>125</v>
      </c>
      <c r="CF652" t="s">
        <v>125</v>
      </c>
      <c r="CG652" t="s">
        <v>125</v>
      </c>
      <c r="CH652" t="s">
        <v>125</v>
      </c>
      <c r="CI652" t="s">
        <v>125</v>
      </c>
      <c r="CJ652" t="s">
        <v>125</v>
      </c>
      <c r="CK652" t="s">
        <v>125</v>
      </c>
      <c r="CL652" t="s">
        <v>125</v>
      </c>
      <c r="CM652" t="s">
        <v>125</v>
      </c>
      <c r="CN652" t="s">
        <v>125</v>
      </c>
      <c r="CO652" t="s">
        <v>125</v>
      </c>
      <c r="CP652" t="s">
        <v>125</v>
      </c>
      <c r="CQ652">
        <v>0.16964299999999999</v>
      </c>
      <c r="CR652">
        <v>1.027523</v>
      </c>
      <c r="CS652">
        <v>11.309524</v>
      </c>
      <c r="CT652">
        <v>50</v>
      </c>
      <c r="CU652" t="s">
        <v>125</v>
      </c>
      <c r="CV652" t="s">
        <v>125</v>
      </c>
      <c r="CW652" t="s">
        <v>125</v>
      </c>
      <c r="CX652" t="s">
        <v>125</v>
      </c>
      <c r="CY652" t="s">
        <v>125</v>
      </c>
      <c r="CZ652" t="s">
        <v>125</v>
      </c>
      <c r="DA652">
        <v>15.314097</v>
      </c>
      <c r="DB652">
        <v>17.400950000000002</v>
      </c>
      <c r="DC652">
        <v>16.332519999999999</v>
      </c>
      <c r="DD652" t="s">
        <v>125</v>
      </c>
      <c r="DE652">
        <v>0</v>
      </c>
      <c r="DF652" t="s">
        <v>376</v>
      </c>
      <c r="DG652" t="s">
        <v>377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Q652" t="s">
        <v>126</v>
      </c>
    </row>
    <row r="653" spans="1:121" x14ac:dyDescent="0.15">
      <c r="A653">
        <v>2018</v>
      </c>
      <c r="B653" t="s">
        <v>166</v>
      </c>
      <c r="C653" t="str">
        <f t="shared" si="25"/>
        <v>0890011</v>
      </c>
      <c r="D653" t="s">
        <v>809</v>
      </c>
      <c r="E653" t="str">
        <f>"0891311"</f>
        <v>0891311</v>
      </c>
      <c r="F653" t="s">
        <v>328</v>
      </c>
      <c r="G653" t="s">
        <v>339</v>
      </c>
      <c r="H653">
        <v>5</v>
      </c>
      <c r="I653" t="s">
        <v>336</v>
      </c>
      <c r="J653" t="s">
        <v>331</v>
      </c>
      <c r="K653">
        <v>594.66245000000004</v>
      </c>
      <c r="L653">
        <v>950</v>
      </c>
      <c r="M653">
        <v>62.596046999999999</v>
      </c>
      <c r="N653">
        <v>3</v>
      </c>
      <c r="O653">
        <v>0</v>
      </c>
      <c r="P653">
        <v>52.249924</v>
      </c>
      <c r="Q653">
        <v>34.833283000000002</v>
      </c>
      <c r="R653">
        <v>50</v>
      </c>
      <c r="S653">
        <v>51.355465000000002</v>
      </c>
      <c r="T653">
        <v>59.834932999999999</v>
      </c>
      <c r="U653">
        <v>34.236977000000003</v>
      </c>
      <c r="V653">
        <v>50</v>
      </c>
      <c r="W653">
        <v>52.137349999999998</v>
      </c>
      <c r="X653">
        <v>34.758232999999997</v>
      </c>
      <c r="Y653">
        <v>50</v>
      </c>
      <c r="Z653">
        <v>58.985715999999996</v>
      </c>
      <c r="AA653">
        <v>51.344715000000001</v>
      </c>
      <c r="AB653">
        <v>34.229810000000001</v>
      </c>
      <c r="AC653">
        <v>50</v>
      </c>
      <c r="AD653">
        <v>52.998009000000003</v>
      </c>
      <c r="AE653">
        <v>35.332006</v>
      </c>
      <c r="AF653">
        <v>50</v>
      </c>
      <c r="AG653">
        <v>52.525466999999999</v>
      </c>
      <c r="AH653" t="s">
        <v>125</v>
      </c>
      <c r="AI653">
        <v>35.016978000000002</v>
      </c>
      <c r="AJ653">
        <v>50</v>
      </c>
      <c r="AK653">
        <v>8.4700000000000006</v>
      </c>
      <c r="AL653">
        <v>7.64</v>
      </c>
      <c r="AM653" t="s">
        <v>125</v>
      </c>
      <c r="AN653">
        <v>0.510687</v>
      </c>
      <c r="AO653">
        <v>51.068707000000003</v>
      </c>
      <c r="AP653">
        <v>100</v>
      </c>
      <c r="AQ653">
        <v>0.68381499999999995</v>
      </c>
      <c r="AR653">
        <v>68.381512000000001</v>
      </c>
      <c r="AS653">
        <v>100</v>
      </c>
      <c r="AT653">
        <v>0.50304899999999997</v>
      </c>
      <c r="AU653" t="s">
        <v>125</v>
      </c>
      <c r="AV653">
        <v>50.304927999999997</v>
      </c>
      <c r="AW653">
        <v>100</v>
      </c>
      <c r="AX653">
        <v>0.68023999999999996</v>
      </c>
      <c r="AY653" t="s">
        <v>125</v>
      </c>
      <c r="AZ653">
        <v>68.023951999999994</v>
      </c>
      <c r="BA653">
        <v>100</v>
      </c>
      <c r="BB653">
        <v>0.63574399999999998</v>
      </c>
      <c r="BC653">
        <v>31.787191</v>
      </c>
      <c r="BD653">
        <v>50</v>
      </c>
      <c r="BE653">
        <v>0.50119800000000003</v>
      </c>
      <c r="BF653">
        <v>25.059920000000002</v>
      </c>
      <c r="BG653">
        <v>50</v>
      </c>
      <c r="BH653">
        <v>0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 t="s">
        <v>125</v>
      </c>
      <c r="BR653">
        <v>0.110476</v>
      </c>
      <c r="BS653">
        <v>37.904761999999998</v>
      </c>
      <c r="BT653">
        <v>50</v>
      </c>
      <c r="BU653">
        <v>0.117521</v>
      </c>
      <c r="BV653">
        <v>36.495725999999998</v>
      </c>
      <c r="BW653">
        <v>50</v>
      </c>
      <c r="BX653" t="s">
        <v>125</v>
      </c>
      <c r="BY653" t="s">
        <v>125</v>
      </c>
      <c r="BZ653" t="s">
        <v>125</v>
      </c>
      <c r="CA653" t="s">
        <v>125</v>
      </c>
      <c r="CB653" t="s">
        <v>125</v>
      </c>
      <c r="CC653" t="s">
        <v>125</v>
      </c>
      <c r="CD653" t="s">
        <v>125</v>
      </c>
      <c r="CE653" t="s">
        <v>125</v>
      </c>
      <c r="CF653" t="s">
        <v>125</v>
      </c>
      <c r="CG653" t="s">
        <v>125</v>
      </c>
      <c r="CH653" t="s">
        <v>125</v>
      </c>
      <c r="CI653" t="s">
        <v>125</v>
      </c>
      <c r="CJ653" t="s">
        <v>125</v>
      </c>
      <c r="CK653" t="s">
        <v>125</v>
      </c>
      <c r="CL653" t="s">
        <v>125</v>
      </c>
      <c r="CM653" t="s">
        <v>125</v>
      </c>
      <c r="CN653" t="s">
        <v>125</v>
      </c>
      <c r="CO653" t="s">
        <v>125</v>
      </c>
      <c r="CP653" t="s">
        <v>125</v>
      </c>
      <c r="CQ653">
        <v>0.25842700000000002</v>
      </c>
      <c r="CR653">
        <v>0.94680900000000001</v>
      </c>
      <c r="CS653">
        <v>17.228463999999999</v>
      </c>
      <c r="CT653">
        <v>50</v>
      </c>
      <c r="CU653" t="s">
        <v>125</v>
      </c>
      <c r="CV653" t="s">
        <v>125</v>
      </c>
      <c r="CW653" t="s">
        <v>125</v>
      </c>
      <c r="CX653" t="s">
        <v>125</v>
      </c>
      <c r="CY653" t="s">
        <v>125</v>
      </c>
      <c r="CZ653" t="s">
        <v>125</v>
      </c>
      <c r="DA653">
        <v>15.314097</v>
      </c>
      <c r="DB653">
        <v>17.400950000000002</v>
      </c>
      <c r="DC653">
        <v>16.332519999999999</v>
      </c>
      <c r="DD653" t="s">
        <v>125</v>
      </c>
      <c r="DE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Q653" t="s">
        <v>126</v>
      </c>
    </row>
    <row r="654" spans="1:121" x14ac:dyDescent="0.15">
      <c r="A654">
        <v>2018</v>
      </c>
      <c r="B654" t="s">
        <v>166</v>
      </c>
      <c r="C654" t="str">
        <f t="shared" si="25"/>
        <v>0890011</v>
      </c>
      <c r="D654" t="s">
        <v>810</v>
      </c>
      <c r="E654" t="str">
        <f>"0891511"</f>
        <v>0891511</v>
      </c>
      <c r="F654" t="s">
        <v>328</v>
      </c>
      <c r="G654" t="s">
        <v>339</v>
      </c>
      <c r="H654">
        <v>5</v>
      </c>
      <c r="I654" t="s">
        <v>336</v>
      </c>
      <c r="J654" t="s">
        <v>331</v>
      </c>
      <c r="K654">
        <v>568.51224200000001</v>
      </c>
      <c r="L654">
        <v>950</v>
      </c>
      <c r="M654">
        <v>59.843394000000004</v>
      </c>
      <c r="N654">
        <v>3</v>
      </c>
      <c r="O654">
        <v>1</v>
      </c>
      <c r="P654">
        <v>51.878202000000002</v>
      </c>
      <c r="Q654">
        <v>34.585467999999999</v>
      </c>
      <c r="R654">
        <v>50</v>
      </c>
      <c r="S654">
        <v>49.657581</v>
      </c>
      <c r="T654">
        <v>65.125360000000001</v>
      </c>
      <c r="U654">
        <v>33.105054000000003</v>
      </c>
      <c r="V654">
        <v>50</v>
      </c>
      <c r="W654">
        <v>46.047083999999998</v>
      </c>
      <c r="X654">
        <v>30.698056000000001</v>
      </c>
      <c r="Y654">
        <v>50</v>
      </c>
      <c r="Z654">
        <v>58.384269000000003</v>
      </c>
      <c r="AA654">
        <v>43.966977</v>
      </c>
      <c r="AB654">
        <v>29.311318</v>
      </c>
      <c r="AC654">
        <v>50</v>
      </c>
      <c r="AD654">
        <v>50.004244</v>
      </c>
      <c r="AE654">
        <v>33.336162999999999</v>
      </c>
      <c r="AF654">
        <v>50</v>
      </c>
      <c r="AG654">
        <v>47.013558000000003</v>
      </c>
      <c r="AH654" t="s">
        <v>125</v>
      </c>
      <c r="AI654">
        <v>31.342372000000001</v>
      </c>
      <c r="AJ654">
        <v>50</v>
      </c>
      <c r="AK654">
        <v>15.46</v>
      </c>
      <c r="AL654">
        <v>14.41</v>
      </c>
      <c r="AM654" t="s">
        <v>125</v>
      </c>
      <c r="AN654">
        <v>0.54830199999999996</v>
      </c>
      <c r="AO654">
        <v>54.830198000000003</v>
      </c>
      <c r="AP654">
        <v>100</v>
      </c>
      <c r="AQ654">
        <v>0.60054099999999999</v>
      </c>
      <c r="AR654">
        <v>60.054102</v>
      </c>
      <c r="AS654">
        <v>100</v>
      </c>
      <c r="AT654">
        <v>0.52754299999999998</v>
      </c>
      <c r="AU654" t="s">
        <v>125</v>
      </c>
      <c r="AV654">
        <v>52.754339000000002</v>
      </c>
      <c r="AW654">
        <v>100</v>
      </c>
      <c r="AX654">
        <v>0.56254300000000002</v>
      </c>
      <c r="AY654" t="s">
        <v>125</v>
      </c>
      <c r="AZ654">
        <v>56.254255999999998</v>
      </c>
      <c r="BA654">
        <v>100</v>
      </c>
      <c r="BB654">
        <v>0.60765899999999995</v>
      </c>
      <c r="BC654">
        <v>30.382971999999999</v>
      </c>
      <c r="BD654">
        <v>50</v>
      </c>
      <c r="BE654">
        <v>0.59869700000000003</v>
      </c>
      <c r="BF654">
        <v>29.934861999999999</v>
      </c>
      <c r="BG654">
        <v>50</v>
      </c>
      <c r="BH654">
        <v>0</v>
      </c>
      <c r="BI654">
        <v>1</v>
      </c>
      <c r="BJ654">
        <v>1</v>
      </c>
      <c r="BK654">
        <v>1</v>
      </c>
      <c r="BL654">
        <v>0.99576299999999995</v>
      </c>
      <c r="BM654">
        <v>0.99507400000000001</v>
      </c>
      <c r="BN654">
        <v>1</v>
      </c>
      <c r="BO654">
        <v>1</v>
      </c>
      <c r="BP654">
        <v>1</v>
      </c>
      <c r="BQ654" t="s">
        <v>125</v>
      </c>
      <c r="BR654">
        <v>0.15835099999999999</v>
      </c>
      <c r="BS654">
        <v>28.329718</v>
      </c>
      <c r="BT654">
        <v>50</v>
      </c>
      <c r="BU654">
        <v>0.16953299999999999</v>
      </c>
      <c r="BV654">
        <v>26.093366</v>
      </c>
      <c r="BW654">
        <v>50</v>
      </c>
      <c r="BX654" t="s">
        <v>125</v>
      </c>
      <c r="BY654" t="s">
        <v>125</v>
      </c>
      <c r="BZ654" t="s">
        <v>125</v>
      </c>
      <c r="CA654" t="s">
        <v>125</v>
      </c>
      <c r="CB654" t="s">
        <v>125</v>
      </c>
      <c r="CC654" t="s">
        <v>125</v>
      </c>
      <c r="CD654" t="s">
        <v>125</v>
      </c>
      <c r="CE654" t="s">
        <v>125</v>
      </c>
      <c r="CF654" t="s">
        <v>125</v>
      </c>
      <c r="CG654" t="s">
        <v>125</v>
      </c>
      <c r="CH654" t="s">
        <v>125</v>
      </c>
      <c r="CI654" t="s">
        <v>125</v>
      </c>
      <c r="CJ654" t="s">
        <v>125</v>
      </c>
      <c r="CK654" t="s">
        <v>125</v>
      </c>
      <c r="CL654" t="s">
        <v>125</v>
      </c>
      <c r="CM654" t="s">
        <v>125</v>
      </c>
      <c r="CN654" t="s">
        <v>125</v>
      </c>
      <c r="CO654" t="s">
        <v>125</v>
      </c>
      <c r="CP654" t="s">
        <v>125</v>
      </c>
      <c r="CQ654">
        <v>0.5625</v>
      </c>
      <c r="CR654">
        <v>1.0126580000000001</v>
      </c>
      <c r="CS654">
        <v>37.5</v>
      </c>
      <c r="CT654">
        <v>50</v>
      </c>
      <c r="CU654" t="s">
        <v>125</v>
      </c>
      <c r="CV654" t="s">
        <v>125</v>
      </c>
      <c r="CW654" t="s">
        <v>125</v>
      </c>
      <c r="CX654" t="s">
        <v>125</v>
      </c>
      <c r="CY654" t="s">
        <v>125</v>
      </c>
      <c r="CZ654" t="s">
        <v>125</v>
      </c>
      <c r="DA654">
        <v>15.314097</v>
      </c>
      <c r="DB654">
        <v>17.400950000000002</v>
      </c>
      <c r="DC654">
        <v>16.332519999999999</v>
      </c>
      <c r="DD654" t="s">
        <v>125</v>
      </c>
      <c r="DE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Q654" t="s">
        <v>126</v>
      </c>
    </row>
    <row r="655" spans="1:121" x14ac:dyDescent="0.15">
      <c r="A655">
        <v>2018</v>
      </c>
      <c r="B655" t="s">
        <v>204</v>
      </c>
      <c r="C655" t="str">
        <f>"0900011"</f>
        <v>0900011</v>
      </c>
      <c r="D655" t="s">
        <v>811</v>
      </c>
      <c r="E655" t="str">
        <f>"0900411"</f>
        <v>0900411</v>
      </c>
      <c r="F655" t="s">
        <v>328</v>
      </c>
      <c r="G655" t="s">
        <v>339</v>
      </c>
      <c r="H655">
        <v>4</v>
      </c>
      <c r="J655" t="s">
        <v>331</v>
      </c>
      <c r="K655">
        <v>507.92955499999999</v>
      </c>
      <c r="L655">
        <v>550</v>
      </c>
      <c r="M655">
        <v>92.350828000000007</v>
      </c>
      <c r="N655">
        <v>2</v>
      </c>
      <c r="O655">
        <v>0</v>
      </c>
      <c r="P655">
        <v>86.885717999999997</v>
      </c>
      <c r="Q655">
        <v>50</v>
      </c>
      <c r="R655">
        <v>50</v>
      </c>
      <c r="S655">
        <v>68.380609000000007</v>
      </c>
      <c r="T655">
        <v>75</v>
      </c>
      <c r="U655">
        <v>45.587072999999997</v>
      </c>
      <c r="V655">
        <v>50</v>
      </c>
      <c r="W655">
        <v>84.967459000000005</v>
      </c>
      <c r="X655">
        <v>50</v>
      </c>
      <c r="Y655">
        <v>50</v>
      </c>
      <c r="Z655">
        <v>75</v>
      </c>
      <c r="AA655">
        <v>65.819073000000003</v>
      </c>
      <c r="AB655">
        <v>43.879382</v>
      </c>
      <c r="AC655">
        <v>50</v>
      </c>
      <c r="AD655" t="s">
        <v>125</v>
      </c>
      <c r="AE655" t="s">
        <v>125</v>
      </c>
      <c r="AF655" t="s">
        <v>125</v>
      </c>
      <c r="AG655" t="s">
        <v>125</v>
      </c>
      <c r="AH655" t="s">
        <v>125</v>
      </c>
      <c r="AI655" t="s">
        <v>125</v>
      </c>
      <c r="AJ655" t="s">
        <v>125</v>
      </c>
      <c r="AK655">
        <v>6.61</v>
      </c>
      <c r="AL655">
        <v>9.18</v>
      </c>
      <c r="AM655" t="s">
        <v>125</v>
      </c>
      <c r="AN655">
        <v>0.76864200000000005</v>
      </c>
      <c r="AO655">
        <v>76.864151000000007</v>
      </c>
      <c r="AP655">
        <v>100</v>
      </c>
      <c r="AQ655">
        <v>0.917439</v>
      </c>
      <c r="AR655">
        <v>91.743876</v>
      </c>
      <c r="AS655">
        <v>100</v>
      </c>
      <c r="AT655" t="s">
        <v>125</v>
      </c>
      <c r="AU655">
        <v>0.82046699999999995</v>
      </c>
      <c r="AV655" t="s">
        <v>125</v>
      </c>
      <c r="AW655" t="s">
        <v>125</v>
      </c>
      <c r="AX655" t="s">
        <v>125</v>
      </c>
      <c r="AY655">
        <v>0.94996100000000006</v>
      </c>
      <c r="AZ655" t="s">
        <v>125</v>
      </c>
      <c r="BA655" t="s">
        <v>125</v>
      </c>
      <c r="BB655" t="s">
        <v>125</v>
      </c>
      <c r="BC655" t="s">
        <v>125</v>
      </c>
      <c r="BD655" t="s">
        <v>125</v>
      </c>
      <c r="BE655" t="s">
        <v>125</v>
      </c>
      <c r="BF655" t="s">
        <v>125</v>
      </c>
      <c r="BG655" t="s">
        <v>125</v>
      </c>
      <c r="BH655">
        <v>1</v>
      </c>
      <c r="BI655">
        <v>0.98636400000000002</v>
      </c>
      <c r="BJ655">
        <v>0.93939399999999995</v>
      </c>
      <c r="BK655">
        <v>0.99465199999999998</v>
      </c>
      <c r="BL655">
        <v>0.98636400000000002</v>
      </c>
      <c r="BM655">
        <v>0.93939399999999995</v>
      </c>
      <c r="BN655">
        <v>0.99465199999999998</v>
      </c>
      <c r="BO655" t="s">
        <v>125</v>
      </c>
      <c r="BP655" t="s">
        <v>125</v>
      </c>
      <c r="BQ655" t="s">
        <v>125</v>
      </c>
      <c r="BR655">
        <v>2.4119000000000002E-2</v>
      </c>
      <c r="BS655">
        <v>50</v>
      </c>
      <c r="BT655">
        <v>50</v>
      </c>
      <c r="BU655">
        <v>1.4925000000000001E-2</v>
      </c>
      <c r="BV655">
        <v>50</v>
      </c>
      <c r="BW655">
        <v>50</v>
      </c>
      <c r="BX655" t="s">
        <v>125</v>
      </c>
      <c r="BY655" t="s">
        <v>125</v>
      </c>
      <c r="BZ655" t="s">
        <v>125</v>
      </c>
      <c r="CA655" t="s">
        <v>125</v>
      </c>
      <c r="CB655" t="s">
        <v>125</v>
      </c>
      <c r="CC655" t="s">
        <v>125</v>
      </c>
      <c r="CD655" t="s">
        <v>125</v>
      </c>
      <c r="CE655" t="s">
        <v>125</v>
      </c>
      <c r="CF655" t="s">
        <v>125</v>
      </c>
      <c r="CG655" t="s">
        <v>125</v>
      </c>
      <c r="CH655" t="s">
        <v>125</v>
      </c>
      <c r="CI655" t="s">
        <v>125</v>
      </c>
      <c r="CJ655" t="s">
        <v>125</v>
      </c>
      <c r="CK655" t="s">
        <v>125</v>
      </c>
      <c r="CL655" t="s">
        <v>125</v>
      </c>
      <c r="CM655" t="s">
        <v>125</v>
      </c>
      <c r="CN655" t="s">
        <v>125</v>
      </c>
      <c r="CO655" t="s">
        <v>125</v>
      </c>
      <c r="CP655" t="s">
        <v>125</v>
      </c>
      <c r="CQ655">
        <v>0.74782599999999999</v>
      </c>
      <c r="CR655">
        <v>0.98290599999999995</v>
      </c>
      <c r="CS655">
        <v>49.855072</v>
      </c>
      <c r="CT655">
        <v>50</v>
      </c>
      <c r="CU655" t="s">
        <v>125</v>
      </c>
      <c r="CV655" t="s">
        <v>125</v>
      </c>
      <c r="CW655" t="s">
        <v>125</v>
      </c>
      <c r="CX655" t="s">
        <v>125</v>
      </c>
      <c r="CY655" t="s">
        <v>125</v>
      </c>
      <c r="CZ655" t="s">
        <v>125</v>
      </c>
      <c r="DA655">
        <v>15.314097</v>
      </c>
      <c r="DB655">
        <v>17.400950000000002</v>
      </c>
      <c r="DC655">
        <v>16.332519999999999</v>
      </c>
      <c r="DD655" t="s">
        <v>125</v>
      </c>
      <c r="DE655">
        <v>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Q655" t="s">
        <v>126</v>
      </c>
    </row>
    <row r="656" spans="1:121" x14ac:dyDescent="0.15">
      <c r="A656">
        <v>2018</v>
      </c>
      <c r="B656" t="s">
        <v>204</v>
      </c>
      <c r="C656" t="str">
        <f>"0900011"</f>
        <v>0900011</v>
      </c>
      <c r="D656" t="s">
        <v>812</v>
      </c>
      <c r="E656" t="str">
        <f>"0906111"</f>
        <v>0906111</v>
      </c>
      <c r="F656" t="s">
        <v>328</v>
      </c>
      <c r="G656">
        <v>9</v>
      </c>
      <c r="H656">
        <v>12</v>
      </c>
      <c r="J656" t="s">
        <v>331</v>
      </c>
      <c r="K656">
        <v>1322.314073</v>
      </c>
      <c r="L656">
        <v>1450</v>
      </c>
      <c r="M656">
        <v>91.194074000000001</v>
      </c>
      <c r="N656">
        <v>2</v>
      </c>
      <c r="O656">
        <v>1</v>
      </c>
      <c r="P656">
        <v>76.54786</v>
      </c>
      <c r="Q656">
        <v>150</v>
      </c>
      <c r="R656">
        <v>150</v>
      </c>
      <c r="S656">
        <v>54.738095000000001</v>
      </c>
      <c r="T656">
        <v>75</v>
      </c>
      <c r="U656">
        <v>109.47619</v>
      </c>
      <c r="V656">
        <v>150</v>
      </c>
      <c r="W656">
        <v>76.521021000000005</v>
      </c>
      <c r="X656">
        <v>150</v>
      </c>
      <c r="Y656">
        <v>150</v>
      </c>
      <c r="Z656">
        <v>75</v>
      </c>
      <c r="AA656">
        <v>53.201587000000004</v>
      </c>
      <c r="AB656">
        <v>106.403175</v>
      </c>
      <c r="AC656">
        <v>150</v>
      </c>
      <c r="AD656">
        <v>76.244741000000005</v>
      </c>
      <c r="AE656">
        <v>100</v>
      </c>
      <c r="AF656">
        <v>100</v>
      </c>
      <c r="AG656">
        <v>57.396284999999999</v>
      </c>
      <c r="AH656">
        <v>75</v>
      </c>
      <c r="AI656">
        <v>76.528379999999999</v>
      </c>
      <c r="AJ656">
        <v>100</v>
      </c>
      <c r="AK656">
        <v>20.260000000000002</v>
      </c>
      <c r="AL656">
        <v>21.79</v>
      </c>
      <c r="AM656">
        <v>17.600000000000001</v>
      </c>
      <c r="AN656" t="s">
        <v>125</v>
      </c>
      <c r="AO656" t="s">
        <v>125</v>
      </c>
      <c r="AP656" t="s">
        <v>125</v>
      </c>
      <c r="AQ656" t="s">
        <v>125</v>
      </c>
      <c r="AR656" t="s">
        <v>125</v>
      </c>
      <c r="AS656" t="s">
        <v>125</v>
      </c>
      <c r="AT656" t="s">
        <v>125</v>
      </c>
      <c r="AU656" t="s">
        <v>125</v>
      </c>
      <c r="AV656" t="s">
        <v>125</v>
      </c>
      <c r="AW656" t="s">
        <v>125</v>
      </c>
      <c r="AX656" t="s">
        <v>125</v>
      </c>
      <c r="AY656" t="s">
        <v>125</v>
      </c>
      <c r="AZ656" t="s">
        <v>125</v>
      </c>
      <c r="BA656" t="s">
        <v>125</v>
      </c>
      <c r="BB656" t="s">
        <v>125</v>
      </c>
      <c r="BC656" t="s">
        <v>125</v>
      </c>
      <c r="BD656" t="s">
        <v>125</v>
      </c>
      <c r="BE656" t="s">
        <v>125</v>
      </c>
      <c r="BF656" t="s">
        <v>125</v>
      </c>
      <c r="BG656" t="s">
        <v>125</v>
      </c>
      <c r="BH656">
        <v>1</v>
      </c>
      <c r="BI656">
        <v>0.98355300000000001</v>
      </c>
      <c r="BJ656">
        <v>0.94736799999999999</v>
      </c>
      <c r="BK656">
        <v>0.98872199999999999</v>
      </c>
      <c r="BL656">
        <v>0.98355300000000001</v>
      </c>
      <c r="BM656">
        <v>0.94736799999999999</v>
      </c>
      <c r="BN656">
        <v>0.98872199999999999</v>
      </c>
      <c r="BO656">
        <v>0.993421</v>
      </c>
      <c r="BP656">
        <v>0.94736799999999999</v>
      </c>
      <c r="BQ656">
        <v>1</v>
      </c>
      <c r="BR656">
        <v>4.5985999999999999E-2</v>
      </c>
      <c r="BS656">
        <v>50</v>
      </c>
      <c r="BT656">
        <v>50</v>
      </c>
      <c r="BU656">
        <v>9.0909000000000004E-2</v>
      </c>
      <c r="BV656">
        <v>41.818182</v>
      </c>
      <c r="BW656">
        <v>50</v>
      </c>
      <c r="BX656">
        <v>0.98713799999999996</v>
      </c>
      <c r="BY656">
        <v>50</v>
      </c>
      <c r="BZ656">
        <v>50</v>
      </c>
      <c r="CA656">
        <v>0.85209000000000001</v>
      </c>
      <c r="CB656">
        <v>50</v>
      </c>
      <c r="CC656">
        <v>50</v>
      </c>
      <c r="CD656">
        <v>0.986348</v>
      </c>
      <c r="CE656">
        <v>50</v>
      </c>
      <c r="CF656">
        <v>50</v>
      </c>
      <c r="CG656">
        <v>0.98717900000000003</v>
      </c>
      <c r="CH656">
        <v>100</v>
      </c>
      <c r="CI656">
        <v>100</v>
      </c>
      <c r="CJ656">
        <v>0</v>
      </c>
      <c r="CK656">
        <v>0.97674399999999995</v>
      </c>
      <c r="CL656">
        <v>100</v>
      </c>
      <c r="CM656">
        <v>100</v>
      </c>
      <c r="CN656">
        <v>0.85667800000000005</v>
      </c>
      <c r="CO656">
        <v>100</v>
      </c>
      <c r="CP656">
        <v>100</v>
      </c>
      <c r="CQ656">
        <v>0.66855500000000001</v>
      </c>
      <c r="CR656">
        <v>0.95923899999999995</v>
      </c>
      <c r="CS656">
        <v>44.570349</v>
      </c>
      <c r="CT656">
        <v>50</v>
      </c>
      <c r="CU656">
        <v>0.52221399999999996</v>
      </c>
      <c r="CV656">
        <v>43.517797000000002</v>
      </c>
      <c r="CW656">
        <v>50</v>
      </c>
      <c r="CX656">
        <v>0.97674399999999995</v>
      </c>
      <c r="CY656">
        <v>0.94</v>
      </c>
      <c r="CZ656">
        <v>-3.6743999999999999E-2</v>
      </c>
      <c r="DA656">
        <v>15.314097</v>
      </c>
      <c r="DB656">
        <v>17.400950000000002</v>
      </c>
      <c r="DC656">
        <v>16.332519999999999</v>
      </c>
      <c r="DD656">
        <v>7.9891730000000001</v>
      </c>
      <c r="DE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Q656" t="s">
        <v>126</v>
      </c>
    </row>
    <row r="657" spans="1:121" x14ac:dyDescent="0.15">
      <c r="A657">
        <v>2018</v>
      </c>
      <c r="B657" t="s">
        <v>204</v>
      </c>
      <c r="C657" t="str">
        <f>"0900011"</f>
        <v>0900011</v>
      </c>
      <c r="D657" t="s">
        <v>813</v>
      </c>
      <c r="E657" t="str">
        <f>"0905111"</f>
        <v>0905111</v>
      </c>
      <c r="F657" t="s">
        <v>328</v>
      </c>
      <c r="G657">
        <v>5</v>
      </c>
      <c r="H657">
        <v>8</v>
      </c>
      <c r="I657" t="s">
        <v>336</v>
      </c>
      <c r="J657" t="s">
        <v>331</v>
      </c>
      <c r="K657">
        <v>747.16285800000003</v>
      </c>
      <c r="L657">
        <v>900</v>
      </c>
      <c r="M657">
        <v>83.018095000000002</v>
      </c>
      <c r="N657">
        <v>2</v>
      </c>
      <c r="O657">
        <v>0</v>
      </c>
      <c r="P657">
        <v>87.751293000000004</v>
      </c>
      <c r="Q657">
        <v>50</v>
      </c>
      <c r="R657">
        <v>50</v>
      </c>
      <c r="S657">
        <v>67.151373000000007</v>
      </c>
      <c r="T657">
        <v>75</v>
      </c>
      <c r="U657">
        <v>44.767581999999997</v>
      </c>
      <c r="V657">
        <v>50</v>
      </c>
      <c r="W657">
        <v>87.309132000000005</v>
      </c>
      <c r="X657">
        <v>50</v>
      </c>
      <c r="Y657">
        <v>50</v>
      </c>
      <c r="Z657">
        <v>75</v>
      </c>
      <c r="AA657">
        <v>66.476590999999999</v>
      </c>
      <c r="AB657">
        <v>44.317726999999998</v>
      </c>
      <c r="AC657">
        <v>50</v>
      </c>
      <c r="AD657">
        <v>84.018563</v>
      </c>
      <c r="AE657">
        <v>50</v>
      </c>
      <c r="AF657">
        <v>50</v>
      </c>
      <c r="AG657">
        <v>67.217838</v>
      </c>
      <c r="AH657">
        <v>75</v>
      </c>
      <c r="AI657">
        <v>44.811892</v>
      </c>
      <c r="AJ657">
        <v>50</v>
      </c>
      <c r="AK657">
        <v>7.84</v>
      </c>
      <c r="AL657">
        <v>8.52</v>
      </c>
      <c r="AM657">
        <v>7.78</v>
      </c>
      <c r="AN657">
        <v>0.69799999999999995</v>
      </c>
      <c r="AO657">
        <v>69.799964000000003</v>
      </c>
      <c r="AP657">
        <v>100</v>
      </c>
      <c r="AQ657">
        <v>0.82940899999999995</v>
      </c>
      <c r="AR657">
        <v>82.940903000000006</v>
      </c>
      <c r="AS657">
        <v>100</v>
      </c>
      <c r="AT657">
        <v>0.52534099999999995</v>
      </c>
      <c r="AU657">
        <v>0.72052700000000003</v>
      </c>
      <c r="AV657">
        <v>52.534132</v>
      </c>
      <c r="AW657">
        <v>100</v>
      </c>
      <c r="AX657">
        <v>0.57990699999999995</v>
      </c>
      <c r="AY657">
        <v>0.861765</v>
      </c>
      <c r="AZ657">
        <v>57.990658000000003</v>
      </c>
      <c r="BA657">
        <v>100</v>
      </c>
      <c r="BB657" t="s">
        <v>125</v>
      </c>
      <c r="BC657" t="s">
        <v>125</v>
      </c>
      <c r="BD657" t="s">
        <v>125</v>
      </c>
      <c r="BE657" t="s">
        <v>125</v>
      </c>
      <c r="BF657" t="s">
        <v>125</v>
      </c>
      <c r="BG657" t="s">
        <v>125</v>
      </c>
      <c r="BH657">
        <v>0</v>
      </c>
      <c r="BI657">
        <v>0.99032699999999996</v>
      </c>
      <c r="BJ657">
        <v>0.96482400000000001</v>
      </c>
      <c r="BK657">
        <v>0.99475999999999998</v>
      </c>
      <c r="BL657">
        <v>0.98958299999999999</v>
      </c>
      <c r="BM657">
        <v>0.96482400000000001</v>
      </c>
      <c r="BN657">
        <v>0.99388600000000005</v>
      </c>
      <c r="BO657">
        <v>0.99694199999999999</v>
      </c>
      <c r="BP657">
        <v>0.98958299999999999</v>
      </c>
      <c r="BQ657">
        <v>0.99820799999999998</v>
      </c>
      <c r="BR657">
        <v>3.5714000000000003E-2</v>
      </c>
      <c r="BS657">
        <v>50</v>
      </c>
      <c r="BT657">
        <v>50</v>
      </c>
      <c r="BU657">
        <v>4.5713999999999998E-2</v>
      </c>
      <c r="BV657">
        <v>50</v>
      </c>
      <c r="BW657">
        <v>50</v>
      </c>
      <c r="BX657" t="s">
        <v>125</v>
      </c>
      <c r="BY657" t="s">
        <v>125</v>
      </c>
      <c r="BZ657" t="s">
        <v>125</v>
      </c>
      <c r="CA657" t="s">
        <v>125</v>
      </c>
      <c r="CB657" t="s">
        <v>125</v>
      </c>
      <c r="CC657" t="s">
        <v>125</v>
      </c>
      <c r="CD657">
        <v>0.99259299999999995</v>
      </c>
      <c r="CE657">
        <v>50</v>
      </c>
      <c r="CF657">
        <v>50</v>
      </c>
      <c r="CG657" t="s">
        <v>125</v>
      </c>
      <c r="CH657" t="s">
        <v>125</v>
      </c>
      <c r="CI657" t="s">
        <v>125</v>
      </c>
      <c r="CJ657" t="s">
        <v>125</v>
      </c>
      <c r="CK657" t="s">
        <v>125</v>
      </c>
      <c r="CL657" t="s">
        <v>125</v>
      </c>
      <c r="CM657" t="s">
        <v>125</v>
      </c>
      <c r="CN657" t="s">
        <v>125</v>
      </c>
      <c r="CO657" t="s">
        <v>125</v>
      </c>
      <c r="CP657" t="s">
        <v>125</v>
      </c>
      <c r="CQ657">
        <v>0.77410500000000004</v>
      </c>
      <c r="CR657">
        <v>1.016807</v>
      </c>
      <c r="CS657">
        <v>50</v>
      </c>
      <c r="CT657">
        <v>50</v>
      </c>
      <c r="CU657" t="s">
        <v>125</v>
      </c>
      <c r="CV657" t="s">
        <v>125</v>
      </c>
      <c r="CW657" t="s">
        <v>125</v>
      </c>
      <c r="CX657" t="s">
        <v>125</v>
      </c>
      <c r="CY657" t="s">
        <v>125</v>
      </c>
      <c r="CZ657" t="s">
        <v>125</v>
      </c>
      <c r="DA657">
        <v>15.314097</v>
      </c>
      <c r="DB657">
        <v>17.400950000000002</v>
      </c>
      <c r="DC657">
        <v>16.332519999999999</v>
      </c>
      <c r="DD657" t="s">
        <v>125</v>
      </c>
      <c r="DE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Q657" t="s">
        <v>126</v>
      </c>
    </row>
    <row r="658" spans="1:121" x14ac:dyDescent="0.15">
      <c r="A658">
        <v>2018</v>
      </c>
      <c r="B658" t="s">
        <v>204</v>
      </c>
      <c r="C658" t="str">
        <f>"0900011"</f>
        <v>0900011</v>
      </c>
      <c r="D658" t="s">
        <v>814</v>
      </c>
      <c r="E658" t="str">
        <f>"0900211"</f>
        <v>0900211</v>
      </c>
      <c r="F658" t="s">
        <v>328</v>
      </c>
      <c r="G658" t="s">
        <v>339</v>
      </c>
      <c r="H658">
        <v>4</v>
      </c>
      <c r="J658" t="s">
        <v>331</v>
      </c>
      <c r="K658">
        <v>537.36035100000004</v>
      </c>
      <c r="L658">
        <v>550</v>
      </c>
      <c r="M658">
        <v>97.701881999999998</v>
      </c>
      <c r="N658">
        <v>1</v>
      </c>
      <c r="O658">
        <v>0</v>
      </c>
      <c r="P658">
        <v>91.212603999999999</v>
      </c>
      <c r="Q658">
        <v>50</v>
      </c>
      <c r="R658">
        <v>50</v>
      </c>
      <c r="S658">
        <v>76.321804999999998</v>
      </c>
      <c r="T658">
        <v>75</v>
      </c>
      <c r="U658">
        <v>50</v>
      </c>
      <c r="V658">
        <v>50</v>
      </c>
      <c r="W658">
        <v>89.705179000000001</v>
      </c>
      <c r="X658">
        <v>50</v>
      </c>
      <c r="Y658">
        <v>50</v>
      </c>
      <c r="Z658">
        <v>75</v>
      </c>
      <c r="AA658">
        <v>75.124695000000003</v>
      </c>
      <c r="AB658">
        <v>50</v>
      </c>
      <c r="AC658">
        <v>50</v>
      </c>
      <c r="AD658" t="s">
        <v>125</v>
      </c>
      <c r="AE658" t="s">
        <v>125</v>
      </c>
      <c r="AF658" t="s">
        <v>125</v>
      </c>
      <c r="AG658" t="s">
        <v>125</v>
      </c>
      <c r="AH658" t="s">
        <v>125</v>
      </c>
      <c r="AI658" t="s">
        <v>125</v>
      </c>
      <c r="AJ658" t="s">
        <v>125</v>
      </c>
      <c r="AK658">
        <v>-1.32</v>
      </c>
      <c r="AL658">
        <v>-0.12</v>
      </c>
      <c r="AM658" t="s">
        <v>125</v>
      </c>
      <c r="AN658">
        <v>0.92125299999999999</v>
      </c>
      <c r="AO658">
        <v>92.125309999999999</v>
      </c>
      <c r="AP658">
        <v>100</v>
      </c>
      <c r="AQ658">
        <v>0.96502600000000005</v>
      </c>
      <c r="AR658">
        <v>96.502645999999999</v>
      </c>
      <c r="AS658">
        <v>100</v>
      </c>
      <c r="AT658" t="s">
        <v>125</v>
      </c>
      <c r="AU658">
        <v>0.92432400000000003</v>
      </c>
      <c r="AV658" t="s">
        <v>125</v>
      </c>
      <c r="AW658" t="s">
        <v>125</v>
      </c>
      <c r="AX658" t="s">
        <v>125</v>
      </c>
      <c r="AY658">
        <v>0.97114800000000001</v>
      </c>
      <c r="AZ658" t="s">
        <v>125</v>
      </c>
      <c r="BA658" t="s">
        <v>125</v>
      </c>
      <c r="BB658" t="s">
        <v>125</v>
      </c>
      <c r="BC658" t="s">
        <v>125</v>
      </c>
      <c r="BD658" t="s">
        <v>125</v>
      </c>
      <c r="BE658" t="s">
        <v>125</v>
      </c>
      <c r="BF658" t="s">
        <v>125</v>
      </c>
      <c r="BG658" t="s">
        <v>125</v>
      </c>
      <c r="BH658">
        <v>0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 t="s">
        <v>125</v>
      </c>
      <c r="BP658" t="s">
        <v>125</v>
      </c>
      <c r="BQ658" t="s">
        <v>125</v>
      </c>
      <c r="BR658">
        <v>3.0418000000000001E-2</v>
      </c>
      <c r="BS658">
        <v>50</v>
      </c>
      <c r="BT658">
        <v>50</v>
      </c>
      <c r="BU658">
        <v>5.6337999999999999E-2</v>
      </c>
      <c r="BV658">
        <v>48.732393999999999</v>
      </c>
      <c r="BW658">
        <v>50</v>
      </c>
      <c r="BX658" t="s">
        <v>125</v>
      </c>
      <c r="BY658" t="s">
        <v>125</v>
      </c>
      <c r="BZ658" t="s">
        <v>125</v>
      </c>
      <c r="CA658" t="s">
        <v>125</v>
      </c>
      <c r="CB658" t="s">
        <v>125</v>
      </c>
      <c r="CC658" t="s">
        <v>125</v>
      </c>
      <c r="CD658" t="s">
        <v>125</v>
      </c>
      <c r="CE658" t="s">
        <v>125</v>
      </c>
      <c r="CF658" t="s">
        <v>125</v>
      </c>
      <c r="CG658" t="s">
        <v>125</v>
      </c>
      <c r="CH658" t="s">
        <v>125</v>
      </c>
      <c r="CI658" t="s">
        <v>125</v>
      </c>
      <c r="CJ658" t="s">
        <v>125</v>
      </c>
      <c r="CK658" t="s">
        <v>125</v>
      </c>
      <c r="CL658" t="s">
        <v>125</v>
      </c>
      <c r="CM658" t="s">
        <v>125</v>
      </c>
      <c r="CN658" t="s">
        <v>125</v>
      </c>
      <c r="CO658" t="s">
        <v>125</v>
      </c>
      <c r="CP658" t="s">
        <v>125</v>
      </c>
      <c r="CQ658">
        <v>0.89908299999999997</v>
      </c>
      <c r="CR658">
        <v>1</v>
      </c>
      <c r="CS658">
        <v>50</v>
      </c>
      <c r="CT658">
        <v>50</v>
      </c>
      <c r="CU658" t="s">
        <v>125</v>
      </c>
      <c r="CV658" t="s">
        <v>125</v>
      </c>
      <c r="CW658" t="s">
        <v>125</v>
      </c>
      <c r="CX658" t="s">
        <v>125</v>
      </c>
      <c r="CY658" t="s">
        <v>125</v>
      </c>
      <c r="CZ658" t="s">
        <v>125</v>
      </c>
      <c r="DA658">
        <v>15.314097</v>
      </c>
      <c r="DB658">
        <v>17.400950000000002</v>
      </c>
      <c r="DC658">
        <v>16.332519999999999</v>
      </c>
      <c r="DD658" t="s">
        <v>125</v>
      </c>
      <c r="DE658">
        <v>0</v>
      </c>
      <c r="DH658" t="s">
        <v>332</v>
      </c>
      <c r="DI658" t="s">
        <v>498</v>
      </c>
      <c r="DJ658">
        <v>1</v>
      </c>
      <c r="DK658">
        <v>1</v>
      </c>
      <c r="DL658">
        <v>1</v>
      </c>
      <c r="DM658">
        <v>0</v>
      </c>
      <c r="DN658">
        <v>0</v>
      </c>
      <c r="DO658">
        <v>0</v>
      </c>
      <c r="DQ658" t="s">
        <v>126</v>
      </c>
    </row>
    <row r="659" spans="1:121" x14ac:dyDescent="0.15">
      <c r="A659">
        <v>2018</v>
      </c>
      <c r="B659" t="s">
        <v>204</v>
      </c>
      <c r="C659" t="str">
        <f>"0900011"</f>
        <v>0900011</v>
      </c>
      <c r="D659" t="s">
        <v>815</v>
      </c>
      <c r="E659" t="str">
        <f>"0900311"</f>
        <v>0900311</v>
      </c>
      <c r="F659" t="s">
        <v>328</v>
      </c>
      <c r="G659" t="s">
        <v>329</v>
      </c>
      <c r="H659">
        <v>4</v>
      </c>
      <c r="J659" t="s">
        <v>331</v>
      </c>
      <c r="K659">
        <v>512.44611799999996</v>
      </c>
      <c r="L659">
        <v>550</v>
      </c>
      <c r="M659">
        <v>93.172021999999998</v>
      </c>
      <c r="N659">
        <v>1</v>
      </c>
      <c r="O659">
        <v>0</v>
      </c>
      <c r="P659">
        <v>89.406101000000007</v>
      </c>
      <c r="Q659">
        <v>50</v>
      </c>
      <c r="R659">
        <v>50</v>
      </c>
      <c r="S659">
        <v>67.374091000000007</v>
      </c>
      <c r="T659">
        <v>75</v>
      </c>
      <c r="U659">
        <v>44.916060999999999</v>
      </c>
      <c r="V659">
        <v>50</v>
      </c>
      <c r="W659">
        <v>88.587061000000006</v>
      </c>
      <c r="X659">
        <v>50</v>
      </c>
      <c r="Y659">
        <v>50</v>
      </c>
      <c r="Z659">
        <v>75</v>
      </c>
      <c r="AA659">
        <v>67.661475999999993</v>
      </c>
      <c r="AB659">
        <v>45.107650999999997</v>
      </c>
      <c r="AC659">
        <v>50</v>
      </c>
      <c r="AD659" t="s">
        <v>125</v>
      </c>
      <c r="AE659" t="s">
        <v>125</v>
      </c>
      <c r="AF659" t="s">
        <v>125</v>
      </c>
      <c r="AG659" t="s">
        <v>125</v>
      </c>
      <c r="AH659" t="s">
        <v>125</v>
      </c>
      <c r="AI659" t="s">
        <v>125</v>
      </c>
      <c r="AJ659" t="s">
        <v>125</v>
      </c>
      <c r="AK659">
        <v>7.62</v>
      </c>
      <c r="AL659">
        <v>7.33</v>
      </c>
      <c r="AM659" t="s">
        <v>125</v>
      </c>
      <c r="AN659">
        <v>0.85999000000000003</v>
      </c>
      <c r="AO659">
        <v>85.998996000000005</v>
      </c>
      <c r="AP659">
        <v>100</v>
      </c>
      <c r="AQ659">
        <v>0.86423399999999995</v>
      </c>
      <c r="AR659">
        <v>86.423411999999999</v>
      </c>
      <c r="AS659">
        <v>100</v>
      </c>
      <c r="AT659" t="s">
        <v>125</v>
      </c>
      <c r="AU659">
        <v>0.91464100000000004</v>
      </c>
      <c r="AV659" t="s">
        <v>125</v>
      </c>
      <c r="AW659" t="s">
        <v>125</v>
      </c>
      <c r="AX659" t="s">
        <v>125</v>
      </c>
      <c r="AY659">
        <v>0.88992599999999999</v>
      </c>
      <c r="AZ659" t="s">
        <v>125</v>
      </c>
      <c r="BA659" t="s">
        <v>125</v>
      </c>
      <c r="BB659" t="s">
        <v>125</v>
      </c>
      <c r="BC659" t="s">
        <v>125</v>
      </c>
      <c r="BD659" t="s">
        <v>125</v>
      </c>
      <c r="BE659" t="s">
        <v>125</v>
      </c>
      <c r="BF659" t="s">
        <v>125</v>
      </c>
      <c r="BG659" t="s">
        <v>125</v>
      </c>
      <c r="BH659">
        <v>0</v>
      </c>
      <c r="BI659">
        <v>0.99516899999999997</v>
      </c>
      <c r="BJ659">
        <v>0.97297299999999998</v>
      </c>
      <c r="BK659">
        <v>1</v>
      </c>
      <c r="BL659">
        <v>0.99516899999999997</v>
      </c>
      <c r="BM659">
        <v>0.97297299999999998</v>
      </c>
      <c r="BN659">
        <v>1</v>
      </c>
      <c r="BO659" t="s">
        <v>125</v>
      </c>
      <c r="BP659" t="s">
        <v>125</v>
      </c>
      <c r="BQ659" t="s">
        <v>125</v>
      </c>
      <c r="BR659">
        <v>2.9613E-2</v>
      </c>
      <c r="BS659">
        <v>50</v>
      </c>
      <c r="BT659">
        <v>50</v>
      </c>
      <c r="BU659">
        <v>4.6875E-2</v>
      </c>
      <c r="BV659">
        <v>50</v>
      </c>
      <c r="BW659">
        <v>50</v>
      </c>
      <c r="BX659" t="s">
        <v>125</v>
      </c>
      <c r="BY659" t="s">
        <v>125</v>
      </c>
      <c r="BZ659" t="s">
        <v>125</v>
      </c>
      <c r="CA659" t="s">
        <v>125</v>
      </c>
      <c r="CB659" t="s">
        <v>125</v>
      </c>
      <c r="CC659" t="s">
        <v>125</v>
      </c>
      <c r="CD659" t="s">
        <v>125</v>
      </c>
      <c r="CE659" t="s">
        <v>125</v>
      </c>
      <c r="CF659" t="s">
        <v>125</v>
      </c>
      <c r="CG659" t="s">
        <v>125</v>
      </c>
      <c r="CH659" t="s">
        <v>125</v>
      </c>
      <c r="CI659" t="s">
        <v>125</v>
      </c>
      <c r="CJ659" t="s">
        <v>125</v>
      </c>
      <c r="CK659" t="s">
        <v>125</v>
      </c>
      <c r="CL659" t="s">
        <v>125</v>
      </c>
      <c r="CM659" t="s">
        <v>125</v>
      </c>
      <c r="CN659" t="s">
        <v>125</v>
      </c>
      <c r="CO659" t="s">
        <v>125</v>
      </c>
      <c r="CP659" t="s">
        <v>125</v>
      </c>
      <c r="CQ659">
        <v>0.75454500000000002</v>
      </c>
      <c r="CR659">
        <v>1</v>
      </c>
      <c r="CS659">
        <v>50</v>
      </c>
      <c r="CT659">
        <v>50</v>
      </c>
      <c r="CU659" t="s">
        <v>125</v>
      </c>
      <c r="CV659" t="s">
        <v>125</v>
      </c>
      <c r="CW659" t="s">
        <v>125</v>
      </c>
      <c r="CX659" t="s">
        <v>125</v>
      </c>
      <c r="CY659" t="s">
        <v>125</v>
      </c>
      <c r="CZ659" t="s">
        <v>125</v>
      </c>
      <c r="DA659">
        <v>15.314097</v>
      </c>
      <c r="DB659">
        <v>17.400950000000002</v>
      </c>
      <c r="DC659">
        <v>16.332519999999999</v>
      </c>
      <c r="DD659" t="s">
        <v>125</v>
      </c>
      <c r="DE659">
        <v>0</v>
      </c>
      <c r="DH659" t="s">
        <v>332</v>
      </c>
      <c r="DI659" t="s">
        <v>498</v>
      </c>
      <c r="DJ659">
        <v>1</v>
      </c>
      <c r="DK659">
        <v>1</v>
      </c>
      <c r="DL659">
        <v>1</v>
      </c>
      <c r="DM659">
        <v>0</v>
      </c>
      <c r="DN659">
        <v>0</v>
      </c>
      <c r="DO659">
        <v>0</v>
      </c>
      <c r="DQ659" t="s">
        <v>126</v>
      </c>
    </row>
    <row r="660" spans="1:121" x14ac:dyDescent="0.15">
      <c r="A660">
        <v>2018</v>
      </c>
      <c r="B660" t="s">
        <v>137</v>
      </c>
      <c r="C660" t="str">
        <f>"0910011"</f>
        <v>0910011</v>
      </c>
      <c r="D660" t="s">
        <v>816</v>
      </c>
      <c r="E660" t="str">
        <f>"0910111"</f>
        <v>0910111</v>
      </c>
      <c r="F660" t="s">
        <v>328</v>
      </c>
      <c r="G660" t="s">
        <v>329</v>
      </c>
      <c r="H660">
        <v>2</v>
      </c>
      <c r="I660" t="s">
        <v>330</v>
      </c>
      <c r="J660" t="s">
        <v>331</v>
      </c>
      <c r="K660">
        <v>164.56661700000001</v>
      </c>
      <c r="L660">
        <v>200</v>
      </c>
      <c r="M660">
        <v>82.283308000000005</v>
      </c>
      <c r="N660">
        <v>2</v>
      </c>
      <c r="O660" t="s">
        <v>125</v>
      </c>
      <c r="P660" t="s">
        <v>125</v>
      </c>
      <c r="Q660" t="s">
        <v>125</v>
      </c>
      <c r="R660" t="s">
        <v>125</v>
      </c>
      <c r="S660" t="s">
        <v>125</v>
      </c>
      <c r="T660" t="s">
        <v>125</v>
      </c>
      <c r="U660" t="s">
        <v>125</v>
      </c>
      <c r="V660" t="s">
        <v>125</v>
      </c>
      <c r="W660" t="s">
        <v>125</v>
      </c>
      <c r="X660" t="s">
        <v>125</v>
      </c>
      <c r="Y660" t="s">
        <v>125</v>
      </c>
      <c r="Z660" t="s">
        <v>125</v>
      </c>
      <c r="AA660" t="s">
        <v>125</v>
      </c>
      <c r="AB660" t="s">
        <v>125</v>
      </c>
      <c r="AC660" t="s">
        <v>125</v>
      </c>
      <c r="AD660" t="s">
        <v>125</v>
      </c>
      <c r="AE660" t="s">
        <v>125</v>
      </c>
      <c r="AF660" t="s">
        <v>125</v>
      </c>
      <c r="AG660" t="s">
        <v>125</v>
      </c>
      <c r="AH660" t="s">
        <v>125</v>
      </c>
      <c r="AI660" t="s">
        <v>125</v>
      </c>
      <c r="AJ660" t="s">
        <v>125</v>
      </c>
      <c r="AK660" t="s">
        <v>125</v>
      </c>
      <c r="AL660" t="s">
        <v>125</v>
      </c>
      <c r="AM660" t="s">
        <v>125</v>
      </c>
      <c r="AN660" t="s">
        <v>125</v>
      </c>
      <c r="AO660" t="s">
        <v>125</v>
      </c>
      <c r="AP660" t="s">
        <v>125</v>
      </c>
      <c r="AQ660" t="s">
        <v>125</v>
      </c>
      <c r="AR660" t="s">
        <v>125</v>
      </c>
      <c r="AS660" t="s">
        <v>125</v>
      </c>
      <c r="AT660" t="s">
        <v>125</v>
      </c>
      <c r="AU660" t="s">
        <v>125</v>
      </c>
      <c r="AV660" t="s">
        <v>125</v>
      </c>
      <c r="AW660" t="s">
        <v>125</v>
      </c>
      <c r="AX660" t="s">
        <v>125</v>
      </c>
      <c r="AY660" t="s">
        <v>125</v>
      </c>
      <c r="AZ660" t="s">
        <v>125</v>
      </c>
      <c r="BA660" t="s">
        <v>125</v>
      </c>
      <c r="BB660">
        <v>0.70758600000000005</v>
      </c>
      <c r="BC660">
        <v>35.379283999999998</v>
      </c>
      <c r="BD660">
        <v>50</v>
      </c>
      <c r="BE660">
        <v>0.68837899999999996</v>
      </c>
      <c r="BF660">
        <v>34.418962999999998</v>
      </c>
      <c r="BG660">
        <v>50</v>
      </c>
      <c r="BH660" t="s">
        <v>125</v>
      </c>
      <c r="BI660" t="s">
        <v>125</v>
      </c>
      <c r="BJ660" t="s">
        <v>125</v>
      </c>
      <c r="BK660" t="s">
        <v>125</v>
      </c>
      <c r="BL660" t="s">
        <v>125</v>
      </c>
      <c r="BM660" t="s">
        <v>125</v>
      </c>
      <c r="BN660" t="s">
        <v>125</v>
      </c>
      <c r="BO660" t="s">
        <v>125</v>
      </c>
      <c r="BP660" t="s">
        <v>125</v>
      </c>
      <c r="BQ660" t="s">
        <v>125</v>
      </c>
      <c r="BR660">
        <v>5.3789999999999998E-2</v>
      </c>
      <c r="BS660">
        <v>49.242054000000003</v>
      </c>
      <c r="BT660">
        <v>50</v>
      </c>
      <c r="BU660">
        <v>7.2368000000000002E-2</v>
      </c>
      <c r="BV660">
        <v>45.526316000000001</v>
      </c>
      <c r="BW660">
        <v>50</v>
      </c>
      <c r="BX660" t="s">
        <v>125</v>
      </c>
      <c r="BY660" t="s">
        <v>125</v>
      </c>
      <c r="BZ660" t="s">
        <v>125</v>
      </c>
      <c r="CA660" t="s">
        <v>125</v>
      </c>
      <c r="CB660" t="s">
        <v>125</v>
      </c>
      <c r="CC660" t="s">
        <v>125</v>
      </c>
      <c r="CD660" t="s">
        <v>125</v>
      </c>
      <c r="CE660" t="s">
        <v>125</v>
      </c>
      <c r="CF660" t="s">
        <v>125</v>
      </c>
      <c r="CG660" t="s">
        <v>125</v>
      </c>
      <c r="CH660" t="s">
        <v>125</v>
      </c>
      <c r="CI660" t="s">
        <v>125</v>
      </c>
      <c r="CJ660" t="s">
        <v>125</v>
      </c>
      <c r="CK660" t="s">
        <v>125</v>
      </c>
      <c r="CL660" t="s">
        <v>125</v>
      </c>
      <c r="CM660" t="s">
        <v>125</v>
      </c>
      <c r="CN660" t="s">
        <v>125</v>
      </c>
      <c r="CO660" t="s">
        <v>125</v>
      </c>
      <c r="CP660" t="s">
        <v>125</v>
      </c>
      <c r="CQ660" t="s">
        <v>125</v>
      </c>
      <c r="CR660" t="s">
        <v>125</v>
      </c>
      <c r="CS660" t="s">
        <v>125</v>
      </c>
      <c r="CT660" t="s">
        <v>125</v>
      </c>
      <c r="CU660" t="s">
        <v>125</v>
      </c>
      <c r="CV660" t="s">
        <v>125</v>
      </c>
      <c r="CW660" t="s">
        <v>125</v>
      </c>
      <c r="CX660" t="s">
        <v>125</v>
      </c>
      <c r="CY660" t="s">
        <v>125</v>
      </c>
      <c r="CZ660" t="s">
        <v>125</v>
      </c>
      <c r="DA660" t="s">
        <v>125</v>
      </c>
      <c r="DB660" t="s">
        <v>125</v>
      </c>
      <c r="DC660" t="s">
        <v>125</v>
      </c>
      <c r="DD660" t="s">
        <v>125</v>
      </c>
      <c r="DE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Q660" t="s">
        <v>126</v>
      </c>
    </row>
    <row r="661" spans="1:121" x14ac:dyDescent="0.15">
      <c r="A661">
        <v>2018</v>
      </c>
      <c r="B661" t="s">
        <v>137</v>
      </c>
      <c r="C661" t="str">
        <f>"0910011"</f>
        <v>0910011</v>
      </c>
      <c r="D661" t="s">
        <v>817</v>
      </c>
      <c r="E661" t="str">
        <f>"0910211"</f>
        <v>0910211</v>
      </c>
      <c r="F661" t="s">
        <v>328</v>
      </c>
      <c r="G661">
        <v>3</v>
      </c>
      <c r="H661">
        <v>5</v>
      </c>
      <c r="I661" t="s">
        <v>330</v>
      </c>
      <c r="J661" t="s">
        <v>331</v>
      </c>
      <c r="K661">
        <v>680.690112</v>
      </c>
      <c r="L661">
        <v>850</v>
      </c>
      <c r="M661">
        <v>80.081190000000007</v>
      </c>
      <c r="N661">
        <v>2</v>
      </c>
      <c r="O661">
        <v>0</v>
      </c>
      <c r="P661">
        <v>77.945846000000003</v>
      </c>
      <c r="Q661">
        <v>50</v>
      </c>
      <c r="R661">
        <v>50</v>
      </c>
      <c r="S661">
        <v>67.282949000000002</v>
      </c>
      <c r="T661">
        <v>75</v>
      </c>
      <c r="U661">
        <v>44.855299000000002</v>
      </c>
      <c r="V661">
        <v>50</v>
      </c>
      <c r="W661">
        <v>75.115519000000006</v>
      </c>
      <c r="X661">
        <v>50</v>
      </c>
      <c r="Y661">
        <v>50</v>
      </c>
      <c r="Z661">
        <v>75</v>
      </c>
      <c r="AA661">
        <v>64.630250000000004</v>
      </c>
      <c r="AB661">
        <v>43.086832999999999</v>
      </c>
      <c r="AC661">
        <v>50</v>
      </c>
      <c r="AD661">
        <v>81.900367000000003</v>
      </c>
      <c r="AE661">
        <v>50</v>
      </c>
      <c r="AF661">
        <v>50</v>
      </c>
      <c r="AG661">
        <v>72.961597999999995</v>
      </c>
      <c r="AH661">
        <v>75</v>
      </c>
      <c r="AI661">
        <v>48.641064999999998</v>
      </c>
      <c r="AJ661">
        <v>50</v>
      </c>
      <c r="AK661">
        <v>7.71</v>
      </c>
      <c r="AL661">
        <v>10.36</v>
      </c>
      <c r="AM661">
        <v>2.0299999999999998</v>
      </c>
      <c r="AN661">
        <v>0.71885200000000005</v>
      </c>
      <c r="AO661">
        <v>71.885240999999994</v>
      </c>
      <c r="AP661">
        <v>100</v>
      </c>
      <c r="AQ661">
        <v>0.61946999999999997</v>
      </c>
      <c r="AR661">
        <v>61.946981000000001</v>
      </c>
      <c r="AS661">
        <v>100</v>
      </c>
      <c r="AT661">
        <v>0.59063100000000002</v>
      </c>
      <c r="AU661">
        <v>0.76949999999999996</v>
      </c>
      <c r="AV661">
        <v>59.063133000000001</v>
      </c>
      <c r="AW661">
        <v>100</v>
      </c>
      <c r="AX661">
        <v>0.52192000000000005</v>
      </c>
      <c r="AY661">
        <v>0.658196</v>
      </c>
      <c r="AZ661">
        <v>52.191951000000003</v>
      </c>
      <c r="BA661">
        <v>100</v>
      </c>
      <c r="BB661" t="s">
        <v>125</v>
      </c>
      <c r="BC661" t="s">
        <v>125</v>
      </c>
      <c r="BD661" t="s">
        <v>125</v>
      </c>
      <c r="BE661" t="s">
        <v>125</v>
      </c>
      <c r="BF661" t="s">
        <v>125</v>
      </c>
      <c r="BG661" t="s">
        <v>125</v>
      </c>
      <c r="BH661">
        <v>0</v>
      </c>
      <c r="BI661">
        <v>0.98924699999999999</v>
      </c>
      <c r="BJ661">
        <v>0.97810200000000003</v>
      </c>
      <c r="BK661">
        <v>0.99390199999999995</v>
      </c>
      <c r="BL661">
        <v>0.987097</v>
      </c>
      <c r="BM661">
        <v>0.97810200000000003</v>
      </c>
      <c r="BN661">
        <v>0.99085400000000001</v>
      </c>
      <c r="BO661">
        <v>0.98795200000000005</v>
      </c>
      <c r="BP661">
        <v>0.97727299999999995</v>
      </c>
      <c r="BQ661">
        <v>0.99180299999999999</v>
      </c>
      <c r="BR661">
        <v>2.3656E-2</v>
      </c>
      <c r="BS661">
        <v>50</v>
      </c>
      <c r="BT661">
        <v>50</v>
      </c>
      <c r="BU661">
        <v>1.5037999999999999E-2</v>
      </c>
      <c r="BV661">
        <v>50</v>
      </c>
      <c r="BW661">
        <v>50</v>
      </c>
      <c r="BX661" t="s">
        <v>125</v>
      </c>
      <c r="BY661" t="s">
        <v>125</v>
      </c>
      <c r="BZ661" t="s">
        <v>125</v>
      </c>
      <c r="CA661" t="s">
        <v>125</v>
      </c>
      <c r="CB661" t="s">
        <v>125</v>
      </c>
      <c r="CC661" t="s">
        <v>125</v>
      </c>
      <c r="CD661" t="s">
        <v>125</v>
      </c>
      <c r="CE661" t="s">
        <v>125</v>
      </c>
      <c r="CF661" t="s">
        <v>125</v>
      </c>
      <c r="CG661" t="s">
        <v>125</v>
      </c>
      <c r="CH661" t="s">
        <v>125</v>
      </c>
      <c r="CI661" t="s">
        <v>125</v>
      </c>
      <c r="CJ661" t="s">
        <v>125</v>
      </c>
      <c r="CK661" t="s">
        <v>125</v>
      </c>
      <c r="CL661" t="s">
        <v>125</v>
      </c>
      <c r="CM661" t="s">
        <v>125</v>
      </c>
      <c r="CN661" t="s">
        <v>125</v>
      </c>
      <c r="CO661" t="s">
        <v>125</v>
      </c>
      <c r="CP661" t="s">
        <v>125</v>
      </c>
      <c r="CQ661">
        <v>0.735294</v>
      </c>
      <c r="CR661">
        <v>0.97142899999999999</v>
      </c>
      <c r="CS661">
        <v>49.019607999999998</v>
      </c>
      <c r="CT661">
        <v>50</v>
      </c>
      <c r="CU661" t="s">
        <v>125</v>
      </c>
      <c r="CV661" t="s">
        <v>125</v>
      </c>
      <c r="CW661" t="s">
        <v>125</v>
      </c>
      <c r="CX661" t="s">
        <v>125</v>
      </c>
      <c r="CY661" t="s">
        <v>125</v>
      </c>
      <c r="CZ661" t="s">
        <v>125</v>
      </c>
      <c r="DA661">
        <v>15.314097</v>
      </c>
      <c r="DB661">
        <v>17.400950000000002</v>
      </c>
      <c r="DC661">
        <v>16.332519999999999</v>
      </c>
      <c r="DD661" t="s">
        <v>125</v>
      </c>
      <c r="DE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Q661" t="s">
        <v>126</v>
      </c>
    </row>
    <row r="662" spans="1:121" x14ac:dyDescent="0.15">
      <c r="A662">
        <v>2018</v>
      </c>
      <c r="B662" t="s">
        <v>137</v>
      </c>
      <c r="C662" t="str">
        <f>"0910011"</f>
        <v>0910011</v>
      </c>
      <c r="D662" t="s">
        <v>818</v>
      </c>
      <c r="E662" t="str">
        <f>"0916111"</f>
        <v>0916111</v>
      </c>
      <c r="F662" t="s">
        <v>328</v>
      </c>
      <c r="G662">
        <v>9</v>
      </c>
      <c r="H662">
        <v>12</v>
      </c>
      <c r="I662" t="s">
        <v>330</v>
      </c>
      <c r="J662" t="s">
        <v>331</v>
      </c>
      <c r="K662">
        <v>1195.0619859999999</v>
      </c>
      <c r="L662">
        <v>1450</v>
      </c>
      <c r="M662">
        <v>82.418068000000005</v>
      </c>
      <c r="N662">
        <v>3</v>
      </c>
      <c r="O662">
        <v>0</v>
      </c>
      <c r="P662">
        <v>63.529412000000001</v>
      </c>
      <c r="Q662">
        <v>127.058824</v>
      </c>
      <c r="R662">
        <v>150</v>
      </c>
      <c r="S662">
        <v>52.226495999999997</v>
      </c>
      <c r="T662">
        <v>66.507883000000007</v>
      </c>
      <c r="U662">
        <v>104.452991</v>
      </c>
      <c r="V662">
        <v>150</v>
      </c>
      <c r="W662">
        <v>59.039216000000003</v>
      </c>
      <c r="X662">
        <v>118.07843099999999</v>
      </c>
      <c r="Y662">
        <v>150</v>
      </c>
      <c r="Z662">
        <v>62.085585999999999</v>
      </c>
      <c r="AA662">
        <v>47.478631999999998</v>
      </c>
      <c r="AB662">
        <v>94.957265000000007</v>
      </c>
      <c r="AC662">
        <v>150</v>
      </c>
      <c r="AD662">
        <v>58.4756</v>
      </c>
      <c r="AE662">
        <v>77.967466000000002</v>
      </c>
      <c r="AF662">
        <v>100</v>
      </c>
      <c r="AG662">
        <v>53.079002000000003</v>
      </c>
      <c r="AH662">
        <v>59.815694000000001</v>
      </c>
      <c r="AI662">
        <v>70.772002999999998</v>
      </c>
      <c r="AJ662">
        <v>100</v>
      </c>
      <c r="AK662">
        <v>14.28</v>
      </c>
      <c r="AL662">
        <v>14.6</v>
      </c>
      <c r="AM662">
        <v>6.73</v>
      </c>
      <c r="AN662" t="s">
        <v>125</v>
      </c>
      <c r="AO662" t="s">
        <v>125</v>
      </c>
      <c r="AP662" t="s">
        <v>125</v>
      </c>
      <c r="AQ662" t="s">
        <v>125</v>
      </c>
      <c r="AR662" t="s">
        <v>125</v>
      </c>
      <c r="AS662" t="s">
        <v>125</v>
      </c>
      <c r="AT662" t="s">
        <v>125</v>
      </c>
      <c r="AU662" t="s">
        <v>125</v>
      </c>
      <c r="AV662" t="s">
        <v>125</v>
      </c>
      <c r="AW662" t="s">
        <v>125</v>
      </c>
      <c r="AX662" t="s">
        <v>125</v>
      </c>
      <c r="AY662" t="s">
        <v>125</v>
      </c>
      <c r="AZ662" t="s">
        <v>125</v>
      </c>
      <c r="BA662" t="s">
        <v>125</v>
      </c>
      <c r="BB662" t="s">
        <v>125</v>
      </c>
      <c r="BC662" t="s">
        <v>125</v>
      </c>
      <c r="BD662" t="s">
        <v>125</v>
      </c>
      <c r="BE662" t="s">
        <v>125</v>
      </c>
      <c r="BF662" t="s">
        <v>125</v>
      </c>
      <c r="BG662" t="s">
        <v>125</v>
      </c>
      <c r="BH662">
        <v>1</v>
      </c>
      <c r="BI662">
        <v>0.97422699999999995</v>
      </c>
      <c r="BJ662">
        <v>0.90697700000000003</v>
      </c>
      <c r="BK662">
        <v>0.99337699999999995</v>
      </c>
      <c r="BL662">
        <v>0.97422699999999995</v>
      </c>
      <c r="BM662">
        <v>0.90697700000000003</v>
      </c>
      <c r="BN662">
        <v>0.99337699999999995</v>
      </c>
      <c r="BO662">
        <v>0.968912</v>
      </c>
      <c r="BP662">
        <v>0.86046500000000004</v>
      </c>
      <c r="BQ662">
        <v>1</v>
      </c>
      <c r="BR662">
        <v>2.7132E-2</v>
      </c>
      <c r="BS662">
        <v>50</v>
      </c>
      <c r="BT662">
        <v>50</v>
      </c>
      <c r="BU662">
        <v>5.5248999999999999E-2</v>
      </c>
      <c r="BV662">
        <v>48.950276000000002</v>
      </c>
      <c r="BW662">
        <v>50</v>
      </c>
      <c r="BX662">
        <v>0.98780500000000004</v>
      </c>
      <c r="BY662">
        <v>50</v>
      </c>
      <c r="BZ662">
        <v>50</v>
      </c>
      <c r="CA662">
        <v>0.63414599999999999</v>
      </c>
      <c r="CB662">
        <v>42.276423000000001</v>
      </c>
      <c r="CC662">
        <v>50</v>
      </c>
      <c r="CD662">
        <v>0.97206700000000001</v>
      </c>
      <c r="CE662">
        <v>50</v>
      </c>
      <c r="CF662">
        <v>50</v>
      </c>
      <c r="CG662">
        <v>0.97927500000000001</v>
      </c>
      <c r="CH662">
        <v>100</v>
      </c>
      <c r="CI662">
        <v>100</v>
      </c>
      <c r="CJ662">
        <v>0</v>
      </c>
      <c r="CK662">
        <v>0.90476199999999996</v>
      </c>
      <c r="CL662">
        <v>96.251266000000001</v>
      </c>
      <c r="CM662">
        <v>100</v>
      </c>
      <c r="CN662">
        <v>0.87046599999999996</v>
      </c>
      <c r="CO662">
        <v>100</v>
      </c>
      <c r="CP662">
        <v>100</v>
      </c>
      <c r="CQ662">
        <v>0.52840900000000002</v>
      </c>
      <c r="CR662">
        <v>0.95135099999999995</v>
      </c>
      <c r="CS662">
        <v>35.227272999999997</v>
      </c>
      <c r="CT662">
        <v>50</v>
      </c>
      <c r="CU662">
        <v>0.34883700000000001</v>
      </c>
      <c r="CV662">
        <v>29.069766999999999</v>
      </c>
      <c r="CW662">
        <v>50</v>
      </c>
      <c r="CX662">
        <v>0.90476199999999996</v>
      </c>
      <c r="CY662">
        <v>0.94</v>
      </c>
      <c r="CZ662">
        <v>3.5237999999999998E-2</v>
      </c>
      <c r="DA662">
        <v>15.314097</v>
      </c>
      <c r="DB662">
        <v>17.400950000000002</v>
      </c>
      <c r="DC662">
        <v>16.332519999999999</v>
      </c>
      <c r="DD662">
        <v>7.9891730000000001</v>
      </c>
      <c r="DE662">
        <v>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Q662" t="s">
        <v>126</v>
      </c>
    </row>
    <row r="663" spans="1:121" x14ac:dyDescent="0.15">
      <c r="A663">
        <v>2018</v>
      </c>
      <c r="B663" t="s">
        <v>137</v>
      </c>
      <c r="C663" t="str">
        <f>"0910011"</f>
        <v>0910011</v>
      </c>
      <c r="D663" t="s">
        <v>819</v>
      </c>
      <c r="E663" t="str">
        <f>"0915211"</f>
        <v>0915211</v>
      </c>
      <c r="F663" t="s">
        <v>328</v>
      </c>
      <c r="G663">
        <v>6</v>
      </c>
      <c r="H663">
        <v>8</v>
      </c>
      <c r="I663" t="s">
        <v>330</v>
      </c>
      <c r="J663" t="s">
        <v>331</v>
      </c>
      <c r="K663">
        <v>659.84370899999999</v>
      </c>
      <c r="L663">
        <v>900</v>
      </c>
      <c r="M663">
        <v>73.315967999999998</v>
      </c>
      <c r="N663">
        <v>3</v>
      </c>
      <c r="O663">
        <v>1</v>
      </c>
      <c r="P663">
        <v>77.036911000000003</v>
      </c>
      <c r="Q663">
        <v>50</v>
      </c>
      <c r="R663">
        <v>50</v>
      </c>
      <c r="S663">
        <v>64.753901999999997</v>
      </c>
      <c r="T663">
        <v>75</v>
      </c>
      <c r="U663">
        <v>43.169268000000002</v>
      </c>
      <c r="V663">
        <v>50</v>
      </c>
      <c r="W663">
        <v>73.129215000000002</v>
      </c>
      <c r="X663">
        <v>48.752809999999997</v>
      </c>
      <c r="Y663">
        <v>50</v>
      </c>
      <c r="Z663">
        <v>75</v>
      </c>
      <c r="AA663">
        <v>60.016438999999998</v>
      </c>
      <c r="AB663">
        <v>40.010959</v>
      </c>
      <c r="AC663">
        <v>50</v>
      </c>
      <c r="AD663">
        <v>67.196304999999995</v>
      </c>
      <c r="AE663">
        <v>44.797536999999998</v>
      </c>
      <c r="AF663">
        <v>50</v>
      </c>
      <c r="AG663">
        <v>52.982052000000003</v>
      </c>
      <c r="AH663">
        <v>72.855682999999999</v>
      </c>
      <c r="AI663">
        <v>35.321368</v>
      </c>
      <c r="AJ663">
        <v>50</v>
      </c>
      <c r="AK663">
        <v>10.24</v>
      </c>
      <c r="AL663">
        <v>14.98</v>
      </c>
      <c r="AM663">
        <v>19.87</v>
      </c>
      <c r="AN663">
        <v>0.56202399999999997</v>
      </c>
      <c r="AO663">
        <v>56.202432999999999</v>
      </c>
      <c r="AP663">
        <v>100</v>
      </c>
      <c r="AQ663">
        <v>0.676091</v>
      </c>
      <c r="AR663">
        <v>67.609105999999997</v>
      </c>
      <c r="AS663">
        <v>100</v>
      </c>
      <c r="AT663">
        <v>0.40594200000000003</v>
      </c>
      <c r="AU663">
        <v>0.607931</v>
      </c>
      <c r="AV663">
        <v>40.594234</v>
      </c>
      <c r="AW663">
        <v>100</v>
      </c>
      <c r="AX663">
        <v>0.54620299999999999</v>
      </c>
      <c r="AY663">
        <v>0.71429299999999996</v>
      </c>
      <c r="AZ663">
        <v>54.620323999999997</v>
      </c>
      <c r="BA663">
        <v>100</v>
      </c>
      <c r="BB663" t="s">
        <v>125</v>
      </c>
      <c r="BC663" t="s">
        <v>125</v>
      </c>
      <c r="BD663" t="s">
        <v>125</v>
      </c>
      <c r="BE663" t="s">
        <v>125</v>
      </c>
      <c r="BF663" t="s">
        <v>125</v>
      </c>
      <c r="BG663" t="s">
        <v>125</v>
      </c>
      <c r="BH663">
        <v>0</v>
      </c>
      <c r="BI663">
        <v>0.98446599999999995</v>
      </c>
      <c r="BJ663">
        <v>0.97058800000000001</v>
      </c>
      <c r="BK663">
        <v>0.98944600000000005</v>
      </c>
      <c r="BL663">
        <v>0.98058299999999998</v>
      </c>
      <c r="BM663">
        <v>0.96323499999999995</v>
      </c>
      <c r="BN663">
        <v>0.98680699999999999</v>
      </c>
      <c r="BO663">
        <v>0.980769</v>
      </c>
      <c r="BP663">
        <v>0.97777800000000004</v>
      </c>
      <c r="BQ663">
        <v>0.98198200000000002</v>
      </c>
      <c r="BR663">
        <v>5.4369000000000001E-2</v>
      </c>
      <c r="BS663">
        <v>49.126213999999997</v>
      </c>
      <c r="BT663">
        <v>50</v>
      </c>
      <c r="BU663">
        <v>0.104478</v>
      </c>
      <c r="BV663">
        <v>39.104478</v>
      </c>
      <c r="BW663">
        <v>50</v>
      </c>
      <c r="BX663" t="s">
        <v>125</v>
      </c>
      <c r="BY663" t="s">
        <v>125</v>
      </c>
      <c r="BZ663" t="s">
        <v>125</v>
      </c>
      <c r="CA663" t="s">
        <v>125</v>
      </c>
      <c r="CB663" t="s">
        <v>125</v>
      </c>
      <c r="CC663" t="s">
        <v>125</v>
      </c>
      <c r="CD663">
        <v>0.97206700000000001</v>
      </c>
      <c r="CE663">
        <v>50</v>
      </c>
      <c r="CF663">
        <v>50</v>
      </c>
      <c r="CG663" t="s">
        <v>125</v>
      </c>
      <c r="CH663" t="s">
        <v>125</v>
      </c>
      <c r="CI663" t="s">
        <v>125</v>
      </c>
      <c r="CJ663" t="s">
        <v>125</v>
      </c>
      <c r="CK663" t="s">
        <v>125</v>
      </c>
      <c r="CL663" t="s">
        <v>125</v>
      </c>
      <c r="CM663" t="s">
        <v>125</v>
      </c>
      <c r="CN663" t="s">
        <v>125</v>
      </c>
      <c r="CO663" t="s">
        <v>125</v>
      </c>
      <c r="CP663" t="s">
        <v>125</v>
      </c>
      <c r="CQ663">
        <v>0.60802500000000004</v>
      </c>
      <c r="CR663">
        <v>0.98181799999999997</v>
      </c>
      <c r="CS663">
        <v>40.534979</v>
      </c>
      <c r="CT663">
        <v>50</v>
      </c>
      <c r="CU663" t="s">
        <v>125</v>
      </c>
      <c r="CV663" t="s">
        <v>125</v>
      </c>
      <c r="CW663" t="s">
        <v>125</v>
      </c>
      <c r="CX663" t="s">
        <v>125</v>
      </c>
      <c r="CY663" t="s">
        <v>125</v>
      </c>
      <c r="CZ663" t="s">
        <v>125</v>
      </c>
      <c r="DA663">
        <v>15.314097</v>
      </c>
      <c r="DB663">
        <v>17.400950000000002</v>
      </c>
      <c r="DC663">
        <v>16.332519999999999</v>
      </c>
      <c r="DD663" t="s">
        <v>125</v>
      </c>
      <c r="DE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Q663" t="s">
        <v>126</v>
      </c>
    </row>
    <row r="664" spans="1:121" x14ac:dyDescent="0.15">
      <c r="A664">
        <v>2018</v>
      </c>
      <c r="B664" t="s">
        <v>230</v>
      </c>
      <c r="C664" t="str">
        <f>"0920011"</f>
        <v>0920011</v>
      </c>
      <c r="D664" t="s">
        <v>820</v>
      </c>
      <c r="E664" t="str">
        <f>"0920311"</f>
        <v>0920311</v>
      </c>
      <c r="F664" t="s">
        <v>328</v>
      </c>
      <c r="G664">
        <v>3</v>
      </c>
      <c r="H664">
        <v>6</v>
      </c>
      <c r="I664" t="s">
        <v>330</v>
      </c>
      <c r="J664" t="s">
        <v>331</v>
      </c>
      <c r="K664">
        <v>562.94608600000004</v>
      </c>
      <c r="L664">
        <v>800</v>
      </c>
      <c r="M664">
        <v>70.368261000000004</v>
      </c>
      <c r="N664">
        <v>2</v>
      </c>
      <c r="O664">
        <v>0</v>
      </c>
      <c r="P664">
        <v>74.927463000000003</v>
      </c>
      <c r="Q664">
        <v>49.951642</v>
      </c>
      <c r="R664">
        <v>50</v>
      </c>
      <c r="S664">
        <v>63.956159</v>
      </c>
      <c r="T664">
        <v>75</v>
      </c>
      <c r="U664">
        <v>42.637439000000001</v>
      </c>
      <c r="V664">
        <v>50</v>
      </c>
      <c r="W664">
        <v>68.701695000000001</v>
      </c>
      <c r="X664">
        <v>45.801130000000001</v>
      </c>
      <c r="Y664">
        <v>50</v>
      </c>
      <c r="Z664">
        <v>72.427251999999996</v>
      </c>
      <c r="AA664">
        <v>57.696970999999998</v>
      </c>
      <c r="AB664">
        <v>38.464647999999997</v>
      </c>
      <c r="AC664">
        <v>50</v>
      </c>
      <c r="AD664">
        <v>64.531126</v>
      </c>
      <c r="AE664">
        <v>43.020750999999997</v>
      </c>
      <c r="AF664">
        <v>50</v>
      </c>
      <c r="AG664" t="s">
        <v>125</v>
      </c>
      <c r="AH664">
        <v>67.237808999999999</v>
      </c>
      <c r="AI664" t="s">
        <v>125</v>
      </c>
      <c r="AJ664" t="s">
        <v>125</v>
      </c>
      <c r="AK664">
        <v>11.04</v>
      </c>
      <c r="AL664">
        <v>14.73</v>
      </c>
      <c r="AM664" t="s">
        <v>125</v>
      </c>
      <c r="AN664">
        <v>0.63203600000000004</v>
      </c>
      <c r="AO664">
        <v>63.203620999999998</v>
      </c>
      <c r="AP664">
        <v>100</v>
      </c>
      <c r="AQ664">
        <v>0.62339900000000004</v>
      </c>
      <c r="AR664">
        <v>62.339942999999998</v>
      </c>
      <c r="AS664">
        <v>100</v>
      </c>
      <c r="AT664">
        <v>0.502718</v>
      </c>
      <c r="AU664">
        <v>0.67360299999999995</v>
      </c>
      <c r="AV664">
        <v>50.271818000000003</v>
      </c>
      <c r="AW664">
        <v>100</v>
      </c>
      <c r="AX664">
        <v>0.59947899999999998</v>
      </c>
      <c r="AY664">
        <v>0.63114300000000001</v>
      </c>
      <c r="AZ664">
        <v>59.947902999999997</v>
      </c>
      <c r="BA664">
        <v>100</v>
      </c>
      <c r="BB664" t="s">
        <v>125</v>
      </c>
      <c r="BC664" t="s">
        <v>125</v>
      </c>
      <c r="BD664" t="s">
        <v>125</v>
      </c>
      <c r="BE664" t="s">
        <v>125</v>
      </c>
      <c r="BF664" t="s">
        <v>125</v>
      </c>
      <c r="BG664" t="s">
        <v>125</v>
      </c>
      <c r="BH664">
        <v>0</v>
      </c>
      <c r="BI664">
        <v>0.99236599999999997</v>
      </c>
      <c r="BJ664">
        <v>0.98507500000000003</v>
      </c>
      <c r="BK664">
        <v>0.99487199999999998</v>
      </c>
      <c r="BL664">
        <v>0.99236599999999997</v>
      </c>
      <c r="BM664">
        <v>0.98507500000000003</v>
      </c>
      <c r="BN664">
        <v>0.99487199999999998</v>
      </c>
      <c r="BO664">
        <v>1</v>
      </c>
      <c r="BP664" t="s">
        <v>125</v>
      </c>
      <c r="BQ664">
        <v>1</v>
      </c>
      <c r="BR664">
        <v>8.0153000000000002E-2</v>
      </c>
      <c r="BS664">
        <v>43.969465999999997</v>
      </c>
      <c r="BT664">
        <v>50</v>
      </c>
      <c r="BU664">
        <v>0.144928</v>
      </c>
      <c r="BV664">
        <v>31.014493000000002</v>
      </c>
      <c r="BW664">
        <v>50</v>
      </c>
      <c r="BX664" t="s">
        <v>125</v>
      </c>
      <c r="BY664" t="s">
        <v>125</v>
      </c>
      <c r="BZ664" t="s">
        <v>125</v>
      </c>
      <c r="CA664" t="s">
        <v>125</v>
      </c>
      <c r="CB664" t="s">
        <v>125</v>
      </c>
      <c r="CC664" t="s">
        <v>125</v>
      </c>
      <c r="CD664" t="s">
        <v>125</v>
      </c>
      <c r="CE664" t="s">
        <v>125</v>
      </c>
      <c r="CF664" t="s">
        <v>125</v>
      </c>
      <c r="CG664" t="s">
        <v>125</v>
      </c>
      <c r="CH664" t="s">
        <v>125</v>
      </c>
      <c r="CI664" t="s">
        <v>125</v>
      </c>
      <c r="CJ664" t="s">
        <v>125</v>
      </c>
      <c r="CK664" t="s">
        <v>125</v>
      </c>
      <c r="CL664" t="s">
        <v>125</v>
      </c>
      <c r="CM664" t="s">
        <v>125</v>
      </c>
      <c r="CN664" t="s">
        <v>125</v>
      </c>
      <c r="CO664" t="s">
        <v>125</v>
      </c>
      <c r="CP664" t="s">
        <v>125</v>
      </c>
      <c r="CQ664">
        <v>0.484848</v>
      </c>
      <c r="CR664">
        <v>0.99248099999999995</v>
      </c>
      <c r="CS664">
        <v>32.323231999999997</v>
      </c>
      <c r="CT664">
        <v>50</v>
      </c>
      <c r="CU664" t="s">
        <v>125</v>
      </c>
      <c r="CV664" t="s">
        <v>125</v>
      </c>
      <c r="CW664" t="s">
        <v>125</v>
      </c>
      <c r="CX664" t="s">
        <v>125</v>
      </c>
      <c r="CY664" t="s">
        <v>125</v>
      </c>
      <c r="CZ664" t="s">
        <v>125</v>
      </c>
      <c r="DA664">
        <v>15.314097</v>
      </c>
      <c r="DB664">
        <v>17.400950000000002</v>
      </c>
      <c r="DC664">
        <v>16.332519999999999</v>
      </c>
      <c r="DD664" t="s">
        <v>125</v>
      </c>
      <c r="DE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Q664" t="s">
        <v>126</v>
      </c>
    </row>
    <row r="665" spans="1:121" x14ac:dyDescent="0.15">
      <c r="A665">
        <v>2018</v>
      </c>
      <c r="B665" t="s">
        <v>230</v>
      </c>
      <c r="C665" t="str">
        <f>"0920011"</f>
        <v>0920011</v>
      </c>
      <c r="D665" t="s">
        <v>821</v>
      </c>
      <c r="E665" t="str">
        <f>"0920111"</f>
        <v>0920111</v>
      </c>
      <c r="F665" t="s">
        <v>328</v>
      </c>
      <c r="G665" t="s">
        <v>339</v>
      </c>
      <c r="H665">
        <v>2</v>
      </c>
      <c r="J665" t="s">
        <v>331</v>
      </c>
      <c r="K665">
        <v>50</v>
      </c>
      <c r="L665">
        <v>50</v>
      </c>
      <c r="M665">
        <v>100</v>
      </c>
      <c r="N665" t="s">
        <v>125</v>
      </c>
      <c r="O665" t="s">
        <v>125</v>
      </c>
      <c r="P665" t="s">
        <v>125</v>
      </c>
      <c r="Q665" t="s">
        <v>125</v>
      </c>
      <c r="R665" t="s">
        <v>125</v>
      </c>
      <c r="S665" t="s">
        <v>125</v>
      </c>
      <c r="T665" t="s">
        <v>125</v>
      </c>
      <c r="U665" t="s">
        <v>125</v>
      </c>
      <c r="V665" t="s">
        <v>125</v>
      </c>
      <c r="W665" t="s">
        <v>125</v>
      </c>
      <c r="X665" t="s">
        <v>125</v>
      </c>
      <c r="Y665" t="s">
        <v>125</v>
      </c>
      <c r="Z665" t="s">
        <v>125</v>
      </c>
      <c r="AA665" t="s">
        <v>125</v>
      </c>
      <c r="AB665" t="s">
        <v>125</v>
      </c>
      <c r="AC665" t="s">
        <v>125</v>
      </c>
      <c r="AD665" t="s">
        <v>125</v>
      </c>
      <c r="AE665" t="s">
        <v>125</v>
      </c>
      <c r="AF665" t="s">
        <v>125</v>
      </c>
      <c r="AG665" t="s">
        <v>125</v>
      </c>
      <c r="AH665" t="s">
        <v>125</v>
      </c>
      <c r="AI665" t="s">
        <v>125</v>
      </c>
      <c r="AJ665" t="s">
        <v>125</v>
      </c>
      <c r="AK665" t="s">
        <v>125</v>
      </c>
      <c r="AL665" t="s">
        <v>125</v>
      </c>
      <c r="AM665" t="s">
        <v>125</v>
      </c>
      <c r="AN665" t="s">
        <v>125</v>
      </c>
      <c r="AO665" t="s">
        <v>125</v>
      </c>
      <c r="AP665" t="s">
        <v>125</v>
      </c>
      <c r="AQ665" t="s">
        <v>125</v>
      </c>
      <c r="AR665" t="s">
        <v>125</v>
      </c>
      <c r="AS665" t="s">
        <v>125</v>
      </c>
      <c r="AT665" t="s">
        <v>125</v>
      </c>
      <c r="AU665" t="s">
        <v>125</v>
      </c>
      <c r="AV665" t="s">
        <v>125</v>
      </c>
      <c r="AW665" t="s">
        <v>125</v>
      </c>
      <c r="AX665" t="s">
        <v>125</v>
      </c>
      <c r="AY665" t="s">
        <v>125</v>
      </c>
      <c r="AZ665" t="s">
        <v>125</v>
      </c>
      <c r="BA665" t="s">
        <v>125</v>
      </c>
      <c r="BB665" t="s">
        <v>125</v>
      </c>
      <c r="BC665" t="s">
        <v>125</v>
      </c>
      <c r="BD665" t="s">
        <v>125</v>
      </c>
      <c r="BE665" t="s">
        <v>125</v>
      </c>
      <c r="BF665" t="s">
        <v>125</v>
      </c>
      <c r="BG665" t="s">
        <v>125</v>
      </c>
      <c r="BH665" t="s">
        <v>125</v>
      </c>
      <c r="BI665" t="s">
        <v>125</v>
      </c>
      <c r="BJ665" t="s">
        <v>125</v>
      </c>
      <c r="BK665" t="s">
        <v>125</v>
      </c>
      <c r="BL665" t="s">
        <v>125</v>
      </c>
      <c r="BM665" t="s">
        <v>125</v>
      </c>
      <c r="BN665" t="s">
        <v>125</v>
      </c>
      <c r="BO665" t="s">
        <v>125</v>
      </c>
      <c r="BP665" t="s">
        <v>125</v>
      </c>
      <c r="BQ665" t="s">
        <v>125</v>
      </c>
      <c r="BR665">
        <v>4.3956000000000002E-2</v>
      </c>
      <c r="BS665">
        <v>50</v>
      </c>
      <c r="BT665">
        <v>50</v>
      </c>
      <c r="BU665" t="s">
        <v>125</v>
      </c>
      <c r="BV665" t="s">
        <v>125</v>
      </c>
      <c r="BW665" t="s">
        <v>125</v>
      </c>
      <c r="BX665" t="s">
        <v>125</v>
      </c>
      <c r="BY665" t="s">
        <v>125</v>
      </c>
      <c r="BZ665" t="s">
        <v>125</v>
      </c>
      <c r="CA665" t="s">
        <v>125</v>
      </c>
      <c r="CB665" t="s">
        <v>125</v>
      </c>
      <c r="CC665" t="s">
        <v>125</v>
      </c>
      <c r="CD665" t="s">
        <v>125</v>
      </c>
      <c r="CE665" t="s">
        <v>125</v>
      </c>
      <c r="CF665" t="s">
        <v>125</v>
      </c>
      <c r="CG665" t="s">
        <v>125</v>
      </c>
      <c r="CH665" t="s">
        <v>125</v>
      </c>
      <c r="CI665" t="s">
        <v>125</v>
      </c>
      <c r="CJ665" t="s">
        <v>125</v>
      </c>
      <c r="CK665" t="s">
        <v>125</v>
      </c>
      <c r="CL665" t="s">
        <v>125</v>
      </c>
      <c r="CM665" t="s">
        <v>125</v>
      </c>
      <c r="CN665" t="s">
        <v>125</v>
      </c>
      <c r="CO665" t="s">
        <v>125</v>
      </c>
      <c r="CP665" t="s">
        <v>125</v>
      </c>
      <c r="CQ665" t="s">
        <v>125</v>
      </c>
      <c r="CR665" t="s">
        <v>125</v>
      </c>
      <c r="CS665" t="s">
        <v>125</v>
      </c>
      <c r="CT665" t="s">
        <v>125</v>
      </c>
      <c r="CU665" t="s">
        <v>125</v>
      </c>
      <c r="CV665" t="s">
        <v>125</v>
      </c>
      <c r="CW665" t="s">
        <v>125</v>
      </c>
      <c r="CX665" t="s">
        <v>125</v>
      </c>
      <c r="CY665" t="s">
        <v>125</v>
      </c>
      <c r="CZ665" t="s">
        <v>125</v>
      </c>
      <c r="DA665" t="s">
        <v>125</v>
      </c>
      <c r="DB665" t="s">
        <v>125</v>
      </c>
      <c r="DC665" t="s">
        <v>125</v>
      </c>
      <c r="DD665" t="s">
        <v>125</v>
      </c>
      <c r="DE665" t="s">
        <v>125</v>
      </c>
      <c r="DJ665" t="s">
        <v>125</v>
      </c>
      <c r="DK665" t="s">
        <v>125</v>
      </c>
      <c r="DL665" t="s">
        <v>125</v>
      </c>
      <c r="DM665" t="s">
        <v>125</v>
      </c>
      <c r="DN665" t="s">
        <v>125</v>
      </c>
      <c r="DO665" t="s">
        <v>125</v>
      </c>
      <c r="DQ665" t="s">
        <v>126</v>
      </c>
    </row>
    <row r="666" spans="1:121" x14ac:dyDescent="0.15">
      <c r="A666">
        <v>2018</v>
      </c>
      <c r="B666" t="s">
        <v>230</v>
      </c>
      <c r="C666" t="str">
        <f>"0920011"</f>
        <v>0920011</v>
      </c>
      <c r="D666" t="s">
        <v>822</v>
      </c>
      <c r="E666" t="str">
        <f>"0920211"</f>
        <v>0920211</v>
      </c>
      <c r="F666" t="s">
        <v>328</v>
      </c>
      <c r="G666" t="s">
        <v>329</v>
      </c>
      <c r="H666">
        <v>2</v>
      </c>
      <c r="I666" t="s">
        <v>330</v>
      </c>
      <c r="J666" t="s">
        <v>331</v>
      </c>
      <c r="K666">
        <v>97.5</v>
      </c>
      <c r="L666">
        <v>100</v>
      </c>
      <c r="M666">
        <v>97.5</v>
      </c>
      <c r="N666" t="s">
        <v>125</v>
      </c>
      <c r="O666" t="s">
        <v>125</v>
      </c>
      <c r="P666" t="s">
        <v>125</v>
      </c>
      <c r="Q666" t="s">
        <v>125</v>
      </c>
      <c r="R666" t="s">
        <v>125</v>
      </c>
      <c r="S666" t="s">
        <v>125</v>
      </c>
      <c r="T666" t="s">
        <v>125</v>
      </c>
      <c r="U666" t="s">
        <v>125</v>
      </c>
      <c r="V666" t="s">
        <v>125</v>
      </c>
      <c r="W666" t="s">
        <v>125</v>
      </c>
      <c r="X666" t="s">
        <v>125</v>
      </c>
      <c r="Y666" t="s">
        <v>125</v>
      </c>
      <c r="Z666" t="s">
        <v>125</v>
      </c>
      <c r="AA666" t="s">
        <v>125</v>
      </c>
      <c r="AB666" t="s">
        <v>125</v>
      </c>
      <c r="AC666" t="s">
        <v>125</v>
      </c>
      <c r="AD666" t="s">
        <v>125</v>
      </c>
      <c r="AE666" t="s">
        <v>125</v>
      </c>
      <c r="AF666" t="s">
        <v>125</v>
      </c>
      <c r="AG666" t="s">
        <v>125</v>
      </c>
      <c r="AH666" t="s">
        <v>125</v>
      </c>
      <c r="AI666" t="s">
        <v>125</v>
      </c>
      <c r="AJ666" t="s">
        <v>125</v>
      </c>
      <c r="AK666" t="s">
        <v>125</v>
      </c>
      <c r="AL666" t="s">
        <v>125</v>
      </c>
      <c r="AM666" t="s">
        <v>125</v>
      </c>
      <c r="AN666" t="s">
        <v>125</v>
      </c>
      <c r="AO666" t="s">
        <v>125</v>
      </c>
      <c r="AP666" t="s">
        <v>125</v>
      </c>
      <c r="AQ666" t="s">
        <v>125</v>
      </c>
      <c r="AR666" t="s">
        <v>125</v>
      </c>
      <c r="AS666" t="s">
        <v>125</v>
      </c>
      <c r="AT666" t="s">
        <v>125</v>
      </c>
      <c r="AU666" t="s">
        <v>125</v>
      </c>
      <c r="AV666" t="s">
        <v>125</v>
      </c>
      <c r="AW666" t="s">
        <v>125</v>
      </c>
      <c r="AX666" t="s">
        <v>125</v>
      </c>
      <c r="AY666" t="s">
        <v>125</v>
      </c>
      <c r="AZ666" t="s">
        <v>125</v>
      </c>
      <c r="BA666" t="s">
        <v>125</v>
      </c>
      <c r="BB666" t="s">
        <v>125</v>
      </c>
      <c r="BC666" t="s">
        <v>125</v>
      </c>
      <c r="BD666" t="s">
        <v>125</v>
      </c>
      <c r="BE666" t="s">
        <v>125</v>
      </c>
      <c r="BF666" t="s">
        <v>125</v>
      </c>
      <c r="BG666" t="s">
        <v>125</v>
      </c>
      <c r="BH666" t="s">
        <v>125</v>
      </c>
      <c r="BI666" t="s">
        <v>125</v>
      </c>
      <c r="BJ666" t="s">
        <v>125</v>
      </c>
      <c r="BK666" t="s">
        <v>125</v>
      </c>
      <c r="BL666" t="s">
        <v>125</v>
      </c>
      <c r="BM666" t="s">
        <v>125</v>
      </c>
      <c r="BN666" t="s">
        <v>125</v>
      </c>
      <c r="BO666" t="s">
        <v>125</v>
      </c>
      <c r="BP666" t="s">
        <v>125</v>
      </c>
      <c r="BQ666" t="s">
        <v>125</v>
      </c>
      <c r="BR666">
        <v>0.04</v>
      </c>
      <c r="BS666">
        <v>50</v>
      </c>
      <c r="BT666">
        <v>50</v>
      </c>
      <c r="BU666">
        <v>6.25E-2</v>
      </c>
      <c r="BV666">
        <v>47.5</v>
      </c>
      <c r="BW666">
        <v>50</v>
      </c>
      <c r="BX666" t="s">
        <v>125</v>
      </c>
      <c r="BY666" t="s">
        <v>125</v>
      </c>
      <c r="BZ666" t="s">
        <v>125</v>
      </c>
      <c r="CA666" t="s">
        <v>125</v>
      </c>
      <c r="CB666" t="s">
        <v>125</v>
      </c>
      <c r="CC666" t="s">
        <v>125</v>
      </c>
      <c r="CD666" t="s">
        <v>125</v>
      </c>
      <c r="CE666" t="s">
        <v>125</v>
      </c>
      <c r="CF666" t="s">
        <v>125</v>
      </c>
      <c r="CG666" t="s">
        <v>125</v>
      </c>
      <c r="CH666" t="s">
        <v>125</v>
      </c>
      <c r="CI666" t="s">
        <v>125</v>
      </c>
      <c r="CJ666" t="s">
        <v>125</v>
      </c>
      <c r="CK666" t="s">
        <v>125</v>
      </c>
      <c r="CL666" t="s">
        <v>125</v>
      </c>
      <c r="CM666" t="s">
        <v>125</v>
      </c>
      <c r="CN666" t="s">
        <v>125</v>
      </c>
      <c r="CO666" t="s">
        <v>125</v>
      </c>
      <c r="CP666" t="s">
        <v>125</v>
      </c>
      <c r="CQ666" t="s">
        <v>125</v>
      </c>
      <c r="CR666" t="s">
        <v>125</v>
      </c>
      <c r="CS666" t="s">
        <v>125</v>
      </c>
      <c r="CT666" t="s">
        <v>125</v>
      </c>
      <c r="CU666" t="s">
        <v>125</v>
      </c>
      <c r="CV666" t="s">
        <v>125</v>
      </c>
      <c r="CW666" t="s">
        <v>125</v>
      </c>
      <c r="CX666" t="s">
        <v>125</v>
      </c>
      <c r="CY666" t="s">
        <v>125</v>
      </c>
      <c r="CZ666" t="s">
        <v>125</v>
      </c>
      <c r="DA666" t="s">
        <v>125</v>
      </c>
      <c r="DB666" t="s">
        <v>125</v>
      </c>
      <c r="DC666" t="s">
        <v>125</v>
      </c>
      <c r="DD666" t="s">
        <v>125</v>
      </c>
      <c r="DE666" t="s">
        <v>125</v>
      </c>
      <c r="DJ666" t="s">
        <v>125</v>
      </c>
      <c r="DK666" t="s">
        <v>125</v>
      </c>
      <c r="DL666" t="s">
        <v>125</v>
      </c>
      <c r="DM666" t="s">
        <v>125</v>
      </c>
      <c r="DN666" t="s">
        <v>125</v>
      </c>
      <c r="DO666" t="s">
        <v>125</v>
      </c>
      <c r="DQ666" t="s">
        <v>126</v>
      </c>
    </row>
    <row r="667" spans="1:121" x14ac:dyDescent="0.15">
      <c r="A667">
        <v>2018</v>
      </c>
      <c r="B667" t="s">
        <v>206</v>
      </c>
      <c r="C667" t="str">
        <f t="shared" ref="C667:C705" si="26">"0930011"</f>
        <v>0930011</v>
      </c>
      <c r="D667" t="s">
        <v>823</v>
      </c>
      <c r="E667" t="str">
        <f>"0931511"</f>
        <v>0931511</v>
      </c>
      <c r="F667" t="s">
        <v>328</v>
      </c>
      <c r="G667" t="s">
        <v>329</v>
      </c>
      <c r="H667">
        <v>8</v>
      </c>
      <c r="I667" t="s">
        <v>336</v>
      </c>
      <c r="J667" t="s">
        <v>331</v>
      </c>
      <c r="K667">
        <v>482.06196399999999</v>
      </c>
      <c r="L667">
        <v>1000</v>
      </c>
      <c r="M667">
        <v>48.206195999999998</v>
      </c>
      <c r="N667">
        <v>5</v>
      </c>
      <c r="O667">
        <v>0</v>
      </c>
      <c r="P667">
        <v>48.332469000000003</v>
      </c>
      <c r="Q667">
        <v>32.221646</v>
      </c>
      <c r="R667">
        <v>50</v>
      </c>
      <c r="S667">
        <v>46.610047000000002</v>
      </c>
      <c r="T667">
        <v>60.806980000000003</v>
      </c>
      <c r="U667">
        <v>31.073364000000002</v>
      </c>
      <c r="V667">
        <v>50</v>
      </c>
      <c r="W667">
        <v>37.434894</v>
      </c>
      <c r="X667">
        <v>24.956596000000001</v>
      </c>
      <c r="Y667">
        <v>50</v>
      </c>
      <c r="Z667">
        <v>46.5745</v>
      </c>
      <c r="AA667">
        <v>36.211179999999999</v>
      </c>
      <c r="AB667">
        <v>24.140787</v>
      </c>
      <c r="AC667">
        <v>50</v>
      </c>
      <c r="AD667">
        <v>50.889930999999997</v>
      </c>
      <c r="AE667">
        <v>33.926620999999997</v>
      </c>
      <c r="AF667">
        <v>50</v>
      </c>
      <c r="AG667">
        <v>50.024773000000003</v>
      </c>
      <c r="AH667" t="s">
        <v>125</v>
      </c>
      <c r="AI667">
        <v>33.349848000000001</v>
      </c>
      <c r="AJ667">
        <v>50</v>
      </c>
      <c r="AK667">
        <v>14.19</v>
      </c>
      <c r="AL667">
        <v>10.36</v>
      </c>
      <c r="AM667" t="s">
        <v>125</v>
      </c>
      <c r="AN667">
        <v>0.41384799999999999</v>
      </c>
      <c r="AO667">
        <v>41.384849000000003</v>
      </c>
      <c r="AP667">
        <v>100</v>
      </c>
      <c r="AQ667">
        <v>0.36374299999999998</v>
      </c>
      <c r="AR667">
        <v>36.374335000000002</v>
      </c>
      <c r="AS667">
        <v>100</v>
      </c>
      <c r="AT667">
        <v>0.39865400000000001</v>
      </c>
      <c r="AU667" t="s">
        <v>125</v>
      </c>
      <c r="AV667">
        <v>39.865367999999997</v>
      </c>
      <c r="AW667">
        <v>100</v>
      </c>
      <c r="AX667">
        <v>0.34895900000000002</v>
      </c>
      <c r="AY667" t="s">
        <v>125</v>
      </c>
      <c r="AZ667">
        <v>34.895876000000001</v>
      </c>
      <c r="BA667">
        <v>100</v>
      </c>
      <c r="BB667">
        <v>0.76952200000000004</v>
      </c>
      <c r="BC667">
        <v>38.476109000000001</v>
      </c>
      <c r="BD667">
        <v>50</v>
      </c>
      <c r="BE667">
        <v>0.338341</v>
      </c>
      <c r="BF667">
        <v>16.917045999999999</v>
      </c>
      <c r="BG667">
        <v>50</v>
      </c>
      <c r="BH667">
        <v>0</v>
      </c>
      <c r="BI667">
        <v>0.99026000000000003</v>
      </c>
      <c r="BJ667">
        <v>0.988506</v>
      </c>
      <c r="BK667">
        <v>1</v>
      </c>
      <c r="BL667">
        <v>0.990228</v>
      </c>
      <c r="BM667">
        <v>0.988506</v>
      </c>
      <c r="BN667">
        <v>1</v>
      </c>
      <c r="BO667">
        <v>0.99145300000000003</v>
      </c>
      <c r="BP667">
        <v>0.99009899999999995</v>
      </c>
      <c r="BQ667" t="s">
        <v>125</v>
      </c>
      <c r="BR667">
        <v>0.27231100000000003</v>
      </c>
      <c r="BS667">
        <v>5.537757</v>
      </c>
      <c r="BT667">
        <v>50</v>
      </c>
      <c r="BU667">
        <v>0.27665699999999999</v>
      </c>
      <c r="BV667">
        <v>4.6685879999999997</v>
      </c>
      <c r="BW667">
        <v>50</v>
      </c>
      <c r="BX667" t="s">
        <v>125</v>
      </c>
      <c r="BY667" t="s">
        <v>125</v>
      </c>
      <c r="BZ667" t="s">
        <v>125</v>
      </c>
      <c r="CA667" t="s">
        <v>125</v>
      </c>
      <c r="CB667" t="s">
        <v>125</v>
      </c>
      <c r="CC667" t="s">
        <v>125</v>
      </c>
      <c r="CD667">
        <v>0.769231</v>
      </c>
      <c r="CE667">
        <v>40.916530000000002</v>
      </c>
      <c r="CF667">
        <v>50</v>
      </c>
      <c r="CG667" t="s">
        <v>125</v>
      </c>
      <c r="CH667" t="s">
        <v>125</v>
      </c>
      <c r="CI667" t="s">
        <v>125</v>
      </c>
      <c r="CJ667" t="s">
        <v>125</v>
      </c>
      <c r="CK667" t="s">
        <v>125</v>
      </c>
      <c r="CL667" t="s">
        <v>125</v>
      </c>
      <c r="CM667" t="s">
        <v>125</v>
      </c>
      <c r="CN667" t="s">
        <v>125</v>
      </c>
      <c r="CO667" t="s">
        <v>125</v>
      </c>
      <c r="CP667" t="s">
        <v>125</v>
      </c>
      <c r="CQ667">
        <v>0.65034999999999998</v>
      </c>
      <c r="CR667">
        <v>0.97945199999999999</v>
      </c>
      <c r="CS667">
        <v>43.356642999999998</v>
      </c>
      <c r="CT667">
        <v>50</v>
      </c>
      <c r="CU667" t="s">
        <v>125</v>
      </c>
      <c r="CV667" t="s">
        <v>125</v>
      </c>
      <c r="CW667" t="s">
        <v>125</v>
      </c>
      <c r="CX667" t="s">
        <v>125</v>
      </c>
      <c r="CY667" t="s">
        <v>125</v>
      </c>
      <c r="CZ667" t="s">
        <v>125</v>
      </c>
      <c r="DA667">
        <v>15.314097</v>
      </c>
      <c r="DB667">
        <v>17.400950000000002</v>
      </c>
      <c r="DC667">
        <v>16.332519999999999</v>
      </c>
      <c r="DD667" t="s">
        <v>125</v>
      </c>
      <c r="DE667">
        <v>0</v>
      </c>
      <c r="DF667" t="s">
        <v>376</v>
      </c>
      <c r="DG667" t="s">
        <v>377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Q667" t="s">
        <v>126</v>
      </c>
    </row>
    <row r="668" spans="1:121" x14ac:dyDescent="0.15">
      <c r="A668">
        <v>2018</v>
      </c>
      <c r="B668" t="s">
        <v>206</v>
      </c>
      <c r="C668" t="str">
        <f t="shared" si="26"/>
        <v>0930011</v>
      </c>
      <c r="D668" t="s">
        <v>824</v>
      </c>
      <c r="E668" t="str">
        <f>"0932811"</f>
        <v>0932811</v>
      </c>
      <c r="F668" t="s">
        <v>328</v>
      </c>
      <c r="G668" t="s">
        <v>339</v>
      </c>
      <c r="H668">
        <v>4</v>
      </c>
      <c r="I668" t="s">
        <v>336</v>
      </c>
      <c r="J668" t="s">
        <v>331</v>
      </c>
      <c r="K668">
        <v>635.46932100000004</v>
      </c>
      <c r="L668">
        <v>850</v>
      </c>
      <c r="M668">
        <v>74.761097000000007</v>
      </c>
      <c r="N668">
        <v>2</v>
      </c>
      <c r="O668">
        <v>0</v>
      </c>
      <c r="P668">
        <v>61.230302999999999</v>
      </c>
      <c r="Q668">
        <v>40.820202000000002</v>
      </c>
      <c r="R668">
        <v>50</v>
      </c>
      <c r="S668">
        <v>61.378813999999998</v>
      </c>
      <c r="T668" t="s">
        <v>125</v>
      </c>
      <c r="U668">
        <v>40.91921</v>
      </c>
      <c r="V668">
        <v>50</v>
      </c>
      <c r="W668">
        <v>51.796194999999997</v>
      </c>
      <c r="X668">
        <v>34.530796000000002</v>
      </c>
      <c r="Y668">
        <v>50</v>
      </c>
      <c r="Z668" t="s">
        <v>125</v>
      </c>
      <c r="AA668">
        <v>51.703885999999997</v>
      </c>
      <c r="AB668">
        <v>34.469256999999999</v>
      </c>
      <c r="AC668">
        <v>50</v>
      </c>
      <c r="AD668" t="s">
        <v>125</v>
      </c>
      <c r="AE668" t="s">
        <v>125</v>
      </c>
      <c r="AF668" t="s">
        <v>125</v>
      </c>
      <c r="AG668" t="s">
        <v>125</v>
      </c>
      <c r="AH668" t="s">
        <v>125</v>
      </c>
      <c r="AI668" t="s">
        <v>125</v>
      </c>
      <c r="AJ668" t="s">
        <v>125</v>
      </c>
      <c r="AK668" t="s">
        <v>125</v>
      </c>
      <c r="AL668" t="s">
        <v>125</v>
      </c>
      <c r="AM668" t="s">
        <v>125</v>
      </c>
      <c r="AN668">
        <v>0.78056000000000003</v>
      </c>
      <c r="AO668">
        <v>78.055998000000002</v>
      </c>
      <c r="AP668">
        <v>100</v>
      </c>
      <c r="AQ668">
        <v>0.791242</v>
      </c>
      <c r="AR668">
        <v>79.124201999999997</v>
      </c>
      <c r="AS668">
        <v>100</v>
      </c>
      <c r="AT668">
        <v>0.78056000000000003</v>
      </c>
      <c r="AU668" t="s">
        <v>125</v>
      </c>
      <c r="AV668">
        <v>78.055998000000002</v>
      </c>
      <c r="AW668">
        <v>100</v>
      </c>
      <c r="AX668">
        <v>0.791242</v>
      </c>
      <c r="AY668" t="s">
        <v>125</v>
      </c>
      <c r="AZ668">
        <v>79.124201999999997</v>
      </c>
      <c r="BA668">
        <v>100</v>
      </c>
      <c r="BB668">
        <v>0.64293599999999995</v>
      </c>
      <c r="BC668">
        <v>32.146801000000004</v>
      </c>
      <c r="BD668">
        <v>50</v>
      </c>
      <c r="BE668">
        <v>0.48719800000000002</v>
      </c>
      <c r="BF668">
        <v>24.359874999999999</v>
      </c>
      <c r="BG668">
        <v>50</v>
      </c>
      <c r="BH668">
        <v>0</v>
      </c>
      <c r="BI668">
        <v>1</v>
      </c>
      <c r="BJ668">
        <v>1</v>
      </c>
      <c r="BK668" t="s">
        <v>125</v>
      </c>
      <c r="BL668">
        <v>1</v>
      </c>
      <c r="BM668">
        <v>1</v>
      </c>
      <c r="BN668" t="s">
        <v>125</v>
      </c>
      <c r="BO668" t="s">
        <v>125</v>
      </c>
      <c r="BP668" t="s">
        <v>125</v>
      </c>
      <c r="BQ668" t="s">
        <v>125</v>
      </c>
      <c r="BR668">
        <v>0.110294</v>
      </c>
      <c r="BS668">
        <v>37.941175999999999</v>
      </c>
      <c r="BT668">
        <v>50</v>
      </c>
      <c r="BU668">
        <v>0.104603</v>
      </c>
      <c r="BV668">
        <v>39.079498000000001</v>
      </c>
      <c r="BW668">
        <v>50</v>
      </c>
      <c r="BX668" t="s">
        <v>125</v>
      </c>
      <c r="BY668" t="s">
        <v>125</v>
      </c>
      <c r="BZ668" t="s">
        <v>125</v>
      </c>
      <c r="CA668" t="s">
        <v>125</v>
      </c>
      <c r="CB668" t="s">
        <v>125</v>
      </c>
      <c r="CC668" t="s">
        <v>125</v>
      </c>
      <c r="CD668" t="s">
        <v>125</v>
      </c>
      <c r="CE668" t="s">
        <v>125</v>
      </c>
      <c r="CF668" t="s">
        <v>125</v>
      </c>
      <c r="CG668" t="s">
        <v>125</v>
      </c>
      <c r="CH668" t="s">
        <v>125</v>
      </c>
      <c r="CI668" t="s">
        <v>125</v>
      </c>
      <c r="CJ668" t="s">
        <v>125</v>
      </c>
      <c r="CK668" t="s">
        <v>125</v>
      </c>
      <c r="CL668" t="s">
        <v>125</v>
      </c>
      <c r="CM668" t="s">
        <v>125</v>
      </c>
      <c r="CN668" t="s">
        <v>125</v>
      </c>
      <c r="CO668" t="s">
        <v>125</v>
      </c>
      <c r="CP668" t="s">
        <v>125</v>
      </c>
      <c r="CQ668">
        <v>0.55263200000000001</v>
      </c>
      <c r="CR668">
        <v>0.90476199999999996</v>
      </c>
      <c r="CS668">
        <v>36.842104999999997</v>
      </c>
      <c r="CT668">
        <v>50</v>
      </c>
      <c r="CU668" t="s">
        <v>125</v>
      </c>
      <c r="CV668" t="s">
        <v>125</v>
      </c>
      <c r="CW668" t="s">
        <v>125</v>
      </c>
      <c r="CX668" t="s">
        <v>125</v>
      </c>
      <c r="CY668" t="s">
        <v>125</v>
      </c>
      <c r="CZ668" t="s">
        <v>125</v>
      </c>
      <c r="DA668">
        <v>15.314097</v>
      </c>
      <c r="DB668">
        <v>17.400950000000002</v>
      </c>
      <c r="DC668">
        <v>16.332519999999999</v>
      </c>
      <c r="DD668" t="s">
        <v>125</v>
      </c>
      <c r="DE668">
        <v>0</v>
      </c>
      <c r="DH668" t="s">
        <v>332</v>
      </c>
      <c r="DI668" t="s">
        <v>629</v>
      </c>
      <c r="DJ668">
        <v>0</v>
      </c>
      <c r="DK668">
        <v>1</v>
      </c>
      <c r="DL668">
        <v>0</v>
      </c>
      <c r="DM668">
        <v>1</v>
      </c>
      <c r="DN668">
        <v>1</v>
      </c>
      <c r="DO668">
        <v>0</v>
      </c>
      <c r="DQ668" t="s">
        <v>126</v>
      </c>
    </row>
    <row r="669" spans="1:121" x14ac:dyDescent="0.15">
      <c r="A669">
        <v>2018</v>
      </c>
      <c r="B669" t="s">
        <v>206</v>
      </c>
      <c r="C669" t="str">
        <f t="shared" si="26"/>
        <v>0930011</v>
      </c>
      <c r="D669" t="s">
        <v>825</v>
      </c>
      <c r="E669" t="str">
        <f>"0930211"</f>
        <v>0930211</v>
      </c>
      <c r="F669" t="s">
        <v>328</v>
      </c>
      <c r="G669" t="s">
        <v>329</v>
      </c>
      <c r="H669">
        <v>8</v>
      </c>
      <c r="I669" t="s">
        <v>336</v>
      </c>
      <c r="J669" t="s">
        <v>331</v>
      </c>
      <c r="K669">
        <v>560.85637699999995</v>
      </c>
      <c r="L669">
        <v>1000</v>
      </c>
      <c r="M669">
        <v>56.085638000000003</v>
      </c>
      <c r="N669">
        <v>3</v>
      </c>
      <c r="O669">
        <v>0</v>
      </c>
      <c r="P669">
        <v>52.874215</v>
      </c>
      <c r="Q669">
        <v>35.249476999999999</v>
      </c>
      <c r="R669">
        <v>50</v>
      </c>
      <c r="S669">
        <v>51.313555000000001</v>
      </c>
      <c r="T669">
        <v>60.833582</v>
      </c>
      <c r="U669">
        <v>34.209037000000002</v>
      </c>
      <c r="V669">
        <v>50</v>
      </c>
      <c r="W669">
        <v>43.902132000000002</v>
      </c>
      <c r="X669">
        <v>29.268087999999999</v>
      </c>
      <c r="Y669">
        <v>50</v>
      </c>
      <c r="Z669">
        <v>49.174911000000002</v>
      </c>
      <c r="AA669">
        <v>42.860081000000001</v>
      </c>
      <c r="AB669">
        <v>28.573387</v>
      </c>
      <c r="AC669">
        <v>50</v>
      </c>
      <c r="AD669">
        <v>50.572853000000002</v>
      </c>
      <c r="AE669">
        <v>33.715235</v>
      </c>
      <c r="AF669">
        <v>50</v>
      </c>
      <c r="AG669">
        <v>48.431682000000002</v>
      </c>
      <c r="AH669">
        <v>59.030478000000002</v>
      </c>
      <c r="AI669">
        <v>32.287787999999999</v>
      </c>
      <c r="AJ669">
        <v>50</v>
      </c>
      <c r="AK669">
        <v>9.52</v>
      </c>
      <c r="AL669">
        <v>6.31</v>
      </c>
      <c r="AM669">
        <v>10.59</v>
      </c>
      <c r="AN669">
        <v>0.48822900000000002</v>
      </c>
      <c r="AO669">
        <v>48.822892000000003</v>
      </c>
      <c r="AP669">
        <v>100</v>
      </c>
      <c r="AQ669">
        <v>0.50271699999999997</v>
      </c>
      <c r="AR669">
        <v>50.271729000000001</v>
      </c>
      <c r="AS669">
        <v>100</v>
      </c>
      <c r="AT669">
        <v>0.48909799999999998</v>
      </c>
      <c r="AU669">
        <v>0.48372599999999999</v>
      </c>
      <c r="AV669">
        <v>48.909759999999999</v>
      </c>
      <c r="AW669">
        <v>100</v>
      </c>
      <c r="AX669">
        <v>0.53340399999999999</v>
      </c>
      <c r="AY669">
        <v>0.34016200000000002</v>
      </c>
      <c r="AZ669">
        <v>53.340366000000003</v>
      </c>
      <c r="BA669">
        <v>100</v>
      </c>
      <c r="BB669">
        <v>0.65098400000000001</v>
      </c>
      <c r="BC669">
        <v>32.549196000000002</v>
      </c>
      <c r="BD669">
        <v>50</v>
      </c>
      <c r="BE669">
        <v>0.52997300000000003</v>
      </c>
      <c r="BF669">
        <v>26.498639000000001</v>
      </c>
      <c r="BG669">
        <v>50</v>
      </c>
      <c r="BH669">
        <v>0</v>
      </c>
      <c r="BI669">
        <v>0.99680500000000005</v>
      </c>
      <c r="BJ669">
        <v>1</v>
      </c>
      <c r="BK669">
        <v>0.980769</v>
      </c>
      <c r="BL669">
        <v>0.99041500000000005</v>
      </c>
      <c r="BM669">
        <v>0.99233700000000002</v>
      </c>
      <c r="BN669">
        <v>0.980769</v>
      </c>
      <c r="BO669">
        <v>1</v>
      </c>
      <c r="BP669">
        <v>1</v>
      </c>
      <c r="BQ669">
        <v>1</v>
      </c>
      <c r="BR669">
        <v>0.217949</v>
      </c>
      <c r="BS669">
        <v>16.410256</v>
      </c>
      <c r="BT669">
        <v>50</v>
      </c>
      <c r="BU669">
        <v>0.22933300000000001</v>
      </c>
      <c r="BV669">
        <v>14.133333</v>
      </c>
      <c r="BW669">
        <v>50</v>
      </c>
      <c r="BX669" t="s">
        <v>125</v>
      </c>
      <c r="BY669" t="s">
        <v>125</v>
      </c>
      <c r="BZ669" t="s">
        <v>125</v>
      </c>
      <c r="CA669" t="s">
        <v>125</v>
      </c>
      <c r="CB669" t="s">
        <v>125</v>
      </c>
      <c r="CC669" t="s">
        <v>125</v>
      </c>
      <c r="CD669">
        <v>0.85416700000000001</v>
      </c>
      <c r="CE669">
        <v>45.434396999999997</v>
      </c>
      <c r="CF669">
        <v>50</v>
      </c>
      <c r="CG669" t="s">
        <v>125</v>
      </c>
      <c r="CH669" t="s">
        <v>125</v>
      </c>
      <c r="CI669" t="s">
        <v>125</v>
      </c>
      <c r="CJ669" t="s">
        <v>125</v>
      </c>
      <c r="CK669" t="s">
        <v>125</v>
      </c>
      <c r="CL669" t="s">
        <v>125</v>
      </c>
      <c r="CM669" t="s">
        <v>125</v>
      </c>
      <c r="CN669" t="s">
        <v>125</v>
      </c>
      <c r="CO669" t="s">
        <v>125</v>
      </c>
      <c r="CP669" t="s">
        <v>125</v>
      </c>
      <c r="CQ669">
        <v>0.46774199999999999</v>
      </c>
      <c r="CR669">
        <v>0.98412699999999997</v>
      </c>
      <c r="CS669">
        <v>31.182796</v>
      </c>
      <c r="CT669">
        <v>50</v>
      </c>
      <c r="CU669" t="s">
        <v>125</v>
      </c>
      <c r="CV669" t="s">
        <v>125</v>
      </c>
      <c r="CW669" t="s">
        <v>125</v>
      </c>
      <c r="CX669" t="s">
        <v>125</v>
      </c>
      <c r="CY669" t="s">
        <v>125</v>
      </c>
      <c r="CZ669" t="s">
        <v>125</v>
      </c>
      <c r="DA669">
        <v>15.314097</v>
      </c>
      <c r="DB669">
        <v>17.400950000000002</v>
      </c>
      <c r="DC669">
        <v>16.332519999999999</v>
      </c>
      <c r="DD669" t="s">
        <v>125</v>
      </c>
      <c r="DE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Q669" t="s">
        <v>126</v>
      </c>
    </row>
    <row r="670" spans="1:121" x14ac:dyDescent="0.15">
      <c r="A670">
        <v>2018</v>
      </c>
      <c r="B670" t="s">
        <v>206</v>
      </c>
      <c r="C670" t="str">
        <f t="shared" si="26"/>
        <v>0930011</v>
      </c>
      <c r="D670" t="s">
        <v>826</v>
      </c>
      <c r="E670" t="str">
        <f>"0930311"</f>
        <v>0930311</v>
      </c>
      <c r="F670" t="s">
        <v>328</v>
      </c>
      <c r="G670" t="s">
        <v>329</v>
      </c>
      <c r="H670">
        <v>8</v>
      </c>
      <c r="J670" t="s">
        <v>331</v>
      </c>
      <c r="K670">
        <v>581.08916599999998</v>
      </c>
      <c r="L670">
        <v>900</v>
      </c>
      <c r="M670">
        <v>64.565462999999994</v>
      </c>
      <c r="N670">
        <v>3</v>
      </c>
      <c r="O670">
        <v>0</v>
      </c>
      <c r="P670">
        <v>63.387275000000002</v>
      </c>
      <c r="Q670">
        <v>42.258183000000002</v>
      </c>
      <c r="R670">
        <v>50</v>
      </c>
      <c r="S670">
        <v>61.077309999999997</v>
      </c>
      <c r="T670">
        <v>71.750941999999995</v>
      </c>
      <c r="U670">
        <v>40.718207</v>
      </c>
      <c r="V670">
        <v>50</v>
      </c>
      <c r="W670">
        <v>56.781795000000002</v>
      </c>
      <c r="X670">
        <v>37.854529999999997</v>
      </c>
      <c r="Y670">
        <v>50</v>
      </c>
      <c r="Z670">
        <v>65.420765000000003</v>
      </c>
      <c r="AA670">
        <v>54.384377000000001</v>
      </c>
      <c r="AB670">
        <v>36.256250999999999</v>
      </c>
      <c r="AC670">
        <v>50</v>
      </c>
      <c r="AD670">
        <v>54.727021000000001</v>
      </c>
      <c r="AE670">
        <v>36.484681000000002</v>
      </c>
      <c r="AF670">
        <v>50</v>
      </c>
      <c r="AG670">
        <v>53.931534999999997</v>
      </c>
      <c r="AH670" t="s">
        <v>125</v>
      </c>
      <c r="AI670">
        <v>35.954357000000002</v>
      </c>
      <c r="AJ670">
        <v>50</v>
      </c>
      <c r="AK670">
        <v>10.67</v>
      </c>
      <c r="AL670">
        <v>11.03</v>
      </c>
      <c r="AM670" t="s">
        <v>125</v>
      </c>
      <c r="AN670">
        <v>0.61770499999999995</v>
      </c>
      <c r="AO670">
        <v>61.770488999999998</v>
      </c>
      <c r="AP670">
        <v>100</v>
      </c>
      <c r="AQ670">
        <v>0.61759200000000003</v>
      </c>
      <c r="AR670">
        <v>61.759247000000002</v>
      </c>
      <c r="AS670">
        <v>100</v>
      </c>
      <c r="AT670">
        <v>0.61004000000000003</v>
      </c>
      <c r="AU670">
        <v>0.64575400000000005</v>
      </c>
      <c r="AV670">
        <v>61.004044</v>
      </c>
      <c r="AW670">
        <v>100</v>
      </c>
      <c r="AX670">
        <v>0.58176000000000005</v>
      </c>
      <c r="AY670">
        <v>0.74719999999999998</v>
      </c>
      <c r="AZ670">
        <v>58.17597</v>
      </c>
      <c r="BA670">
        <v>100</v>
      </c>
      <c r="BB670" t="s">
        <v>125</v>
      </c>
      <c r="BC670" t="s">
        <v>125</v>
      </c>
      <c r="BD670" t="s">
        <v>125</v>
      </c>
      <c r="BE670" t="s">
        <v>125</v>
      </c>
      <c r="BF670" t="s">
        <v>125</v>
      </c>
      <c r="BG670" t="s">
        <v>125</v>
      </c>
      <c r="BH670">
        <v>0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 t="s">
        <v>125</v>
      </c>
      <c r="BR670">
        <v>0.173267</v>
      </c>
      <c r="BS670">
        <v>25.346534999999999</v>
      </c>
      <c r="BT670">
        <v>50</v>
      </c>
      <c r="BU670">
        <v>0.20588200000000001</v>
      </c>
      <c r="BV670">
        <v>18.823529000000001</v>
      </c>
      <c r="BW670">
        <v>50</v>
      </c>
      <c r="BX670" t="s">
        <v>125</v>
      </c>
      <c r="BY670" t="s">
        <v>125</v>
      </c>
      <c r="BZ670" t="s">
        <v>125</v>
      </c>
      <c r="CA670" t="s">
        <v>125</v>
      </c>
      <c r="CB670" t="s">
        <v>125</v>
      </c>
      <c r="CC670" t="s">
        <v>125</v>
      </c>
      <c r="CD670">
        <v>0.875</v>
      </c>
      <c r="CE670">
        <v>46.542552999999998</v>
      </c>
      <c r="CF670">
        <v>50</v>
      </c>
      <c r="CG670" t="s">
        <v>125</v>
      </c>
      <c r="CH670" t="s">
        <v>125</v>
      </c>
      <c r="CI670" t="s">
        <v>125</v>
      </c>
      <c r="CJ670" t="s">
        <v>125</v>
      </c>
      <c r="CK670" t="s">
        <v>125</v>
      </c>
      <c r="CL670" t="s">
        <v>125</v>
      </c>
      <c r="CM670" t="s">
        <v>125</v>
      </c>
      <c r="CN670" t="s">
        <v>125</v>
      </c>
      <c r="CO670" t="s">
        <v>125</v>
      </c>
      <c r="CP670" t="s">
        <v>125</v>
      </c>
      <c r="CQ670">
        <v>0.27210899999999999</v>
      </c>
      <c r="CR670">
        <v>1.0575540000000001</v>
      </c>
      <c r="CS670">
        <v>18.14059</v>
      </c>
      <c r="CT670">
        <v>50</v>
      </c>
      <c r="CU670" t="s">
        <v>125</v>
      </c>
      <c r="CV670" t="s">
        <v>125</v>
      </c>
      <c r="CW670" t="s">
        <v>125</v>
      </c>
      <c r="CX670" t="s">
        <v>125</v>
      </c>
      <c r="CY670" t="s">
        <v>125</v>
      </c>
      <c r="CZ670" t="s">
        <v>125</v>
      </c>
      <c r="DA670">
        <v>15.314097</v>
      </c>
      <c r="DB670">
        <v>17.400950000000002</v>
      </c>
      <c r="DC670">
        <v>16.332519999999999</v>
      </c>
      <c r="DD670" t="s">
        <v>125</v>
      </c>
      <c r="DE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Q670" t="s">
        <v>126</v>
      </c>
    </row>
    <row r="671" spans="1:121" x14ac:dyDescent="0.15">
      <c r="A671">
        <v>2018</v>
      </c>
      <c r="B671" t="s">
        <v>206</v>
      </c>
      <c r="C671" t="str">
        <f t="shared" si="26"/>
        <v>0930011</v>
      </c>
      <c r="D671" t="s">
        <v>827</v>
      </c>
      <c r="E671" t="str">
        <f>"0931811"</f>
        <v>0931811</v>
      </c>
      <c r="F671" t="s">
        <v>328</v>
      </c>
      <c r="G671" t="s">
        <v>329</v>
      </c>
      <c r="H671">
        <v>8</v>
      </c>
      <c r="J671" t="s">
        <v>331</v>
      </c>
      <c r="K671">
        <v>673.61182099999996</v>
      </c>
      <c r="L671">
        <v>1000</v>
      </c>
      <c r="M671">
        <v>67.361181999999999</v>
      </c>
      <c r="N671">
        <v>3</v>
      </c>
      <c r="O671">
        <v>0</v>
      </c>
      <c r="P671">
        <v>64.216446000000005</v>
      </c>
      <c r="Q671">
        <v>42.810963999999998</v>
      </c>
      <c r="R671">
        <v>50</v>
      </c>
      <c r="S671">
        <v>61.835988999999998</v>
      </c>
      <c r="T671">
        <v>74.560609999999997</v>
      </c>
      <c r="U671">
        <v>41.223993</v>
      </c>
      <c r="V671">
        <v>50</v>
      </c>
      <c r="W671">
        <v>54.79251</v>
      </c>
      <c r="X671">
        <v>36.52834</v>
      </c>
      <c r="Y671">
        <v>50</v>
      </c>
      <c r="Z671">
        <v>62.280445</v>
      </c>
      <c r="AA671">
        <v>53.069344999999998</v>
      </c>
      <c r="AB671">
        <v>35.379562999999997</v>
      </c>
      <c r="AC671">
        <v>50</v>
      </c>
      <c r="AD671">
        <v>55.451951999999999</v>
      </c>
      <c r="AE671">
        <v>36.967967999999999</v>
      </c>
      <c r="AF671">
        <v>50</v>
      </c>
      <c r="AG671">
        <v>54.467663999999999</v>
      </c>
      <c r="AH671" t="s">
        <v>125</v>
      </c>
      <c r="AI671">
        <v>36.311776000000002</v>
      </c>
      <c r="AJ671">
        <v>50</v>
      </c>
      <c r="AK671">
        <v>12.72</v>
      </c>
      <c r="AL671">
        <v>9.2100000000000009</v>
      </c>
      <c r="AM671" t="s">
        <v>125</v>
      </c>
      <c r="AN671">
        <v>0.61272599999999999</v>
      </c>
      <c r="AO671">
        <v>61.272565</v>
      </c>
      <c r="AP671">
        <v>100</v>
      </c>
      <c r="AQ671">
        <v>0.47744599999999998</v>
      </c>
      <c r="AR671">
        <v>47.744563999999997</v>
      </c>
      <c r="AS671">
        <v>100</v>
      </c>
      <c r="AT671">
        <v>0.59749600000000003</v>
      </c>
      <c r="AU671">
        <v>0.68773300000000004</v>
      </c>
      <c r="AV671">
        <v>59.749580000000002</v>
      </c>
      <c r="AW671">
        <v>100</v>
      </c>
      <c r="AX671">
        <v>0.49482700000000002</v>
      </c>
      <c r="AY671">
        <v>0.39184000000000002</v>
      </c>
      <c r="AZ671">
        <v>49.482748999999998</v>
      </c>
      <c r="BA671">
        <v>100</v>
      </c>
      <c r="BB671">
        <v>0.57827899999999999</v>
      </c>
      <c r="BC671">
        <v>28.913952999999999</v>
      </c>
      <c r="BD671">
        <v>50</v>
      </c>
      <c r="BE671">
        <v>0.65415000000000001</v>
      </c>
      <c r="BF671">
        <v>32.707512999999999</v>
      </c>
      <c r="BG671">
        <v>50</v>
      </c>
      <c r="BH671">
        <v>0</v>
      </c>
      <c r="BI671">
        <v>0.99677400000000005</v>
      </c>
      <c r="BJ671">
        <v>1</v>
      </c>
      <c r="BK671">
        <v>0.98360700000000001</v>
      </c>
      <c r="BL671">
        <v>0.99677400000000005</v>
      </c>
      <c r="BM671">
        <v>1</v>
      </c>
      <c r="BN671">
        <v>0.98360700000000001</v>
      </c>
      <c r="BO671">
        <v>0.99</v>
      </c>
      <c r="BP671">
        <v>1</v>
      </c>
      <c r="BQ671" t="s">
        <v>125</v>
      </c>
      <c r="BR671">
        <v>9.3478000000000006E-2</v>
      </c>
      <c r="BS671">
        <v>41.304347999999997</v>
      </c>
      <c r="BT671">
        <v>50</v>
      </c>
      <c r="BU671">
        <v>9.9447999999999995E-2</v>
      </c>
      <c r="BV671">
        <v>40.110497000000002</v>
      </c>
      <c r="BW671">
        <v>50</v>
      </c>
      <c r="BX671" t="s">
        <v>125</v>
      </c>
      <c r="BY671" t="s">
        <v>125</v>
      </c>
      <c r="BZ671" t="s">
        <v>125</v>
      </c>
      <c r="CA671" t="s">
        <v>125</v>
      </c>
      <c r="CB671" t="s">
        <v>125</v>
      </c>
      <c r="CC671" t="s">
        <v>125</v>
      </c>
      <c r="CD671">
        <v>0.97674399999999995</v>
      </c>
      <c r="CE671">
        <v>50</v>
      </c>
      <c r="CF671">
        <v>50</v>
      </c>
      <c r="CG671" t="s">
        <v>125</v>
      </c>
      <c r="CH671" t="s">
        <v>125</v>
      </c>
      <c r="CI671" t="s">
        <v>125</v>
      </c>
      <c r="CJ671" t="s">
        <v>125</v>
      </c>
      <c r="CK671" t="s">
        <v>125</v>
      </c>
      <c r="CL671" t="s">
        <v>125</v>
      </c>
      <c r="CM671" t="s">
        <v>125</v>
      </c>
      <c r="CN671" t="s">
        <v>125</v>
      </c>
      <c r="CO671" t="s">
        <v>125</v>
      </c>
      <c r="CP671" t="s">
        <v>125</v>
      </c>
      <c r="CQ671">
        <v>0.49655199999999999</v>
      </c>
      <c r="CR671">
        <v>0.94155800000000001</v>
      </c>
      <c r="CS671">
        <v>33.103448</v>
      </c>
      <c r="CT671">
        <v>50</v>
      </c>
      <c r="CU671" t="s">
        <v>125</v>
      </c>
      <c r="CV671" t="s">
        <v>125</v>
      </c>
      <c r="CW671" t="s">
        <v>125</v>
      </c>
      <c r="CX671" t="s">
        <v>125</v>
      </c>
      <c r="CY671" t="s">
        <v>125</v>
      </c>
      <c r="CZ671" t="s">
        <v>125</v>
      </c>
      <c r="DA671">
        <v>15.314097</v>
      </c>
      <c r="DB671">
        <v>17.400950000000002</v>
      </c>
      <c r="DC671">
        <v>16.332519999999999</v>
      </c>
      <c r="DD671" t="s">
        <v>125</v>
      </c>
      <c r="DE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Q671" t="s">
        <v>126</v>
      </c>
    </row>
    <row r="672" spans="1:121" x14ac:dyDescent="0.15">
      <c r="A672">
        <v>2018</v>
      </c>
      <c r="B672" t="s">
        <v>206</v>
      </c>
      <c r="C672" t="str">
        <f t="shared" si="26"/>
        <v>0930011</v>
      </c>
      <c r="D672" t="s">
        <v>828</v>
      </c>
      <c r="E672" t="str">
        <f>"0935511"</f>
        <v>0935511</v>
      </c>
      <c r="F672" t="s">
        <v>328</v>
      </c>
      <c r="G672">
        <v>5</v>
      </c>
      <c r="H672">
        <v>8</v>
      </c>
      <c r="J672" t="s">
        <v>331</v>
      </c>
      <c r="K672">
        <v>593.843975</v>
      </c>
      <c r="L672">
        <v>1000</v>
      </c>
      <c r="M672">
        <v>59.384397</v>
      </c>
      <c r="N672">
        <v>3</v>
      </c>
      <c r="O672">
        <v>1</v>
      </c>
      <c r="P672">
        <v>62.060893999999998</v>
      </c>
      <c r="Q672">
        <v>41.373928999999997</v>
      </c>
      <c r="R672">
        <v>50</v>
      </c>
      <c r="S672">
        <v>55.998251000000003</v>
      </c>
      <c r="T672">
        <v>72.834636000000003</v>
      </c>
      <c r="U672">
        <v>37.332166999999998</v>
      </c>
      <c r="V672">
        <v>50</v>
      </c>
      <c r="W672">
        <v>56.391018000000003</v>
      </c>
      <c r="X672">
        <v>37.594011999999999</v>
      </c>
      <c r="Y672">
        <v>50</v>
      </c>
      <c r="Z672">
        <v>64.826839000000007</v>
      </c>
      <c r="AA672">
        <v>51.636282999999999</v>
      </c>
      <c r="AB672">
        <v>34.424188999999998</v>
      </c>
      <c r="AC672">
        <v>50</v>
      </c>
      <c r="AD672">
        <v>57.527234999999997</v>
      </c>
      <c r="AE672">
        <v>38.351489999999998</v>
      </c>
      <c r="AF672">
        <v>50</v>
      </c>
      <c r="AG672">
        <v>52.923336999999997</v>
      </c>
      <c r="AH672">
        <v>65.990283000000005</v>
      </c>
      <c r="AI672">
        <v>35.282224999999997</v>
      </c>
      <c r="AJ672">
        <v>50</v>
      </c>
      <c r="AK672">
        <v>16.829999999999998</v>
      </c>
      <c r="AL672">
        <v>13.19</v>
      </c>
      <c r="AM672">
        <v>13.06</v>
      </c>
      <c r="AN672">
        <v>0.43964599999999998</v>
      </c>
      <c r="AO672">
        <v>43.964570999999999</v>
      </c>
      <c r="AP672">
        <v>100</v>
      </c>
      <c r="AQ672">
        <v>0.53206200000000003</v>
      </c>
      <c r="AR672">
        <v>53.206229</v>
      </c>
      <c r="AS672">
        <v>100</v>
      </c>
      <c r="AT672">
        <v>0.36830800000000002</v>
      </c>
      <c r="AU672">
        <v>0.56862100000000004</v>
      </c>
      <c r="AV672">
        <v>36.830765</v>
      </c>
      <c r="AW672">
        <v>100</v>
      </c>
      <c r="AX672">
        <v>0.50587599999999999</v>
      </c>
      <c r="AY672">
        <v>0.57983399999999996</v>
      </c>
      <c r="AZ672">
        <v>50.587611000000003</v>
      </c>
      <c r="BA672">
        <v>100</v>
      </c>
      <c r="BB672">
        <v>0.74179399999999995</v>
      </c>
      <c r="BC672">
        <v>37.089705000000002</v>
      </c>
      <c r="BD672">
        <v>50</v>
      </c>
      <c r="BE672">
        <v>0.49137599999999998</v>
      </c>
      <c r="BF672">
        <v>24.568816000000002</v>
      </c>
      <c r="BG672">
        <v>50</v>
      </c>
      <c r="BH672">
        <v>0</v>
      </c>
      <c r="BI672">
        <v>0.986456</v>
      </c>
      <c r="BJ672">
        <v>0.98586600000000002</v>
      </c>
      <c r="BK672">
        <v>0.98750000000000004</v>
      </c>
      <c r="BL672">
        <v>0.972912</v>
      </c>
      <c r="BM672">
        <v>0.97173100000000001</v>
      </c>
      <c r="BN672">
        <v>0.97499999999999998</v>
      </c>
      <c r="BO672">
        <v>0.98974399999999996</v>
      </c>
      <c r="BP672">
        <v>0.99206300000000003</v>
      </c>
      <c r="BQ672">
        <v>0.98550700000000002</v>
      </c>
      <c r="BR672">
        <v>0.151584</v>
      </c>
      <c r="BS672">
        <v>29.683257999999999</v>
      </c>
      <c r="BT672">
        <v>50</v>
      </c>
      <c r="BU672">
        <v>0.192857</v>
      </c>
      <c r="BV672">
        <v>21.428571000000002</v>
      </c>
      <c r="BW672">
        <v>50</v>
      </c>
      <c r="BX672" t="s">
        <v>125</v>
      </c>
      <c r="BY672" t="s">
        <v>125</v>
      </c>
      <c r="BZ672" t="s">
        <v>125</v>
      </c>
      <c r="CA672" t="s">
        <v>125</v>
      </c>
      <c r="CB672" t="s">
        <v>125</v>
      </c>
      <c r="CC672" t="s">
        <v>125</v>
      </c>
      <c r="CD672">
        <v>0.96261699999999994</v>
      </c>
      <c r="CE672">
        <v>50</v>
      </c>
      <c r="CF672">
        <v>50</v>
      </c>
      <c r="CG672" t="s">
        <v>125</v>
      </c>
      <c r="CH672" t="s">
        <v>125</v>
      </c>
      <c r="CI672" t="s">
        <v>125</v>
      </c>
      <c r="CJ672" t="s">
        <v>125</v>
      </c>
      <c r="CK672" t="s">
        <v>125</v>
      </c>
      <c r="CL672" t="s">
        <v>125</v>
      </c>
      <c r="CM672" t="s">
        <v>125</v>
      </c>
      <c r="CN672" t="s">
        <v>125</v>
      </c>
      <c r="CO672" t="s">
        <v>125</v>
      </c>
      <c r="CP672" t="s">
        <v>125</v>
      </c>
      <c r="CQ672">
        <v>0.331897</v>
      </c>
      <c r="CR672">
        <v>0.95082</v>
      </c>
      <c r="CS672">
        <v>22.126436999999999</v>
      </c>
      <c r="CT672">
        <v>50</v>
      </c>
      <c r="CU672" t="s">
        <v>125</v>
      </c>
      <c r="CV672" t="s">
        <v>125</v>
      </c>
      <c r="CW672" t="s">
        <v>125</v>
      </c>
      <c r="CX672" t="s">
        <v>125</v>
      </c>
      <c r="CY672" t="s">
        <v>125</v>
      </c>
      <c r="CZ672" t="s">
        <v>125</v>
      </c>
      <c r="DA672">
        <v>15.314097</v>
      </c>
      <c r="DB672">
        <v>17.400950000000002</v>
      </c>
      <c r="DC672">
        <v>16.332519999999999</v>
      </c>
      <c r="DD672" t="s">
        <v>125</v>
      </c>
      <c r="DE672">
        <v>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Q672" t="s">
        <v>126</v>
      </c>
    </row>
    <row r="673" spans="1:121" x14ac:dyDescent="0.15">
      <c r="A673">
        <v>2018</v>
      </c>
      <c r="B673" t="s">
        <v>206</v>
      </c>
      <c r="C673" t="str">
        <f t="shared" si="26"/>
        <v>0930011</v>
      </c>
      <c r="D673" t="s">
        <v>829</v>
      </c>
      <c r="E673" t="str">
        <f>"0934311"</f>
        <v>0934311</v>
      </c>
      <c r="F673" t="s">
        <v>328</v>
      </c>
      <c r="G673" t="s">
        <v>339</v>
      </c>
      <c r="H673">
        <v>8</v>
      </c>
      <c r="I673" t="s">
        <v>336</v>
      </c>
      <c r="J673" t="s">
        <v>331</v>
      </c>
      <c r="K673">
        <v>635.59816499999999</v>
      </c>
      <c r="L673">
        <v>1000</v>
      </c>
      <c r="M673">
        <v>63.559815999999998</v>
      </c>
      <c r="N673">
        <v>3</v>
      </c>
      <c r="O673">
        <v>0</v>
      </c>
      <c r="P673">
        <v>56.521985999999998</v>
      </c>
      <c r="Q673">
        <v>37.681323999999996</v>
      </c>
      <c r="R673">
        <v>50</v>
      </c>
      <c r="S673">
        <v>55.074528000000001</v>
      </c>
      <c r="T673">
        <v>65.279104000000004</v>
      </c>
      <c r="U673">
        <v>36.716352000000001</v>
      </c>
      <c r="V673">
        <v>50</v>
      </c>
      <c r="W673">
        <v>52.079231999999998</v>
      </c>
      <c r="X673">
        <v>34.719487999999998</v>
      </c>
      <c r="Y673">
        <v>50</v>
      </c>
      <c r="Z673">
        <v>57.947892000000003</v>
      </c>
      <c r="AA673">
        <v>51.105181000000002</v>
      </c>
      <c r="AB673">
        <v>34.070121</v>
      </c>
      <c r="AC673">
        <v>50</v>
      </c>
      <c r="AD673">
        <v>53.569119999999998</v>
      </c>
      <c r="AE673">
        <v>35.712747</v>
      </c>
      <c r="AF673">
        <v>50</v>
      </c>
      <c r="AG673">
        <v>52.605466</v>
      </c>
      <c r="AH673" t="s">
        <v>125</v>
      </c>
      <c r="AI673">
        <v>35.070309999999999</v>
      </c>
      <c r="AJ673">
        <v>50</v>
      </c>
      <c r="AK673">
        <v>10.199999999999999</v>
      </c>
      <c r="AL673">
        <v>6.84</v>
      </c>
      <c r="AM673" t="s">
        <v>125</v>
      </c>
      <c r="AN673">
        <v>0.54607300000000003</v>
      </c>
      <c r="AO673">
        <v>54.607323000000001</v>
      </c>
      <c r="AP673">
        <v>100</v>
      </c>
      <c r="AQ673">
        <v>0.52436099999999997</v>
      </c>
      <c r="AR673">
        <v>52.436081999999999</v>
      </c>
      <c r="AS673">
        <v>100</v>
      </c>
      <c r="AT673">
        <v>0.54014300000000004</v>
      </c>
      <c r="AU673">
        <v>0.57732899999999998</v>
      </c>
      <c r="AV673">
        <v>54.014271999999998</v>
      </c>
      <c r="AW673">
        <v>100</v>
      </c>
      <c r="AX673">
        <v>0.52828699999999995</v>
      </c>
      <c r="AY673">
        <v>0.503772</v>
      </c>
      <c r="AZ673">
        <v>52.828746000000002</v>
      </c>
      <c r="BA673">
        <v>100</v>
      </c>
      <c r="BB673">
        <v>0.58683200000000002</v>
      </c>
      <c r="BC673">
        <v>29.341593</v>
      </c>
      <c r="BD673">
        <v>50</v>
      </c>
      <c r="BE673">
        <v>0.53395999999999999</v>
      </c>
      <c r="BF673">
        <v>26.697993</v>
      </c>
      <c r="BG673">
        <v>50</v>
      </c>
      <c r="BH673">
        <v>0</v>
      </c>
      <c r="BI673">
        <v>1</v>
      </c>
      <c r="BJ673">
        <v>1</v>
      </c>
      <c r="BK673">
        <v>1</v>
      </c>
      <c r="BL673">
        <v>0.996587</v>
      </c>
      <c r="BM673">
        <v>0.99601600000000001</v>
      </c>
      <c r="BN673">
        <v>1</v>
      </c>
      <c r="BO673">
        <v>1</v>
      </c>
      <c r="BP673">
        <v>1</v>
      </c>
      <c r="BQ673" t="s">
        <v>125</v>
      </c>
      <c r="BR673">
        <v>0.14588200000000001</v>
      </c>
      <c r="BS673">
        <v>30.823529000000001</v>
      </c>
      <c r="BT673">
        <v>50</v>
      </c>
      <c r="BU673">
        <v>0.14782600000000001</v>
      </c>
      <c r="BV673">
        <v>30.434782999999999</v>
      </c>
      <c r="BW673">
        <v>50</v>
      </c>
      <c r="BX673" t="s">
        <v>125</v>
      </c>
      <c r="BY673" t="s">
        <v>125</v>
      </c>
      <c r="BZ673" t="s">
        <v>125</v>
      </c>
      <c r="CA673" t="s">
        <v>125</v>
      </c>
      <c r="CB673" t="s">
        <v>125</v>
      </c>
      <c r="CC673" t="s">
        <v>125</v>
      </c>
      <c r="CD673">
        <v>0.89583299999999999</v>
      </c>
      <c r="CE673">
        <v>47.650708999999999</v>
      </c>
      <c r="CF673">
        <v>50</v>
      </c>
      <c r="CG673" t="s">
        <v>125</v>
      </c>
      <c r="CH673" t="s">
        <v>125</v>
      </c>
      <c r="CI673" t="s">
        <v>125</v>
      </c>
      <c r="CJ673" t="s">
        <v>125</v>
      </c>
      <c r="CK673" t="s">
        <v>125</v>
      </c>
      <c r="CL673" t="s">
        <v>125</v>
      </c>
      <c r="CM673" t="s">
        <v>125</v>
      </c>
      <c r="CN673" t="s">
        <v>125</v>
      </c>
      <c r="CO673" t="s">
        <v>125</v>
      </c>
      <c r="CP673" t="s">
        <v>125</v>
      </c>
      <c r="CQ673">
        <v>0.64189200000000002</v>
      </c>
      <c r="CR673">
        <v>0.98666699999999996</v>
      </c>
      <c r="CS673">
        <v>42.792793000000003</v>
      </c>
      <c r="CT673">
        <v>50</v>
      </c>
      <c r="CU673" t="s">
        <v>125</v>
      </c>
      <c r="CV673" t="s">
        <v>125</v>
      </c>
      <c r="CW673" t="s">
        <v>125</v>
      </c>
      <c r="CX673" t="s">
        <v>125</v>
      </c>
      <c r="CY673" t="s">
        <v>125</v>
      </c>
      <c r="CZ673" t="s">
        <v>125</v>
      </c>
      <c r="DA673">
        <v>15.314097</v>
      </c>
      <c r="DB673">
        <v>17.400950000000002</v>
      </c>
      <c r="DC673">
        <v>16.332519999999999</v>
      </c>
      <c r="DD673" t="s">
        <v>125</v>
      </c>
      <c r="DE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Q673" t="s">
        <v>126</v>
      </c>
    </row>
    <row r="674" spans="1:121" x14ac:dyDescent="0.15">
      <c r="A674">
        <v>2018</v>
      </c>
      <c r="B674" t="s">
        <v>206</v>
      </c>
      <c r="C674" t="str">
        <f t="shared" si="26"/>
        <v>0930011</v>
      </c>
      <c r="D674" t="s">
        <v>830</v>
      </c>
      <c r="E674" t="str">
        <f>"0932111"</f>
        <v>0932111</v>
      </c>
      <c r="F674" t="s">
        <v>328</v>
      </c>
      <c r="G674" t="s">
        <v>329</v>
      </c>
      <c r="H674">
        <v>8</v>
      </c>
      <c r="I674" t="s">
        <v>336</v>
      </c>
      <c r="J674" t="s">
        <v>331</v>
      </c>
      <c r="K674">
        <v>519.82736199999999</v>
      </c>
      <c r="L674">
        <v>1000</v>
      </c>
      <c r="M674">
        <v>51.982736000000003</v>
      </c>
      <c r="N674">
        <v>3</v>
      </c>
      <c r="O674">
        <v>0</v>
      </c>
      <c r="P674">
        <v>51.424467</v>
      </c>
      <c r="Q674">
        <v>34.282978</v>
      </c>
      <c r="R674">
        <v>50</v>
      </c>
      <c r="S674">
        <v>50.560465000000001</v>
      </c>
      <c r="T674">
        <v>60.202728999999998</v>
      </c>
      <c r="U674">
        <v>33.706975999999997</v>
      </c>
      <c r="V674">
        <v>50</v>
      </c>
      <c r="W674">
        <v>44.578054000000002</v>
      </c>
      <c r="X674">
        <v>29.718702</v>
      </c>
      <c r="Y674">
        <v>50</v>
      </c>
      <c r="Z674">
        <v>53.745615000000001</v>
      </c>
      <c r="AA674">
        <v>43.704953000000003</v>
      </c>
      <c r="AB674">
        <v>29.136634999999998</v>
      </c>
      <c r="AC674">
        <v>50</v>
      </c>
      <c r="AD674">
        <v>48.082104999999999</v>
      </c>
      <c r="AE674">
        <v>32.054735999999998</v>
      </c>
      <c r="AF674">
        <v>50</v>
      </c>
      <c r="AG674">
        <v>48.145648000000001</v>
      </c>
      <c r="AH674" t="s">
        <v>125</v>
      </c>
      <c r="AI674">
        <v>32.097098000000003</v>
      </c>
      <c r="AJ674">
        <v>50</v>
      </c>
      <c r="AK674">
        <v>9.64</v>
      </c>
      <c r="AL674">
        <v>10.039999999999999</v>
      </c>
      <c r="AM674" t="s">
        <v>125</v>
      </c>
      <c r="AN674">
        <v>0.41342400000000001</v>
      </c>
      <c r="AO674">
        <v>41.342435999999999</v>
      </c>
      <c r="AP674">
        <v>100</v>
      </c>
      <c r="AQ674">
        <v>0.49393100000000001</v>
      </c>
      <c r="AR674">
        <v>49.393076999999998</v>
      </c>
      <c r="AS674">
        <v>100</v>
      </c>
      <c r="AT674">
        <v>0.40786899999999998</v>
      </c>
      <c r="AU674" t="s">
        <v>125</v>
      </c>
      <c r="AV674">
        <v>40.786892000000002</v>
      </c>
      <c r="AW674">
        <v>100</v>
      </c>
      <c r="AX674">
        <v>0.49270700000000001</v>
      </c>
      <c r="AY674" t="s">
        <v>125</v>
      </c>
      <c r="AZ674">
        <v>49.270721999999999</v>
      </c>
      <c r="BA674">
        <v>100</v>
      </c>
      <c r="BB674">
        <v>0.76572399999999996</v>
      </c>
      <c r="BC674">
        <v>38.286200999999998</v>
      </c>
      <c r="BD674">
        <v>50</v>
      </c>
      <c r="BE674">
        <v>0.43576700000000002</v>
      </c>
      <c r="BF674">
        <v>21.788329000000001</v>
      </c>
      <c r="BG674">
        <v>50</v>
      </c>
      <c r="BH674">
        <v>0</v>
      </c>
      <c r="BI674">
        <v>0.99653999999999998</v>
      </c>
      <c r="BJ674">
        <v>0.99619800000000003</v>
      </c>
      <c r="BK674">
        <v>1</v>
      </c>
      <c r="BL674">
        <v>0.98615900000000001</v>
      </c>
      <c r="BM674">
        <v>0.98859300000000006</v>
      </c>
      <c r="BN674">
        <v>0.961538</v>
      </c>
      <c r="BO674">
        <v>0.98039200000000004</v>
      </c>
      <c r="BP674">
        <v>0.97826100000000005</v>
      </c>
      <c r="BQ674" t="s">
        <v>125</v>
      </c>
      <c r="BR674">
        <v>0.29816500000000001</v>
      </c>
      <c r="BS674">
        <v>0.36697200000000002</v>
      </c>
      <c r="BT674">
        <v>50</v>
      </c>
      <c r="BU674">
        <v>0.30129899999999998</v>
      </c>
      <c r="BV674">
        <v>0</v>
      </c>
      <c r="BW674">
        <v>50</v>
      </c>
      <c r="BX674" t="s">
        <v>125</v>
      </c>
      <c r="BY674" t="s">
        <v>125</v>
      </c>
      <c r="BZ674" t="s">
        <v>125</v>
      </c>
      <c r="CA674" t="s">
        <v>125</v>
      </c>
      <c r="CB674" t="s">
        <v>125</v>
      </c>
      <c r="CC674" t="s">
        <v>125</v>
      </c>
      <c r="CD674">
        <v>0.88235300000000005</v>
      </c>
      <c r="CE674">
        <v>46.933667</v>
      </c>
      <c r="CF674">
        <v>50</v>
      </c>
      <c r="CG674" t="s">
        <v>125</v>
      </c>
      <c r="CH674" t="s">
        <v>125</v>
      </c>
      <c r="CI674" t="s">
        <v>125</v>
      </c>
      <c r="CJ674" t="s">
        <v>125</v>
      </c>
      <c r="CK674" t="s">
        <v>125</v>
      </c>
      <c r="CL674" t="s">
        <v>125</v>
      </c>
      <c r="CM674" t="s">
        <v>125</v>
      </c>
      <c r="CN674" t="s">
        <v>125</v>
      </c>
      <c r="CO674" t="s">
        <v>125</v>
      </c>
      <c r="CP674" t="s">
        <v>125</v>
      </c>
      <c r="CQ674">
        <v>0.60992900000000005</v>
      </c>
      <c r="CR674">
        <v>0.98601399999999995</v>
      </c>
      <c r="CS674">
        <v>40.661938999999997</v>
      </c>
      <c r="CT674">
        <v>50</v>
      </c>
      <c r="CU674" t="s">
        <v>125</v>
      </c>
      <c r="CV674" t="s">
        <v>125</v>
      </c>
      <c r="CW674" t="s">
        <v>125</v>
      </c>
      <c r="CX674" t="s">
        <v>125</v>
      </c>
      <c r="CY674" t="s">
        <v>125</v>
      </c>
      <c r="CZ674" t="s">
        <v>125</v>
      </c>
      <c r="DA674">
        <v>15.314097</v>
      </c>
      <c r="DB674">
        <v>17.400950000000002</v>
      </c>
      <c r="DC674">
        <v>16.332519999999999</v>
      </c>
      <c r="DD674" t="s">
        <v>125</v>
      </c>
      <c r="DE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Q674" t="s">
        <v>126</v>
      </c>
    </row>
    <row r="675" spans="1:121" x14ac:dyDescent="0.15">
      <c r="A675">
        <v>2018</v>
      </c>
      <c r="B675" t="s">
        <v>206</v>
      </c>
      <c r="C675" t="str">
        <f t="shared" si="26"/>
        <v>0930011</v>
      </c>
      <c r="D675" t="s">
        <v>831</v>
      </c>
      <c r="E675" t="str">
        <f>"0934811"</f>
        <v>0934811</v>
      </c>
      <c r="F675" t="s">
        <v>328</v>
      </c>
      <c r="G675" t="s">
        <v>329</v>
      </c>
      <c r="H675">
        <v>8</v>
      </c>
      <c r="I675" t="s">
        <v>336</v>
      </c>
      <c r="J675" t="s">
        <v>331</v>
      </c>
      <c r="K675">
        <v>629.50518899999997</v>
      </c>
      <c r="L675">
        <v>1000</v>
      </c>
      <c r="M675">
        <v>62.950519</v>
      </c>
      <c r="N675">
        <v>3</v>
      </c>
      <c r="O675">
        <v>0</v>
      </c>
      <c r="P675">
        <v>56.200797999999999</v>
      </c>
      <c r="Q675">
        <v>37.467199000000001</v>
      </c>
      <c r="R675">
        <v>50</v>
      </c>
      <c r="S675">
        <v>54.598795000000003</v>
      </c>
      <c r="T675">
        <v>68.952742000000001</v>
      </c>
      <c r="U675">
        <v>36.399197000000001</v>
      </c>
      <c r="V675">
        <v>50</v>
      </c>
      <c r="W675">
        <v>44.588051999999998</v>
      </c>
      <c r="X675">
        <v>29.725368</v>
      </c>
      <c r="Y675">
        <v>50</v>
      </c>
      <c r="Z675">
        <v>57.092773999999999</v>
      </c>
      <c r="AA675">
        <v>43.017107000000003</v>
      </c>
      <c r="AB675">
        <v>28.678070999999999</v>
      </c>
      <c r="AC675">
        <v>50</v>
      </c>
      <c r="AD675">
        <v>55.191634000000001</v>
      </c>
      <c r="AE675">
        <v>36.794423000000002</v>
      </c>
      <c r="AF675">
        <v>50</v>
      </c>
      <c r="AG675">
        <v>54.829664999999999</v>
      </c>
      <c r="AH675" t="s">
        <v>125</v>
      </c>
      <c r="AI675">
        <v>36.553109999999997</v>
      </c>
      <c r="AJ675">
        <v>50</v>
      </c>
      <c r="AK675">
        <v>14.35</v>
      </c>
      <c r="AL675">
        <v>14.07</v>
      </c>
      <c r="AM675" t="s">
        <v>125</v>
      </c>
      <c r="AN675">
        <v>0.565917</v>
      </c>
      <c r="AO675">
        <v>56.591724999999997</v>
      </c>
      <c r="AP675">
        <v>100</v>
      </c>
      <c r="AQ675">
        <v>0.54782600000000004</v>
      </c>
      <c r="AR675">
        <v>54.782583000000002</v>
      </c>
      <c r="AS675">
        <v>100</v>
      </c>
      <c r="AT675">
        <v>0.55605499999999997</v>
      </c>
      <c r="AU675" t="s">
        <v>125</v>
      </c>
      <c r="AV675">
        <v>55.605524000000003</v>
      </c>
      <c r="AW675">
        <v>100</v>
      </c>
      <c r="AX675">
        <v>0.53888199999999997</v>
      </c>
      <c r="AY675" t="s">
        <v>125</v>
      </c>
      <c r="AZ675">
        <v>53.888156000000002</v>
      </c>
      <c r="BA675">
        <v>100</v>
      </c>
      <c r="BB675">
        <v>0.62349299999999996</v>
      </c>
      <c r="BC675">
        <v>31.174638000000002</v>
      </c>
      <c r="BD675">
        <v>50</v>
      </c>
      <c r="BE675">
        <v>0.63375599999999999</v>
      </c>
      <c r="BF675">
        <v>31.687816000000002</v>
      </c>
      <c r="BG675">
        <v>50</v>
      </c>
      <c r="BH675">
        <v>0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 t="s">
        <v>125</v>
      </c>
      <c r="BR675">
        <v>0.16528899999999999</v>
      </c>
      <c r="BS675">
        <v>26.942149000000001</v>
      </c>
      <c r="BT675">
        <v>50</v>
      </c>
      <c r="BU675">
        <v>0.180645</v>
      </c>
      <c r="BV675">
        <v>23.870968000000001</v>
      </c>
      <c r="BW675">
        <v>50</v>
      </c>
      <c r="BX675" t="s">
        <v>125</v>
      </c>
      <c r="BY675" t="s">
        <v>125</v>
      </c>
      <c r="BZ675" t="s">
        <v>125</v>
      </c>
      <c r="CA675" t="s">
        <v>125</v>
      </c>
      <c r="CB675" t="s">
        <v>125</v>
      </c>
      <c r="CC675" t="s">
        <v>125</v>
      </c>
      <c r="CD675">
        <v>0.97222200000000003</v>
      </c>
      <c r="CE675">
        <v>50</v>
      </c>
      <c r="CF675">
        <v>50</v>
      </c>
      <c r="CG675" t="s">
        <v>125</v>
      </c>
      <c r="CH675" t="s">
        <v>125</v>
      </c>
      <c r="CI675" t="s">
        <v>125</v>
      </c>
      <c r="CJ675" t="s">
        <v>125</v>
      </c>
      <c r="CK675" t="s">
        <v>125</v>
      </c>
      <c r="CL675" t="s">
        <v>125</v>
      </c>
      <c r="CM675" t="s">
        <v>125</v>
      </c>
      <c r="CN675" t="s">
        <v>125</v>
      </c>
      <c r="CO675" t="s">
        <v>125</v>
      </c>
      <c r="CP675" t="s">
        <v>125</v>
      </c>
      <c r="CQ675">
        <v>0.59016400000000002</v>
      </c>
      <c r="CR675">
        <v>1.016667</v>
      </c>
      <c r="CS675">
        <v>39.344262000000001</v>
      </c>
      <c r="CT675">
        <v>50</v>
      </c>
      <c r="CU675" t="s">
        <v>125</v>
      </c>
      <c r="CV675" t="s">
        <v>125</v>
      </c>
      <c r="CW675" t="s">
        <v>125</v>
      </c>
      <c r="CX675" t="s">
        <v>125</v>
      </c>
      <c r="CY675" t="s">
        <v>125</v>
      </c>
      <c r="CZ675" t="s">
        <v>125</v>
      </c>
      <c r="DA675">
        <v>15.314097</v>
      </c>
      <c r="DB675">
        <v>17.400950000000002</v>
      </c>
      <c r="DC675">
        <v>16.332519999999999</v>
      </c>
      <c r="DD675" t="s">
        <v>125</v>
      </c>
      <c r="DE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Q675" t="s">
        <v>126</v>
      </c>
    </row>
    <row r="676" spans="1:121" x14ac:dyDescent="0.15">
      <c r="A676">
        <v>2018</v>
      </c>
      <c r="B676" t="s">
        <v>206</v>
      </c>
      <c r="C676" t="str">
        <f t="shared" si="26"/>
        <v>0930011</v>
      </c>
      <c r="D676" t="s">
        <v>832</v>
      </c>
      <c r="E676" t="str">
        <f>"0930611"</f>
        <v>0930611</v>
      </c>
      <c r="F676" t="s">
        <v>328</v>
      </c>
      <c r="G676" t="s">
        <v>339</v>
      </c>
      <c r="H676">
        <v>8</v>
      </c>
      <c r="I676" t="s">
        <v>336</v>
      </c>
      <c r="J676" t="s">
        <v>331</v>
      </c>
      <c r="K676">
        <v>662.41814599999998</v>
      </c>
      <c r="L676">
        <v>1000</v>
      </c>
      <c r="M676">
        <v>66.241815000000003</v>
      </c>
      <c r="N676">
        <v>3</v>
      </c>
      <c r="O676">
        <v>0</v>
      </c>
      <c r="P676">
        <v>62.493505999999996</v>
      </c>
      <c r="Q676">
        <v>41.662337999999998</v>
      </c>
      <c r="R676">
        <v>50</v>
      </c>
      <c r="S676">
        <v>62.351115999999998</v>
      </c>
      <c r="T676" t="s">
        <v>125</v>
      </c>
      <c r="U676">
        <v>41.567411</v>
      </c>
      <c r="V676">
        <v>50</v>
      </c>
      <c r="W676">
        <v>51.595399</v>
      </c>
      <c r="X676">
        <v>34.396932999999997</v>
      </c>
      <c r="Y676">
        <v>50</v>
      </c>
      <c r="Z676" t="s">
        <v>125</v>
      </c>
      <c r="AA676">
        <v>51.494325000000003</v>
      </c>
      <c r="AB676">
        <v>34.329549999999998</v>
      </c>
      <c r="AC676">
        <v>50</v>
      </c>
      <c r="AD676">
        <v>56.942326000000001</v>
      </c>
      <c r="AE676">
        <v>37.961551</v>
      </c>
      <c r="AF676">
        <v>50</v>
      </c>
      <c r="AG676">
        <v>56.950437000000001</v>
      </c>
      <c r="AH676" t="s">
        <v>125</v>
      </c>
      <c r="AI676">
        <v>37.966957999999998</v>
      </c>
      <c r="AJ676">
        <v>50</v>
      </c>
      <c r="AK676" t="s">
        <v>125</v>
      </c>
      <c r="AL676" t="s">
        <v>125</v>
      </c>
      <c r="AM676" t="s">
        <v>125</v>
      </c>
      <c r="AN676">
        <v>0.63070099999999996</v>
      </c>
      <c r="AO676">
        <v>63.070056000000001</v>
      </c>
      <c r="AP676">
        <v>100</v>
      </c>
      <c r="AQ676">
        <v>0.56969999999999998</v>
      </c>
      <c r="AR676">
        <v>56.970035000000003</v>
      </c>
      <c r="AS676">
        <v>100</v>
      </c>
      <c r="AT676">
        <v>0.63050600000000001</v>
      </c>
      <c r="AU676" t="s">
        <v>125</v>
      </c>
      <c r="AV676">
        <v>63.050556999999998</v>
      </c>
      <c r="AW676">
        <v>100</v>
      </c>
      <c r="AX676">
        <v>0.572716</v>
      </c>
      <c r="AY676" t="s">
        <v>125</v>
      </c>
      <c r="AZ676">
        <v>57.271596000000002</v>
      </c>
      <c r="BA676">
        <v>100</v>
      </c>
      <c r="BB676">
        <v>0.69516599999999995</v>
      </c>
      <c r="BC676">
        <v>34.758277</v>
      </c>
      <c r="BD676">
        <v>50</v>
      </c>
      <c r="BE676">
        <v>0.51159200000000005</v>
      </c>
      <c r="BF676">
        <v>25.579611</v>
      </c>
      <c r="BG676">
        <v>50</v>
      </c>
      <c r="BH676">
        <v>0</v>
      </c>
      <c r="BI676">
        <v>0.99363100000000004</v>
      </c>
      <c r="BJ676">
        <v>0.99346400000000001</v>
      </c>
      <c r="BK676" t="s">
        <v>125</v>
      </c>
      <c r="BL676">
        <v>0.99360999999999999</v>
      </c>
      <c r="BM676">
        <v>0.99344299999999996</v>
      </c>
      <c r="BN676" t="s">
        <v>125</v>
      </c>
      <c r="BO676">
        <v>0.99029100000000003</v>
      </c>
      <c r="BP676">
        <v>0.98989899999999997</v>
      </c>
      <c r="BQ676" t="s">
        <v>125</v>
      </c>
      <c r="BR676">
        <v>0.15778300000000001</v>
      </c>
      <c r="BS676">
        <v>28.443497000000001</v>
      </c>
      <c r="BT676">
        <v>50</v>
      </c>
      <c r="BU676">
        <v>0.13625899999999999</v>
      </c>
      <c r="BV676">
        <v>32.748268000000003</v>
      </c>
      <c r="BW676">
        <v>50</v>
      </c>
      <c r="BX676" t="s">
        <v>125</v>
      </c>
      <c r="BY676" t="s">
        <v>125</v>
      </c>
      <c r="BZ676" t="s">
        <v>125</v>
      </c>
      <c r="CA676" t="s">
        <v>125</v>
      </c>
      <c r="CB676" t="s">
        <v>125</v>
      </c>
      <c r="CC676" t="s">
        <v>125</v>
      </c>
      <c r="CD676">
        <v>1</v>
      </c>
      <c r="CE676">
        <v>50</v>
      </c>
      <c r="CF676">
        <v>50</v>
      </c>
      <c r="CG676" t="s">
        <v>125</v>
      </c>
      <c r="CH676" t="s">
        <v>125</v>
      </c>
      <c r="CI676" t="s">
        <v>125</v>
      </c>
      <c r="CJ676" t="s">
        <v>125</v>
      </c>
      <c r="CK676" t="s">
        <v>125</v>
      </c>
      <c r="CL676" t="s">
        <v>125</v>
      </c>
      <c r="CM676" t="s">
        <v>125</v>
      </c>
      <c r="CN676" t="s">
        <v>125</v>
      </c>
      <c r="CO676" t="s">
        <v>125</v>
      </c>
      <c r="CP676" t="s">
        <v>125</v>
      </c>
      <c r="CQ676">
        <v>0.33962300000000001</v>
      </c>
      <c r="CR676">
        <v>1.006329</v>
      </c>
      <c r="CS676">
        <v>22.641508999999999</v>
      </c>
      <c r="CT676">
        <v>50</v>
      </c>
      <c r="CU676" t="s">
        <v>125</v>
      </c>
      <c r="CV676" t="s">
        <v>125</v>
      </c>
      <c r="CW676" t="s">
        <v>125</v>
      </c>
      <c r="CX676" t="s">
        <v>125</v>
      </c>
      <c r="CY676" t="s">
        <v>125</v>
      </c>
      <c r="CZ676" t="s">
        <v>125</v>
      </c>
      <c r="DA676">
        <v>15.314097</v>
      </c>
      <c r="DB676">
        <v>17.400950000000002</v>
      </c>
      <c r="DC676">
        <v>16.332519999999999</v>
      </c>
      <c r="DD676" t="s">
        <v>125</v>
      </c>
      <c r="DE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Q676" t="s">
        <v>126</v>
      </c>
    </row>
    <row r="677" spans="1:121" x14ac:dyDescent="0.15">
      <c r="A677">
        <v>2018</v>
      </c>
      <c r="B677" t="s">
        <v>206</v>
      </c>
      <c r="C677" t="str">
        <f t="shared" si="26"/>
        <v>0930011</v>
      </c>
      <c r="D677" t="s">
        <v>833</v>
      </c>
      <c r="E677" t="str">
        <f>"0934111"</f>
        <v>0934111</v>
      </c>
      <c r="F677" t="s">
        <v>328</v>
      </c>
      <c r="G677" t="s">
        <v>329</v>
      </c>
      <c r="H677">
        <v>8</v>
      </c>
      <c r="I677" t="s">
        <v>336</v>
      </c>
      <c r="J677" t="s">
        <v>331</v>
      </c>
      <c r="K677">
        <v>649.32967499999995</v>
      </c>
      <c r="L677">
        <v>1000</v>
      </c>
      <c r="M677">
        <v>64.932968000000002</v>
      </c>
      <c r="N677">
        <v>3</v>
      </c>
      <c r="O677">
        <v>0</v>
      </c>
      <c r="P677">
        <v>57.928953999999997</v>
      </c>
      <c r="Q677">
        <v>38.619303000000002</v>
      </c>
      <c r="R677">
        <v>50</v>
      </c>
      <c r="S677">
        <v>57.380606</v>
      </c>
      <c r="T677" t="s">
        <v>125</v>
      </c>
      <c r="U677">
        <v>38.253737999999998</v>
      </c>
      <c r="V677">
        <v>50</v>
      </c>
      <c r="W677">
        <v>49.987769999999998</v>
      </c>
      <c r="X677">
        <v>33.325180000000003</v>
      </c>
      <c r="Y677">
        <v>50</v>
      </c>
      <c r="Z677" t="s">
        <v>125</v>
      </c>
      <c r="AA677">
        <v>49.595424000000001</v>
      </c>
      <c r="AB677">
        <v>33.063616000000003</v>
      </c>
      <c r="AC677">
        <v>50</v>
      </c>
      <c r="AD677">
        <v>52.349232000000001</v>
      </c>
      <c r="AE677">
        <v>34.899487999999998</v>
      </c>
      <c r="AF677">
        <v>50</v>
      </c>
      <c r="AG677">
        <v>52.450107000000003</v>
      </c>
      <c r="AH677" t="s">
        <v>125</v>
      </c>
      <c r="AI677">
        <v>34.966737999999999</v>
      </c>
      <c r="AJ677">
        <v>50</v>
      </c>
      <c r="AK677" t="s">
        <v>125</v>
      </c>
      <c r="AL677" t="s">
        <v>125</v>
      </c>
      <c r="AM677" t="s">
        <v>125</v>
      </c>
      <c r="AN677">
        <v>0.55815700000000001</v>
      </c>
      <c r="AO677">
        <v>55.815652999999998</v>
      </c>
      <c r="AP677">
        <v>100</v>
      </c>
      <c r="AQ677">
        <v>0.55652699999999999</v>
      </c>
      <c r="AR677">
        <v>55.652706000000002</v>
      </c>
      <c r="AS677">
        <v>100</v>
      </c>
      <c r="AT677">
        <v>0.55869100000000005</v>
      </c>
      <c r="AU677" t="s">
        <v>125</v>
      </c>
      <c r="AV677">
        <v>55.869134000000003</v>
      </c>
      <c r="AW677">
        <v>100</v>
      </c>
      <c r="AX677">
        <v>0.56218800000000002</v>
      </c>
      <c r="AY677" t="s">
        <v>125</v>
      </c>
      <c r="AZ677">
        <v>56.218805000000003</v>
      </c>
      <c r="BA677">
        <v>100</v>
      </c>
      <c r="BB677">
        <v>0.58419200000000004</v>
      </c>
      <c r="BC677">
        <v>29.209620000000001</v>
      </c>
      <c r="BD677">
        <v>50</v>
      </c>
      <c r="BE677">
        <v>0.44204100000000002</v>
      </c>
      <c r="BF677">
        <v>22.102029999999999</v>
      </c>
      <c r="BG677">
        <v>50</v>
      </c>
      <c r="BH677">
        <v>0</v>
      </c>
      <c r="BI677">
        <v>0.98422699999999996</v>
      </c>
      <c r="BJ677">
        <v>0.98327799999999999</v>
      </c>
      <c r="BK677" t="s">
        <v>125</v>
      </c>
      <c r="BL677">
        <v>0.98422699999999996</v>
      </c>
      <c r="BM677">
        <v>0.98327799999999999</v>
      </c>
      <c r="BN677" t="s">
        <v>125</v>
      </c>
      <c r="BO677">
        <v>0.99074099999999998</v>
      </c>
      <c r="BP677">
        <v>0.99029100000000003</v>
      </c>
      <c r="BQ677" t="s">
        <v>125</v>
      </c>
      <c r="BR677">
        <v>0.12987000000000001</v>
      </c>
      <c r="BS677">
        <v>34.025973999999998</v>
      </c>
      <c r="BT677">
        <v>50</v>
      </c>
      <c r="BU677">
        <v>0.125</v>
      </c>
      <c r="BV677">
        <v>35</v>
      </c>
      <c r="BW677">
        <v>50</v>
      </c>
      <c r="BX677" t="s">
        <v>125</v>
      </c>
      <c r="BY677" t="s">
        <v>125</v>
      </c>
      <c r="BZ677" t="s">
        <v>125</v>
      </c>
      <c r="CA677" t="s">
        <v>125</v>
      </c>
      <c r="CB677" t="s">
        <v>125</v>
      </c>
      <c r="CC677" t="s">
        <v>125</v>
      </c>
      <c r="CD677">
        <v>0.97959200000000002</v>
      </c>
      <c r="CE677">
        <v>50</v>
      </c>
      <c r="CF677">
        <v>50</v>
      </c>
      <c r="CG677" t="s">
        <v>125</v>
      </c>
      <c r="CH677" t="s">
        <v>125</v>
      </c>
      <c r="CI677" t="s">
        <v>125</v>
      </c>
      <c r="CJ677" t="s">
        <v>125</v>
      </c>
      <c r="CK677" t="s">
        <v>125</v>
      </c>
      <c r="CL677" t="s">
        <v>125</v>
      </c>
      <c r="CM677" t="s">
        <v>125</v>
      </c>
      <c r="CN677" t="s">
        <v>125</v>
      </c>
      <c r="CO677" t="s">
        <v>125</v>
      </c>
      <c r="CP677" t="s">
        <v>125</v>
      </c>
      <c r="CQ677">
        <v>0.63461500000000004</v>
      </c>
      <c r="CR677">
        <v>0.99363100000000004</v>
      </c>
      <c r="CS677">
        <v>42.307692000000003</v>
      </c>
      <c r="CT677">
        <v>50</v>
      </c>
      <c r="CU677" t="s">
        <v>125</v>
      </c>
      <c r="CV677" t="s">
        <v>125</v>
      </c>
      <c r="CW677" t="s">
        <v>125</v>
      </c>
      <c r="CX677" t="s">
        <v>125</v>
      </c>
      <c r="CY677" t="s">
        <v>125</v>
      </c>
      <c r="CZ677" t="s">
        <v>125</v>
      </c>
      <c r="DA677">
        <v>15.314097</v>
      </c>
      <c r="DB677">
        <v>17.400950000000002</v>
      </c>
      <c r="DC677">
        <v>16.332519999999999</v>
      </c>
      <c r="DD677" t="s">
        <v>125</v>
      </c>
      <c r="DE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Q677" t="s">
        <v>126</v>
      </c>
    </row>
    <row r="678" spans="1:121" x14ac:dyDescent="0.15">
      <c r="A678">
        <v>2018</v>
      </c>
      <c r="B678" t="s">
        <v>206</v>
      </c>
      <c r="C678" t="str">
        <f t="shared" si="26"/>
        <v>0930011</v>
      </c>
      <c r="D678" t="s">
        <v>834</v>
      </c>
      <c r="E678" t="str">
        <f>"0933111"</f>
        <v>0933111</v>
      </c>
      <c r="F678" t="s">
        <v>328</v>
      </c>
      <c r="G678" t="s">
        <v>329</v>
      </c>
      <c r="H678">
        <v>8</v>
      </c>
      <c r="I678" t="s">
        <v>336</v>
      </c>
      <c r="J678" t="s">
        <v>331</v>
      </c>
      <c r="K678">
        <v>634.06901100000005</v>
      </c>
      <c r="L678">
        <v>1000</v>
      </c>
      <c r="M678">
        <v>63.406900999999998</v>
      </c>
      <c r="N678">
        <v>3</v>
      </c>
      <c r="O678">
        <v>0</v>
      </c>
      <c r="P678">
        <v>63.353645999999998</v>
      </c>
      <c r="Q678">
        <v>42.235764000000003</v>
      </c>
      <c r="R678">
        <v>50</v>
      </c>
      <c r="S678">
        <v>62.301684999999999</v>
      </c>
      <c r="T678">
        <v>71.096078000000006</v>
      </c>
      <c r="U678">
        <v>41.534457000000003</v>
      </c>
      <c r="V678">
        <v>50</v>
      </c>
      <c r="W678">
        <v>54.57882</v>
      </c>
      <c r="X678">
        <v>36.38588</v>
      </c>
      <c r="Y678">
        <v>50</v>
      </c>
      <c r="Z678">
        <v>61.261187999999997</v>
      </c>
      <c r="AA678">
        <v>53.670889000000003</v>
      </c>
      <c r="AB678">
        <v>35.780593000000003</v>
      </c>
      <c r="AC678">
        <v>50</v>
      </c>
      <c r="AD678">
        <v>57.75609</v>
      </c>
      <c r="AE678">
        <v>38.504060000000003</v>
      </c>
      <c r="AF678">
        <v>50</v>
      </c>
      <c r="AG678">
        <v>55.698596999999999</v>
      </c>
      <c r="AH678">
        <v>69.072303000000005</v>
      </c>
      <c r="AI678">
        <v>37.132398000000002</v>
      </c>
      <c r="AJ678">
        <v>50</v>
      </c>
      <c r="AK678">
        <v>8.7899999999999991</v>
      </c>
      <c r="AL678">
        <v>7.59</v>
      </c>
      <c r="AM678">
        <v>13.37</v>
      </c>
      <c r="AN678">
        <v>0.54349400000000003</v>
      </c>
      <c r="AO678">
        <v>54.349445000000003</v>
      </c>
      <c r="AP678">
        <v>100</v>
      </c>
      <c r="AQ678">
        <v>0.51045700000000005</v>
      </c>
      <c r="AR678">
        <v>51.045729999999999</v>
      </c>
      <c r="AS678">
        <v>100</v>
      </c>
      <c r="AT678">
        <v>0.53093199999999996</v>
      </c>
      <c r="AU678">
        <v>0.64068999999999998</v>
      </c>
      <c r="AV678">
        <v>53.093179999999997</v>
      </c>
      <c r="AW678">
        <v>100</v>
      </c>
      <c r="AX678">
        <v>0.501247</v>
      </c>
      <c r="AY678">
        <v>0.58171499999999998</v>
      </c>
      <c r="AZ678">
        <v>50.12471</v>
      </c>
      <c r="BA678">
        <v>100</v>
      </c>
      <c r="BB678">
        <v>0.65230900000000003</v>
      </c>
      <c r="BC678">
        <v>32.615454</v>
      </c>
      <c r="BD678">
        <v>50</v>
      </c>
      <c r="BE678">
        <v>0.53236899999999998</v>
      </c>
      <c r="BF678">
        <v>26.618455000000001</v>
      </c>
      <c r="BG678">
        <v>50</v>
      </c>
      <c r="BH678">
        <v>0</v>
      </c>
      <c r="BI678">
        <v>0.997753</v>
      </c>
      <c r="BJ678">
        <v>1</v>
      </c>
      <c r="BK678">
        <v>0.98275900000000005</v>
      </c>
      <c r="BL678">
        <v>0.997753</v>
      </c>
      <c r="BM678">
        <v>1</v>
      </c>
      <c r="BN678">
        <v>0.98275900000000005</v>
      </c>
      <c r="BO678">
        <v>1</v>
      </c>
      <c r="BP678">
        <v>1</v>
      </c>
      <c r="BQ678">
        <v>1</v>
      </c>
      <c r="BR678">
        <v>0.173844</v>
      </c>
      <c r="BS678">
        <v>25.231259999999999</v>
      </c>
      <c r="BT678">
        <v>50</v>
      </c>
      <c r="BU678">
        <v>0.186667</v>
      </c>
      <c r="BV678">
        <v>22.666667</v>
      </c>
      <c r="BW678">
        <v>50</v>
      </c>
      <c r="BX678" t="s">
        <v>125</v>
      </c>
      <c r="BY678" t="s">
        <v>125</v>
      </c>
      <c r="BZ678" t="s">
        <v>125</v>
      </c>
      <c r="CA678" t="s">
        <v>125</v>
      </c>
      <c r="CB678" t="s">
        <v>125</v>
      </c>
      <c r="CC678" t="s">
        <v>125</v>
      </c>
      <c r="CD678">
        <v>0.92307700000000004</v>
      </c>
      <c r="CE678">
        <v>49.099836000000003</v>
      </c>
      <c r="CF678">
        <v>50</v>
      </c>
      <c r="CG678" t="s">
        <v>125</v>
      </c>
      <c r="CH678" t="s">
        <v>125</v>
      </c>
      <c r="CI678" t="s">
        <v>125</v>
      </c>
      <c r="CJ678" t="s">
        <v>125</v>
      </c>
      <c r="CK678" t="s">
        <v>125</v>
      </c>
      <c r="CL678" t="s">
        <v>125</v>
      </c>
      <c r="CM678" t="s">
        <v>125</v>
      </c>
      <c r="CN678" t="s">
        <v>125</v>
      </c>
      <c r="CO678" t="s">
        <v>125</v>
      </c>
      <c r="CP678" t="s">
        <v>125</v>
      </c>
      <c r="CQ678">
        <v>0.56476700000000002</v>
      </c>
      <c r="CR678">
        <v>0.90610299999999999</v>
      </c>
      <c r="CS678">
        <v>37.651122999999998</v>
      </c>
      <c r="CT678">
        <v>50</v>
      </c>
      <c r="CU678" t="s">
        <v>125</v>
      </c>
      <c r="CV678" t="s">
        <v>125</v>
      </c>
      <c r="CW678" t="s">
        <v>125</v>
      </c>
      <c r="CX678" t="s">
        <v>125</v>
      </c>
      <c r="CY678" t="s">
        <v>125</v>
      </c>
      <c r="CZ678" t="s">
        <v>125</v>
      </c>
      <c r="DA678">
        <v>15.314097</v>
      </c>
      <c r="DB678">
        <v>17.400950000000002</v>
      </c>
      <c r="DC678">
        <v>16.332519999999999</v>
      </c>
      <c r="DD678" t="s">
        <v>125</v>
      </c>
      <c r="DE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Q678" t="s">
        <v>126</v>
      </c>
    </row>
    <row r="679" spans="1:121" x14ac:dyDescent="0.15">
      <c r="A679">
        <v>2018</v>
      </c>
      <c r="B679" t="s">
        <v>206</v>
      </c>
      <c r="C679" t="str">
        <f t="shared" si="26"/>
        <v>0930011</v>
      </c>
      <c r="D679" t="s">
        <v>835</v>
      </c>
      <c r="E679" t="str">
        <f>"0936411"</f>
        <v>0936411</v>
      </c>
      <c r="F679" t="s">
        <v>328</v>
      </c>
      <c r="G679">
        <v>9</v>
      </c>
      <c r="H679">
        <v>12</v>
      </c>
      <c r="J679" t="s">
        <v>331</v>
      </c>
      <c r="K679">
        <v>1026.4253779999999</v>
      </c>
      <c r="L679">
        <v>1550</v>
      </c>
      <c r="M679">
        <v>66.220991999999995</v>
      </c>
      <c r="N679">
        <v>3</v>
      </c>
      <c r="O679">
        <v>0</v>
      </c>
      <c r="P679">
        <v>46.660131</v>
      </c>
      <c r="Q679">
        <v>93.320261000000002</v>
      </c>
      <c r="R679">
        <v>150</v>
      </c>
      <c r="S679">
        <v>42.516666999999998</v>
      </c>
      <c r="T679">
        <v>57.259689999999999</v>
      </c>
      <c r="U679">
        <v>85.033332999999999</v>
      </c>
      <c r="V679">
        <v>150</v>
      </c>
      <c r="W679">
        <v>42.070805999999997</v>
      </c>
      <c r="X679">
        <v>84.141611999999995</v>
      </c>
      <c r="Y679">
        <v>150</v>
      </c>
      <c r="Z679">
        <v>49.627907</v>
      </c>
      <c r="AA679">
        <v>39.116667</v>
      </c>
      <c r="AB679">
        <v>78.233333000000002</v>
      </c>
      <c r="AC679">
        <v>150</v>
      </c>
      <c r="AD679">
        <v>45.912087999999997</v>
      </c>
      <c r="AE679">
        <v>61.216116999999997</v>
      </c>
      <c r="AF679">
        <v>100</v>
      </c>
      <c r="AG679">
        <v>43.388049000000002</v>
      </c>
      <c r="AH679">
        <v>52.642856999999999</v>
      </c>
      <c r="AI679">
        <v>57.850732999999998</v>
      </c>
      <c r="AJ679">
        <v>100</v>
      </c>
      <c r="AK679">
        <v>14.74</v>
      </c>
      <c r="AL679">
        <v>10.51</v>
      </c>
      <c r="AM679">
        <v>9.25</v>
      </c>
      <c r="AN679" t="s">
        <v>125</v>
      </c>
      <c r="AO679" t="s">
        <v>125</v>
      </c>
      <c r="AP679" t="s">
        <v>125</v>
      </c>
      <c r="AQ679" t="s">
        <v>125</v>
      </c>
      <c r="AR679" t="s">
        <v>125</v>
      </c>
      <c r="AS679" t="s">
        <v>125</v>
      </c>
      <c r="AT679" t="s">
        <v>125</v>
      </c>
      <c r="AU679" t="s">
        <v>125</v>
      </c>
      <c r="AV679" t="s">
        <v>125</v>
      </c>
      <c r="AW679" t="s">
        <v>125</v>
      </c>
      <c r="AX679" t="s">
        <v>125</v>
      </c>
      <c r="AY679" t="s">
        <v>125</v>
      </c>
      <c r="AZ679" t="s">
        <v>125</v>
      </c>
      <c r="BA679" t="s">
        <v>125</v>
      </c>
      <c r="BB679">
        <v>0.73838000000000004</v>
      </c>
      <c r="BC679">
        <v>36.919002999999996</v>
      </c>
      <c r="BD679">
        <v>50</v>
      </c>
      <c r="BE679">
        <v>0.60746299999999998</v>
      </c>
      <c r="BF679">
        <v>30.373138000000001</v>
      </c>
      <c r="BG679">
        <v>50</v>
      </c>
      <c r="BH679">
        <v>0</v>
      </c>
      <c r="BI679">
        <v>0.981132</v>
      </c>
      <c r="BJ679">
        <v>0.982456</v>
      </c>
      <c r="BK679">
        <v>0.97777800000000004</v>
      </c>
      <c r="BL679">
        <v>0.981132</v>
      </c>
      <c r="BM679">
        <v>0.982456</v>
      </c>
      <c r="BN679">
        <v>0.97777800000000004</v>
      </c>
      <c r="BO679">
        <v>0.98101300000000002</v>
      </c>
      <c r="BP679">
        <v>0.982456</v>
      </c>
      <c r="BQ679">
        <v>0.97727299999999995</v>
      </c>
      <c r="BR679">
        <v>0.18968399999999999</v>
      </c>
      <c r="BS679">
        <v>22.063227999999999</v>
      </c>
      <c r="BT679">
        <v>50</v>
      </c>
      <c r="BU679">
        <v>0.21345700000000001</v>
      </c>
      <c r="BV679">
        <v>17.308585000000001</v>
      </c>
      <c r="BW679">
        <v>50</v>
      </c>
      <c r="BX679">
        <v>0.60750899999999997</v>
      </c>
      <c r="BY679">
        <v>40.500568999999999</v>
      </c>
      <c r="BZ679">
        <v>50</v>
      </c>
      <c r="CA679">
        <v>0.19795199999999999</v>
      </c>
      <c r="CB679">
        <v>13.196815000000001</v>
      </c>
      <c r="CC679">
        <v>50</v>
      </c>
      <c r="CD679">
        <v>0.94805200000000001</v>
      </c>
      <c r="CE679">
        <v>50</v>
      </c>
      <c r="CF679">
        <v>50</v>
      </c>
      <c r="CG679">
        <v>0.96527799999999997</v>
      </c>
      <c r="CH679">
        <v>100</v>
      </c>
      <c r="CI679">
        <v>100</v>
      </c>
      <c r="CJ679">
        <v>0</v>
      </c>
      <c r="CK679">
        <v>0.95145599999999997</v>
      </c>
      <c r="CL679">
        <v>100</v>
      </c>
      <c r="CM679">
        <v>100</v>
      </c>
      <c r="CN679">
        <v>0.73758900000000005</v>
      </c>
      <c r="CO679">
        <v>98.345153999999994</v>
      </c>
      <c r="CP679">
        <v>100</v>
      </c>
      <c r="CQ679">
        <v>0.237705</v>
      </c>
      <c r="CR679">
        <v>0.79220800000000002</v>
      </c>
      <c r="CS679">
        <v>7.9234970000000002</v>
      </c>
      <c r="CT679">
        <v>50</v>
      </c>
      <c r="CU679">
        <v>0.99168100000000003</v>
      </c>
      <c r="CV679">
        <v>50</v>
      </c>
      <c r="CW679">
        <v>50</v>
      </c>
      <c r="CX679">
        <v>0.95145599999999997</v>
      </c>
      <c r="CY679">
        <v>0.94</v>
      </c>
      <c r="CZ679">
        <v>-1.1455999999999999E-2</v>
      </c>
      <c r="DA679">
        <v>15.314097</v>
      </c>
      <c r="DB679">
        <v>17.400950000000002</v>
      </c>
      <c r="DC679">
        <v>16.332519999999999</v>
      </c>
      <c r="DD679">
        <v>7.9891730000000001</v>
      </c>
      <c r="DE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Q679" t="s">
        <v>126</v>
      </c>
    </row>
    <row r="680" spans="1:121" x14ac:dyDescent="0.15">
      <c r="A680">
        <v>2018</v>
      </c>
      <c r="B680" t="s">
        <v>206</v>
      </c>
      <c r="C680" t="str">
        <f t="shared" si="26"/>
        <v>0930011</v>
      </c>
      <c r="D680" t="s">
        <v>836</v>
      </c>
      <c r="E680" t="str">
        <f>"0930911"</f>
        <v>0930911</v>
      </c>
      <c r="F680" t="s">
        <v>328</v>
      </c>
      <c r="G680" t="s">
        <v>329</v>
      </c>
      <c r="H680">
        <v>8</v>
      </c>
      <c r="J680" t="s">
        <v>331</v>
      </c>
      <c r="K680">
        <v>626.99749099999997</v>
      </c>
      <c r="L680">
        <v>900</v>
      </c>
      <c r="M680">
        <v>69.666387999999998</v>
      </c>
      <c r="N680">
        <v>3</v>
      </c>
      <c r="O680">
        <v>1</v>
      </c>
      <c r="P680">
        <v>67.279159000000007</v>
      </c>
      <c r="Q680">
        <v>44.852772999999999</v>
      </c>
      <c r="R680">
        <v>50</v>
      </c>
      <c r="S680">
        <v>62.164498999999999</v>
      </c>
      <c r="T680">
        <v>75</v>
      </c>
      <c r="U680">
        <v>41.442999</v>
      </c>
      <c r="V680">
        <v>50</v>
      </c>
      <c r="W680">
        <v>55.277164999999997</v>
      </c>
      <c r="X680">
        <v>36.851443000000003</v>
      </c>
      <c r="Y680">
        <v>50</v>
      </c>
      <c r="Z680">
        <v>65.068586999999994</v>
      </c>
      <c r="AA680">
        <v>50.600664000000002</v>
      </c>
      <c r="AB680">
        <v>33.733775999999999</v>
      </c>
      <c r="AC680">
        <v>50</v>
      </c>
      <c r="AD680">
        <v>58.867654000000002</v>
      </c>
      <c r="AE680">
        <v>39.245102000000003</v>
      </c>
      <c r="AF680">
        <v>50</v>
      </c>
      <c r="AG680">
        <v>54.296010000000003</v>
      </c>
      <c r="AH680">
        <v>71.351758000000004</v>
      </c>
      <c r="AI680">
        <v>36.197339999999997</v>
      </c>
      <c r="AJ680">
        <v>50</v>
      </c>
      <c r="AK680">
        <v>12.83</v>
      </c>
      <c r="AL680">
        <v>14.46</v>
      </c>
      <c r="AM680">
        <v>17.05</v>
      </c>
      <c r="AN680">
        <v>0.624996</v>
      </c>
      <c r="AO680">
        <v>62.499564999999997</v>
      </c>
      <c r="AP680">
        <v>100</v>
      </c>
      <c r="AQ680">
        <v>0.57643900000000003</v>
      </c>
      <c r="AR680">
        <v>57.64385</v>
      </c>
      <c r="AS680">
        <v>100</v>
      </c>
      <c r="AT680">
        <v>0.57601800000000003</v>
      </c>
      <c r="AU680">
        <v>0.741317</v>
      </c>
      <c r="AV680">
        <v>57.60181</v>
      </c>
      <c r="AW680">
        <v>100</v>
      </c>
      <c r="AX680">
        <v>0.58227499999999999</v>
      </c>
      <c r="AY680">
        <v>0.56257800000000002</v>
      </c>
      <c r="AZ680">
        <v>58.227457000000001</v>
      </c>
      <c r="BA680">
        <v>100</v>
      </c>
      <c r="BB680" t="s">
        <v>125</v>
      </c>
      <c r="BC680" t="s">
        <v>125</v>
      </c>
      <c r="BD680" t="s">
        <v>125</v>
      </c>
      <c r="BE680" t="s">
        <v>125</v>
      </c>
      <c r="BF680" t="s">
        <v>125</v>
      </c>
      <c r="BG680" t="s">
        <v>125</v>
      </c>
      <c r="BH680">
        <v>0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8.2405000000000006E-2</v>
      </c>
      <c r="BS680">
        <v>43.518931000000002</v>
      </c>
      <c r="BT680">
        <v>50</v>
      </c>
      <c r="BU680">
        <v>9.0909000000000004E-2</v>
      </c>
      <c r="BV680">
        <v>41.818182</v>
      </c>
      <c r="BW680">
        <v>50</v>
      </c>
      <c r="BX680" t="s">
        <v>125</v>
      </c>
      <c r="BY680" t="s">
        <v>125</v>
      </c>
      <c r="BZ680" t="s">
        <v>125</v>
      </c>
      <c r="CA680" t="s">
        <v>125</v>
      </c>
      <c r="CB680" t="s">
        <v>125</v>
      </c>
      <c r="CC680" t="s">
        <v>125</v>
      </c>
      <c r="CD680">
        <v>0.84210499999999999</v>
      </c>
      <c r="CE680">
        <v>44.792833000000002</v>
      </c>
      <c r="CF680">
        <v>50</v>
      </c>
      <c r="CG680" t="s">
        <v>125</v>
      </c>
      <c r="CH680" t="s">
        <v>125</v>
      </c>
      <c r="CI680" t="s">
        <v>125</v>
      </c>
      <c r="CJ680" t="s">
        <v>125</v>
      </c>
      <c r="CK680" t="s">
        <v>125</v>
      </c>
      <c r="CL680" t="s">
        <v>125</v>
      </c>
      <c r="CM680" t="s">
        <v>125</v>
      </c>
      <c r="CN680" t="s">
        <v>125</v>
      </c>
      <c r="CO680" t="s">
        <v>125</v>
      </c>
      <c r="CP680" t="s">
        <v>125</v>
      </c>
      <c r="CQ680">
        <v>0.42857099999999998</v>
      </c>
      <c r="CR680">
        <v>1</v>
      </c>
      <c r="CS680">
        <v>28.571428999999998</v>
      </c>
      <c r="CT680">
        <v>50</v>
      </c>
      <c r="CU680" t="s">
        <v>125</v>
      </c>
      <c r="CV680" t="s">
        <v>125</v>
      </c>
      <c r="CW680" t="s">
        <v>125</v>
      </c>
      <c r="CX680" t="s">
        <v>125</v>
      </c>
      <c r="CY680" t="s">
        <v>125</v>
      </c>
      <c r="CZ680" t="s">
        <v>125</v>
      </c>
      <c r="DA680">
        <v>15.314097</v>
      </c>
      <c r="DB680">
        <v>17.400950000000002</v>
      </c>
      <c r="DC680">
        <v>16.332519999999999</v>
      </c>
      <c r="DD680" t="s">
        <v>125</v>
      </c>
      <c r="DE680">
        <v>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Q680" t="s">
        <v>126</v>
      </c>
    </row>
    <row r="681" spans="1:121" x14ac:dyDescent="0.15">
      <c r="A681">
        <v>2018</v>
      </c>
      <c r="B681" t="s">
        <v>206</v>
      </c>
      <c r="C681" t="str">
        <f t="shared" si="26"/>
        <v>0930011</v>
      </c>
      <c r="D681" t="s">
        <v>837</v>
      </c>
      <c r="E681" t="str">
        <f>"0934611"</f>
        <v>0934611</v>
      </c>
      <c r="F681" t="s">
        <v>328</v>
      </c>
      <c r="G681" t="s">
        <v>329</v>
      </c>
      <c r="H681">
        <v>8</v>
      </c>
      <c r="J681" t="s">
        <v>331</v>
      </c>
      <c r="K681">
        <v>566.41292199999998</v>
      </c>
      <c r="L681">
        <v>1000</v>
      </c>
      <c r="M681">
        <v>56.641292</v>
      </c>
      <c r="N681">
        <v>3</v>
      </c>
      <c r="O681">
        <v>0</v>
      </c>
      <c r="P681">
        <v>59.764449999999997</v>
      </c>
      <c r="Q681">
        <v>39.842967000000002</v>
      </c>
      <c r="R681">
        <v>50</v>
      </c>
      <c r="S681">
        <v>58.303615999999998</v>
      </c>
      <c r="T681">
        <v>71.262625</v>
      </c>
      <c r="U681">
        <v>38.869078000000002</v>
      </c>
      <c r="V681">
        <v>50</v>
      </c>
      <c r="W681">
        <v>51.846862999999999</v>
      </c>
      <c r="X681">
        <v>34.564574999999998</v>
      </c>
      <c r="Y681">
        <v>50</v>
      </c>
      <c r="Z681">
        <v>61.585957000000001</v>
      </c>
      <c r="AA681">
        <v>50.649433000000002</v>
      </c>
      <c r="AB681">
        <v>33.766289</v>
      </c>
      <c r="AC681">
        <v>50</v>
      </c>
      <c r="AD681">
        <v>53.686216000000002</v>
      </c>
      <c r="AE681">
        <v>35.79081</v>
      </c>
      <c r="AF681">
        <v>50</v>
      </c>
      <c r="AG681">
        <v>53.040362000000002</v>
      </c>
      <c r="AH681" t="s">
        <v>125</v>
      </c>
      <c r="AI681">
        <v>35.360242</v>
      </c>
      <c r="AJ681">
        <v>50</v>
      </c>
      <c r="AK681">
        <v>12.95</v>
      </c>
      <c r="AL681">
        <v>10.93</v>
      </c>
      <c r="AM681" t="s">
        <v>125</v>
      </c>
      <c r="AN681">
        <v>0.538026</v>
      </c>
      <c r="AO681">
        <v>53.802549999999997</v>
      </c>
      <c r="AP681">
        <v>100</v>
      </c>
      <c r="AQ681">
        <v>0.40517700000000001</v>
      </c>
      <c r="AR681">
        <v>40.517691999999997</v>
      </c>
      <c r="AS681">
        <v>100</v>
      </c>
      <c r="AT681">
        <v>0.53853499999999999</v>
      </c>
      <c r="AU681">
        <v>0.53319700000000003</v>
      </c>
      <c r="AV681">
        <v>53.853509000000003</v>
      </c>
      <c r="AW681">
        <v>100</v>
      </c>
      <c r="AX681">
        <v>0.41029199999999999</v>
      </c>
      <c r="AY681">
        <v>0.356464</v>
      </c>
      <c r="AZ681">
        <v>41.029179999999997</v>
      </c>
      <c r="BA681">
        <v>100</v>
      </c>
      <c r="BB681">
        <v>0.42349100000000001</v>
      </c>
      <c r="BC681">
        <v>21.174526</v>
      </c>
      <c r="BD681">
        <v>50</v>
      </c>
      <c r="BE681">
        <v>0.44726199999999999</v>
      </c>
      <c r="BF681">
        <v>22.363102999999999</v>
      </c>
      <c r="BG681">
        <v>50</v>
      </c>
      <c r="BH681">
        <v>0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 t="s">
        <v>125</v>
      </c>
      <c r="BR681">
        <v>0.19617200000000001</v>
      </c>
      <c r="BS681">
        <v>20.765550000000001</v>
      </c>
      <c r="BT681">
        <v>50</v>
      </c>
      <c r="BU681">
        <v>0.196629</v>
      </c>
      <c r="BV681">
        <v>20.674157000000001</v>
      </c>
      <c r="BW681">
        <v>50</v>
      </c>
      <c r="BX681" t="s">
        <v>125</v>
      </c>
      <c r="BY681" t="s">
        <v>125</v>
      </c>
      <c r="BZ681" t="s">
        <v>125</v>
      </c>
      <c r="CA681" t="s">
        <v>125</v>
      </c>
      <c r="CB681" t="s">
        <v>125</v>
      </c>
      <c r="CC681" t="s">
        <v>125</v>
      </c>
      <c r="CD681">
        <v>0.88888900000000004</v>
      </c>
      <c r="CE681">
        <v>47.281323999999998</v>
      </c>
      <c r="CF681">
        <v>50</v>
      </c>
      <c r="CG681" t="s">
        <v>125</v>
      </c>
      <c r="CH681" t="s">
        <v>125</v>
      </c>
      <c r="CI681" t="s">
        <v>125</v>
      </c>
      <c r="CJ681" t="s">
        <v>125</v>
      </c>
      <c r="CK681" t="s">
        <v>125</v>
      </c>
      <c r="CL681" t="s">
        <v>125</v>
      </c>
      <c r="CM681" t="s">
        <v>125</v>
      </c>
      <c r="CN681" t="s">
        <v>125</v>
      </c>
      <c r="CO681" t="s">
        <v>125</v>
      </c>
      <c r="CP681" t="s">
        <v>125</v>
      </c>
      <c r="CQ681">
        <v>0.40136100000000002</v>
      </c>
      <c r="CR681">
        <v>1</v>
      </c>
      <c r="CS681">
        <v>26.757370000000002</v>
      </c>
      <c r="CT681">
        <v>50</v>
      </c>
      <c r="CU681" t="s">
        <v>125</v>
      </c>
      <c r="CV681" t="s">
        <v>125</v>
      </c>
      <c r="CW681" t="s">
        <v>125</v>
      </c>
      <c r="CX681" t="s">
        <v>125</v>
      </c>
      <c r="CY681" t="s">
        <v>125</v>
      </c>
      <c r="CZ681" t="s">
        <v>125</v>
      </c>
      <c r="DA681">
        <v>15.314097</v>
      </c>
      <c r="DB681">
        <v>17.400950000000002</v>
      </c>
      <c r="DC681">
        <v>16.332519999999999</v>
      </c>
      <c r="DD681" t="s">
        <v>125</v>
      </c>
      <c r="DE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Q681" t="s">
        <v>126</v>
      </c>
    </row>
    <row r="682" spans="1:121" x14ac:dyDescent="0.15">
      <c r="A682">
        <v>2018</v>
      </c>
      <c r="B682" t="s">
        <v>206</v>
      </c>
      <c r="C682" t="str">
        <f t="shared" si="26"/>
        <v>0930011</v>
      </c>
      <c r="D682" t="s">
        <v>417</v>
      </c>
      <c r="E682" t="str">
        <f>"0931211"</f>
        <v>0931211</v>
      </c>
      <c r="F682" t="s">
        <v>328</v>
      </c>
      <c r="G682" t="s">
        <v>339</v>
      </c>
      <c r="H682">
        <v>8</v>
      </c>
      <c r="J682" t="s">
        <v>331</v>
      </c>
      <c r="K682">
        <v>659.30457000000001</v>
      </c>
      <c r="L682">
        <v>1000</v>
      </c>
      <c r="M682">
        <v>65.930457000000004</v>
      </c>
      <c r="N682">
        <v>3</v>
      </c>
      <c r="O682">
        <v>1</v>
      </c>
      <c r="P682">
        <v>62.109825999999998</v>
      </c>
      <c r="Q682">
        <v>41.406550000000003</v>
      </c>
      <c r="R682">
        <v>50</v>
      </c>
      <c r="S682">
        <v>52.710639</v>
      </c>
      <c r="T682">
        <v>75</v>
      </c>
      <c r="U682">
        <v>35.140425999999998</v>
      </c>
      <c r="V682">
        <v>50</v>
      </c>
      <c r="W682">
        <v>52.157854</v>
      </c>
      <c r="X682">
        <v>34.771903000000002</v>
      </c>
      <c r="Y682">
        <v>50</v>
      </c>
      <c r="Z682">
        <v>68.445048</v>
      </c>
      <c r="AA682">
        <v>42.626143999999996</v>
      </c>
      <c r="AB682">
        <v>28.41743</v>
      </c>
      <c r="AC682">
        <v>50</v>
      </c>
      <c r="AD682">
        <v>61.606130999999998</v>
      </c>
      <c r="AE682">
        <v>41.070754000000001</v>
      </c>
      <c r="AF682">
        <v>50</v>
      </c>
      <c r="AG682">
        <v>48.314999</v>
      </c>
      <c r="AH682">
        <v>75</v>
      </c>
      <c r="AI682">
        <v>32.209999000000003</v>
      </c>
      <c r="AJ682">
        <v>50</v>
      </c>
      <c r="AK682">
        <v>22.28</v>
      </c>
      <c r="AL682">
        <v>25.81</v>
      </c>
      <c r="AM682">
        <v>26.68</v>
      </c>
      <c r="AN682">
        <v>0.64539500000000005</v>
      </c>
      <c r="AO682">
        <v>64.539516000000006</v>
      </c>
      <c r="AP682">
        <v>100</v>
      </c>
      <c r="AQ682">
        <v>0.62345300000000003</v>
      </c>
      <c r="AR682">
        <v>62.345334000000001</v>
      </c>
      <c r="AS682">
        <v>100</v>
      </c>
      <c r="AT682">
        <v>0.59331</v>
      </c>
      <c r="AU682">
        <v>0.74021700000000001</v>
      </c>
      <c r="AV682">
        <v>59.330970000000001</v>
      </c>
      <c r="AW682">
        <v>100</v>
      </c>
      <c r="AX682">
        <v>0.55240599999999995</v>
      </c>
      <c r="AY682">
        <v>0.75279600000000002</v>
      </c>
      <c r="AZ682">
        <v>55.240594000000002</v>
      </c>
      <c r="BA682">
        <v>100</v>
      </c>
      <c r="BB682">
        <v>0.70648299999999997</v>
      </c>
      <c r="BC682">
        <v>35.324165000000001</v>
      </c>
      <c r="BD682">
        <v>50</v>
      </c>
      <c r="BE682">
        <v>0.52571900000000005</v>
      </c>
      <c r="BF682">
        <v>26.285959999999999</v>
      </c>
      <c r="BG682">
        <v>50</v>
      </c>
      <c r="BH682">
        <v>0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0.13730000000000001</v>
      </c>
      <c r="BS682">
        <v>32.540045999999997</v>
      </c>
      <c r="BT682">
        <v>50</v>
      </c>
      <c r="BU682">
        <v>0.20463300000000001</v>
      </c>
      <c r="BV682">
        <v>19.073359</v>
      </c>
      <c r="BW682">
        <v>50</v>
      </c>
      <c r="BX682" t="s">
        <v>125</v>
      </c>
      <c r="BY682" t="s">
        <v>125</v>
      </c>
      <c r="BZ682" t="s">
        <v>125</v>
      </c>
      <c r="CA682" t="s">
        <v>125</v>
      </c>
      <c r="CB682" t="s">
        <v>125</v>
      </c>
      <c r="CC682" t="s">
        <v>125</v>
      </c>
      <c r="CD682">
        <v>0.83333299999999999</v>
      </c>
      <c r="CE682">
        <v>44.326241000000003</v>
      </c>
      <c r="CF682">
        <v>50</v>
      </c>
      <c r="CG682" t="s">
        <v>125</v>
      </c>
      <c r="CH682" t="s">
        <v>125</v>
      </c>
      <c r="CI682" t="s">
        <v>125</v>
      </c>
      <c r="CJ682" t="s">
        <v>125</v>
      </c>
      <c r="CK682" t="s">
        <v>125</v>
      </c>
      <c r="CL682" t="s">
        <v>125</v>
      </c>
      <c r="CM682" t="s">
        <v>125</v>
      </c>
      <c r="CN682" t="s">
        <v>125</v>
      </c>
      <c r="CO682" t="s">
        <v>125</v>
      </c>
      <c r="CP682" t="s">
        <v>125</v>
      </c>
      <c r="CQ682">
        <v>0.70921999999999996</v>
      </c>
      <c r="CR682">
        <v>1</v>
      </c>
      <c r="CS682">
        <v>47.281323999999998</v>
      </c>
      <c r="CT682">
        <v>50</v>
      </c>
      <c r="CU682" t="s">
        <v>125</v>
      </c>
      <c r="CV682" t="s">
        <v>125</v>
      </c>
      <c r="CW682" t="s">
        <v>125</v>
      </c>
      <c r="CX682" t="s">
        <v>125</v>
      </c>
      <c r="CY682" t="s">
        <v>125</v>
      </c>
      <c r="CZ682" t="s">
        <v>125</v>
      </c>
      <c r="DA682">
        <v>15.314097</v>
      </c>
      <c r="DB682">
        <v>17.400950000000002</v>
      </c>
      <c r="DC682">
        <v>16.332519999999999</v>
      </c>
      <c r="DD682" t="s">
        <v>125</v>
      </c>
      <c r="DE682">
        <v>1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Q682" t="s">
        <v>126</v>
      </c>
    </row>
    <row r="683" spans="1:121" x14ac:dyDescent="0.15">
      <c r="A683">
        <v>2018</v>
      </c>
      <c r="B683" t="s">
        <v>206</v>
      </c>
      <c r="C683" t="str">
        <f t="shared" si="26"/>
        <v>0930011</v>
      </c>
      <c r="D683" t="s">
        <v>838</v>
      </c>
      <c r="E683" t="str">
        <f>"0931711"</f>
        <v>0931711</v>
      </c>
      <c r="F683" t="s">
        <v>328</v>
      </c>
      <c r="G683">
        <v>6</v>
      </c>
      <c r="H683">
        <v>12</v>
      </c>
      <c r="J683" t="s">
        <v>331</v>
      </c>
      <c r="K683">
        <v>1016.318896</v>
      </c>
      <c r="L683">
        <v>1350</v>
      </c>
      <c r="M683">
        <v>75.282881000000003</v>
      </c>
      <c r="N683">
        <v>3</v>
      </c>
      <c r="O683">
        <v>1</v>
      </c>
      <c r="P683">
        <v>68.877561999999998</v>
      </c>
      <c r="Q683">
        <v>45.918374999999997</v>
      </c>
      <c r="R683">
        <v>50</v>
      </c>
      <c r="S683">
        <v>59.168674000000003</v>
      </c>
      <c r="T683">
        <v>75</v>
      </c>
      <c r="U683">
        <v>39.445782999999999</v>
      </c>
      <c r="V683">
        <v>50</v>
      </c>
      <c r="W683">
        <v>64.775326000000007</v>
      </c>
      <c r="X683">
        <v>43.183549999999997</v>
      </c>
      <c r="Y683">
        <v>50</v>
      </c>
      <c r="Z683">
        <v>73.156981999999999</v>
      </c>
      <c r="AA683">
        <v>53.366959000000001</v>
      </c>
      <c r="AB683">
        <v>35.577973</v>
      </c>
      <c r="AC683">
        <v>50</v>
      </c>
      <c r="AD683">
        <v>62.437264999999996</v>
      </c>
      <c r="AE683">
        <v>41.624842999999998</v>
      </c>
      <c r="AF683">
        <v>50</v>
      </c>
      <c r="AG683">
        <v>51.755277999999997</v>
      </c>
      <c r="AH683">
        <v>70.313882000000007</v>
      </c>
      <c r="AI683">
        <v>34.503518999999997</v>
      </c>
      <c r="AJ683">
        <v>50</v>
      </c>
      <c r="AK683">
        <v>15.83</v>
      </c>
      <c r="AL683">
        <v>19.79</v>
      </c>
      <c r="AM683">
        <v>18.55</v>
      </c>
      <c r="AN683">
        <v>0.51941000000000004</v>
      </c>
      <c r="AO683">
        <v>51.941045000000003</v>
      </c>
      <c r="AP683">
        <v>100</v>
      </c>
      <c r="AQ683">
        <v>0.57738400000000001</v>
      </c>
      <c r="AR683">
        <v>57.738373000000003</v>
      </c>
      <c r="AS683">
        <v>100</v>
      </c>
      <c r="AT683">
        <v>0.491531</v>
      </c>
      <c r="AU683">
        <v>0.53949199999999997</v>
      </c>
      <c r="AV683">
        <v>49.153092000000001</v>
      </c>
      <c r="AW683">
        <v>100</v>
      </c>
      <c r="AX683">
        <v>0.44984400000000002</v>
      </c>
      <c r="AY683">
        <v>0.66924799999999995</v>
      </c>
      <c r="AZ683">
        <v>44.984361999999997</v>
      </c>
      <c r="BA683">
        <v>100</v>
      </c>
      <c r="BB683" t="s">
        <v>125</v>
      </c>
      <c r="BC683" t="s">
        <v>125</v>
      </c>
      <c r="BD683" t="s">
        <v>125</v>
      </c>
      <c r="BE683" t="s">
        <v>125</v>
      </c>
      <c r="BF683" t="s">
        <v>125</v>
      </c>
      <c r="BG683" t="s">
        <v>125</v>
      </c>
      <c r="BH683">
        <v>0</v>
      </c>
      <c r="BI683">
        <v>0.99706700000000004</v>
      </c>
      <c r="BJ683">
        <v>0.99310299999999996</v>
      </c>
      <c r="BK683">
        <v>1</v>
      </c>
      <c r="BL683">
        <v>0.99706700000000004</v>
      </c>
      <c r="BM683">
        <v>0.99310299999999996</v>
      </c>
      <c r="BN683">
        <v>1</v>
      </c>
      <c r="BO683">
        <v>1</v>
      </c>
      <c r="BP683">
        <v>1</v>
      </c>
      <c r="BQ683">
        <v>1</v>
      </c>
      <c r="BR683">
        <v>9.0909000000000004E-2</v>
      </c>
      <c r="BS683">
        <v>41.818182</v>
      </c>
      <c r="BT683">
        <v>50</v>
      </c>
      <c r="BU683">
        <v>0.14285700000000001</v>
      </c>
      <c r="BV683">
        <v>31.428571000000002</v>
      </c>
      <c r="BW683">
        <v>50</v>
      </c>
      <c r="BX683">
        <v>0.97435899999999998</v>
      </c>
      <c r="BY683">
        <v>50</v>
      </c>
      <c r="BZ683">
        <v>50</v>
      </c>
      <c r="CA683">
        <v>0.53205100000000005</v>
      </c>
      <c r="CB683">
        <v>35.470084999999997</v>
      </c>
      <c r="CC683">
        <v>50</v>
      </c>
      <c r="CD683">
        <v>0.95808400000000005</v>
      </c>
      <c r="CE683">
        <v>50</v>
      </c>
      <c r="CF683">
        <v>50</v>
      </c>
      <c r="CG683">
        <v>0.97222200000000003</v>
      </c>
      <c r="CH683">
        <v>100</v>
      </c>
      <c r="CI683">
        <v>100</v>
      </c>
      <c r="CJ683">
        <v>0</v>
      </c>
      <c r="CK683">
        <v>0.97435899999999998</v>
      </c>
      <c r="CL683">
        <v>100</v>
      </c>
      <c r="CM683">
        <v>100</v>
      </c>
      <c r="CN683">
        <v>0.83561600000000003</v>
      </c>
      <c r="CO683">
        <v>100</v>
      </c>
      <c r="CP683">
        <v>100</v>
      </c>
      <c r="CQ683">
        <v>0.66244700000000001</v>
      </c>
      <c r="CR683">
        <v>0.92217899999999997</v>
      </c>
      <c r="CS683">
        <v>44.163150000000002</v>
      </c>
      <c r="CT683">
        <v>50</v>
      </c>
      <c r="CU683">
        <v>0.23241600000000001</v>
      </c>
      <c r="CV683">
        <v>19.367992000000001</v>
      </c>
      <c r="CW683">
        <v>50</v>
      </c>
      <c r="CX683">
        <v>0.97435899999999998</v>
      </c>
      <c r="CY683" t="s">
        <v>125</v>
      </c>
      <c r="CZ683" t="s">
        <v>125</v>
      </c>
      <c r="DA683">
        <v>15.314097</v>
      </c>
      <c r="DB683">
        <v>17.400950000000002</v>
      </c>
      <c r="DC683">
        <v>16.332519999999999</v>
      </c>
      <c r="DD683">
        <v>7.9891730000000001</v>
      </c>
      <c r="DE683">
        <v>1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Q683" t="s">
        <v>126</v>
      </c>
    </row>
    <row r="684" spans="1:121" x14ac:dyDescent="0.15">
      <c r="A684">
        <v>2018</v>
      </c>
      <c r="B684" t="s">
        <v>206</v>
      </c>
      <c r="C684" t="str">
        <f t="shared" si="26"/>
        <v>0930011</v>
      </c>
      <c r="D684" t="s">
        <v>839</v>
      </c>
      <c r="E684" t="str">
        <f>"0931611"</f>
        <v>0931611</v>
      </c>
      <c r="F684" t="s">
        <v>328</v>
      </c>
      <c r="G684" t="s">
        <v>329</v>
      </c>
      <c r="H684">
        <v>8</v>
      </c>
      <c r="I684" t="s">
        <v>336</v>
      </c>
      <c r="J684" t="s">
        <v>331</v>
      </c>
      <c r="K684">
        <v>612.03782699999999</v>
      </c>
      <c r="L684">
        <v>1000</v>
      </c>
      <c r="M684">
        <v>61.203783000000001</v>
      </c>
      <c r="N684">
        <v>3</v>
      </c>
      <c r="O684">
        <v>0</v>
      </c>
      <c r="P684">
        <v>49.550131999999998</v>
      </c>
      <c r="Q684">
        <v>33.033422000000002</v>
      </c>
      <c r="R684">
        <v>50</v>
      </c>
      <c r="S684">
        <v>48.993443999999997</v>
      </c>
      <c r="T684">
        <v>62.115372999999998</v>
      </c>
      <c r="U684">
        <v>32.662295999999998</v>
      </c>
      <c r="V684">
        <v>50</v>
      </c>
      <c r="W684">
        <v>41.81147</v>
      </c>
      <c r="X684">
        <v>27.874313000000001</v>
      </c>
      <c r="Y684">
        <v>50</v>
      </c>
      <c r="Z684">
        <v>52.699694000000001</v>
      </c>
      <c r="AA684">
        <v>41.327036</v>
      </c>
      <c r="AB684">
        <v>27.551356999999999</v>
      </c>
      <c r="AC684">
        <v>50</v>
      </c>
      <c r="AD684">
        <v>44.646819999999998</v>
      </c>
      <c r="AE684">
        <v>29.764545999999999</v>
      </c>
      <c r="AF684">
        <v>50</v>
      </c>
      <c r="AG684">
        <v>44.129221000000001</v>
      </c>
      <c r="AH684" t="s">
        <v>125</v>
      </c>
      <c r="AI684">
        <v>29.419481000000001</v>
      </c>
      <c r="AJ684">
        <v>50</v>
      </c>
      <c r="AK684">
        <v>13.12</v>
      </c>
      <c r="AL684">
        <v>11.37</v>
      </c>
      <c r="AM684" t="s">
        <v>125</v>
      </c>
      <c r="AN684">
        <v>0.55862400000000001</v>
      </c>
      <c r="AO684">
        <v>55.862433000000003</v>
      </c>
      <c r="AP684">
        <v>100</v>
      </c>
      <c r="AQ684">
        <v>0.47982599999999997</v>
      </c>
      <c r="AR684">
        <v>47.982562999999999</v>
      </c>
      <c r="AS684">
        <v>100</v>
      </c>
      <c r="AT684">
        <v>0.55864499999999995</v>
      </c>
      <c r="AU684" t="s">
        <v>125</v>
      </c>
      <c r="AV684">
        <v>55.864542</v>
      </c>
      <c r="AW684">
        <v>100</v>
      </c>
      <c r="AX684">
        <v>0.47126099999999999</v>
      </c>
      <c r="AY684" t="s">
        <v>125</v>
      </c>
      <c r="AZ684">
        <v>47.126105000000003</v>
      </c>
      <c r="BA684">
        <v>100</v>
      </c>
      <c r="BB684">
        <v>0.63714199999999999</v>
      </c>
      <c r="BC684">
        <v>31.857112000000001</v>
      </c>
      <c r="BD684">
        <v>50</v>
      </c>
      <c r="BE684">
        <v>0.48336600000000002</v>
      </c>
      <c r="BF684">
        <v>24.168288</v>
      </c>
      <c r="BG684">
        <v>50</v>
      </c>
      <c r="BH684">
        <v>0</v>
      </c>
      <c r="BI684">
        <v>0.99641599999999997</v>
      </c>
      <c r="BJ684">
        <v>0.99626899999999996</v>
      </c>
      <c r="BK684">
        <v>1</v>
      </c>
      <c r="BL684">
        <v>0.99640300000000004</v>
      </c>
      <c r="BM684">
        <v>0.996255</v>
      </c>
      <c r="BN684">
        <v>1</v>
      </c>
      <c r="BO684">
        <v>0.98941800000000002</v>
      </c>
      <c r="BP684">
        <v>0.98895</v>
      </c>
      <c r="BQ684" t="s">
        <v>125</v>
      </c>
      <c r="BR684">
        <v>9.2172000000000004E-2</v>
      </c>
      <c r="BS684">
        <v>41.565657000000002</v>
      </c>
      <c r="BT684">
        <v>50</v>
      </c>
      <c r="BU684">
        <v>9.2669000000000001E-2</v>
      </c>
      <c r="BV684">
        <v>41.466113</v>
      </c>
      <c r="BW684">
        <v>50</v>
      </c>
      <c r="BX684" t="s">
        <v>125</v>
      </c>
      <c r="BY684" t="s">
        <v>125</v>
      </c>
      <c r="BZ684" t="s">
        <v>125</v>
      </c>
      <c r="CA684" t="s">
        <v>125</v>
      </c>
      <c r="CB684" t="s">
        <v>125</v>
      </c>
      <c r="CC684" t="s">
        <v>125</v>
      </c>
      <c r="CD684">
        <v>0.94</v>
      </c>
      <c r="CE684">
        <v>50</v>
      </c>
      <c r="CF684">
        <v>50</v>
      </c>
      <c r="CG684" t="s">
        <v>125</v>
      </c>
      <c r="CH684" t="s">
        <v>125</v>
      </c>
      <c r="CI684" t="s">
        <v>125</v>
      </c>
      <c r="CJ684" t="s">
        <v>125</v>
      </c>
      <c r="CK684" t="s">
        <v>125</v>
      </c>
      <c r="CL684" t="s">
        <v>125</v>
      </c>
      <c r="CM684" t="s">
        <v>125</v>
      </c>
      <c r="CN684" t="s">
        <v>125</v>
      </c>
      <c r="CO684" t="s">
        <v>125</v>
      </c>
      <c r="CP684" t="s">
        <v>125</v>
      </c>
      <c r="CQ684">
        <v>0.53759400000000002</v>
      </c>
      <c r="CR684">
        <v>0.95683499999999999</v>
      </c>
      <c r="CS684">
        <v>35.839599</v>
      </c>
      <c r="CT684">
        <v>50</v>
      </c>
      <c r="CU684" t="s">
        <v>125</v>
      </c>
      <c r="CV684" t="s">
        <v>125</v>
      </c>
      <c r="CW684" t="s">
        <v>125</v>
      </c>
      <c r="CX684" t="s">
        <v>125</v>
      </c>
      <c r="CY684" t="s">
        <v>125</v>
      </c>
      <c r="CZ684" t="s">
        <v>125</v>
      </c>
      <c r="DA684">
        <v>15.314097</v>
      </c>
      <c r="DB684">
        <v>17.400950000000002</v>
      </c>
      <c r="DC684">
        <v>16.332519999999999</v>
      </c>
      <c r="DD684" t="s">
        <v>125</v>
      </c>
      <c r="DE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Q684" t="s">
        <v>126</v>
      </c>
    </row>
    <row r="685" spans="1:121" x14ac:dyDescent="0.15">
      <c r="A685">
        <v>2018</v>
      </c>
      <c r="B685" t="s">
        <v>206</v>
      </c>
      <c r="C685" t="str">
        <f t="shared" si="26"/>
        <v>0930011</v>
      </c>
      <c r="D685" t="s">
        <v>840</v>
      </c>
      <c r="E685" t="str">
        <f>"0936611"</f>
        <v>0936611</v>
      </c>
      <c r="F685" t="s">
        <v>328</v>
      </c>
      <c r="G685">
        <v>9</v>
      </c>
      <c r="H685">
        <v>12</v>
      </c>
      <c r="I685" t="s">
        <v>336</v>
      </c>
      <c r="J685" t="s">
        <v>331</v>
      </c>
      <c r="K685">
        <v>866.01670200000001</v>
      </c>
      <c r="L685">
        <v>1550</v>
      </c>
      <c r="M685">
        <v>55.872045</v>
      </c>
      <c r="N685">
        <v>5</v>
      </c>
      <c r="O685">
        <v>0</v>
      </c>
      <c r="P685">
        <v>42.456139999999998</v>
      </c>
      <c r="Q685">
        <v>84.912280999999993</v>
      </c>
      <c r="R685">
        <v>150</v>
      </c>
      <c r="S685">
        <v>40.516666999999998</v>
      </c>
      <c r="T685" t="s">
        <v>125</v>
      </c>
      <c r="U685">
        <v>81.033332999999999</v>
      </c>
      <c r="V685">
        <v>150</v>
      </c>
      <c r="W685">
        <v>36.709552000000002</v>
      </c>
      <c r="X685">
        <v>73.419103000000007</v>
      </c>
      <c r="Y685">
        <v>150</v>
      </c>
      <c r="Z685" t="s">
        <v>125</v>
      </c>
      <c r="AA685">
        <v>34.442222000000001</v>
      </c>
      <c r="AB685">
        <v>68.884444000000002</v>
      </c>
      <c r="AC685">
        <v>150</v>
      </c>
      <c r="AD685">
        <v>46.707970000000003</v>
      </c>
      <c r="AE685">
        <v>62.277293999999998</v>
      </c>
      <c r="AF685">
        <v>100</v>
      </c>
      <c r="AG685">
        <v>44.972563000000001</v>
      </c>
      <c r="AH685" t="s">
        <v>125</v>
      </c>
      <c r="AI685">
        <v>59.963417999999997</v>
      </c>
      <c r="AJ685">
        <v>100</v>
      </c>
      <c r="AK685" t="s">
        <v>125</v>
      </c>
      <c r="AL685" t="s">
        <v>125</v>
      </c>
      <c r="AM685" t="s">
        <v>125</v>
      </c>
      <c r="AN685" t="s">
        <v>125</v>
      </c>
      <c r="AO685" t="s">
        <v>125</v>
      </c>
      <c r="AP685" t="s">
        <v>125</v>
      </c>
      <c r="AQ685" t="s">
        <v>125</v>
      </c>
      <c r="AR685" t="s">
        <v>125</v>
      </c>
      <c r="AS685" t="s">
        <v>125</v>
      </c>
      <c r="AT685" t="s">
        <v>125</v>
      </c>
      <c r="AU685" t="s">
        <v>125</v>
      </c>
      <c r="AV685" t="s">
        <v>125</v>
      </c>
      <c r="AW685" t="s">
        <v>125</v>
      </c>
      <c r="AX685" t="s">
        <v>125</v>
      </c>
      <c r="AY685" t="s">
        <v>125</v>
      </c>
      <c r="AZ685" t="s">
        <v>125</v>
      </c>
      <c r="BA685" t="s">
        <v>125</v>
      </c>
      <c r="BB685">
        <v>0.24756</v>
      </c>
      <c r="BC685">
        <v>12.377981999999999</v>
      </c>
      <c r="BD685">
        <v>50</v>
      </c>
      <c r="BE685">
        <v>0.30956800000000001</v>
      </c>
      <c r="BF685">
        <v>15.478388000000001</v>
      </c>
      <c r="BG685">
        <v>50</v>
      </c>
      <c r="BH685">
        <v>0</v>
      </c>
      <c r="BI685">
        <v>0.98275900000000005</v>
      </c>
      <c r="BJ685">
        <v>0.98039200000000004</v>
      </c>
      <c r="BK685" t="s">
        <v>125</v>
      </c>
      <c r="BL685">
        <v>0.98275900000000005</v>
      </c>
      <c r="BM685">
        <v>0.98039200000000004</v>
      </c>
      <c r="BN685" t="s">
        <v>125</v>
      </c>
      <c r="BO685">
        <v>1</v>
      </c>
      <c r="BP685">
        <v>1</v>
      </c>
      <c r="BQ685" t="s">
        <v>125</v>
      </c>
      <c r="BR685">
        <v>0.241228</v>
      </c>
      <c r="BS685">
        <v>11.754386</v>
      </c>
      <c r="BT685">
        <v>50</v>
      </c>
      <c r="BU685">
        <v>0.28415299999999999</v>
      </c>
      <c r="BV685">
        <v>3.1693989999999999</v>
      </c>
      <c r="BW685">
        <v>50</v>
      </c>
      <c r="BX685">
        <v>0.43689299999999998</v>
      </c>
      <c r="BY685">
        <v>29.126214000000001</v>
      </c>
      <c r="BZ685">
        <v>50</v>
      </c>
      <c r="CA685">
        <v>0.14563100000000001</v>
      </c>
      <c r="CB685">
        <v>9.7087380000000003</v>
      </c>
      <c r="CC685">
        <v>50</v>
      </c>
      <c r="CD685">
        <v>0.87323899999999999</v>
      </c>
      <c r="CE685">
        <v>46.448906000000001</v>
      </c>
      <c r="CF685">
        <v>50</v>
      </c>
      <c r="CG685">
        <v>0.75</v>
      </c>
      <c r="CH685">
        <v>79.787233999999998</v>
      </c>
      <c r="CI685">
        <v>100</v>
      </c>
      <c r="CJ685">
        <v>0</v>
      </c>
      <c r="CK685">
        <v>0.769231</v>
      </c>
      <c r="CL685">
        <v>81.833061000000001</v>
      </c>
      <c r="CM685">
        <v>100</v>
      </c>
      <c r="CN685">
        <v>0.66037699999999999</v>
      </c>
      <c r="CO685">
        <v>88.050314</v>
      </c>
      <c r="CP685">
        <v>100</v>
      </c>
      <c r="CQ685">
        <v>0.116883</v>
      </c>
      <c r="CR685">
        <v>1.3508770000000001</v>
      </c>
      <c r="CS685">
        <v>7.7922079999999996</v>
      </c>
      <c r="CT685">
        <v>50</v>
      </c>
      <c r="CU685">
        <v>0.70175399999999999</v>
      </c>
      <c r="CV685">
        <v>50</v>
      </c>
      <c r="CW685">
        <v>50</v>
      </c>
      <c r="CX685">
        <v>0.769231</v>
      </c>
      <c r="CY685" t="s">
        <v>125</v>
      </c>
      <c r="CZ685" t="s">
        <v>125</v>
      </c>
      <c r="DA685">
        <v>15.314097</v>
      </c>
      <c r="DB685">
        <v>17.400950000000002</v>
      </c>
      <c r="DC685">
        <v>16.332519999999999</v>
      </c>
      <c r="DD685">
        <v>7.9891730000000001</v>
      </c>
      <c r="DE685">
        <v>0</v>
      </c>
      <c r="DF685" t="s">
        <v>376</v>
      </c>
      <c r="DG685" t="s">
        <v>841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Q685" t="s">
        <v>126</v>
      </c>
    </row>
    <row r="686" spans="1:121" x14ac:dyDescent="0.15">
      <c r="A686">
        <v>2018</v>
      </c>
      <c r="B686" t="s">
        <v>206</v>
      </c>
      <c r="C686" t="str">
        <f t="shared" si="26"/>
        <v>0930011</v>
      </c>
      <c r="D686" t="s">
        <v>842</v>
      </c>
      <c r="E686" t="str">
        <f>"0930711"</f>
        <v>0930711</v>
      </c>
      <c r="F686" t="s">
        <v>328</v>
      </c>
      <c r="G686" t="s">
        <v>329</v>
      </c>
      <c r="H686">
        <v>8</v>
      </c>
      <c r="I686" t="s">
        <v>336</v>
      </c>
      <c r="J686" t="s">
        <v>331</v>
      </c>
      <c r="K686">
        <v>604.93532900000002</v>
      </c>
      <c r="L686">
        <v>1000</v>
      </c>
      <c r="M686">
        <v>60.493532999999999</v>
      </c>
      <c r="N686">
        <v>3</v>
      </c>
      <c r="O686">
        <v>0</v>
      </c>
      <c r="P686">
        <v>51.885759999999998</v>
      </c>
      <c r="Q686">
        <v>34.590507000000002</v>
      </c>
      <c r="R686">
        <v>50</v>
      </c>
      <c r="S686">
        <v>51.456921000000001</v>
      </c>
      <c r="T686" t="s">
        <v>125</v>
      </c>
      <c r="U686">
        <v>34.304614000000001</v>
      </c>
      <c r="V686">
        <v>50</v>
      </c>
      <c r="W686">
        <v>47.039577000000001</v>
      </c>
      <c r="X686">
        <v>31.359718000000001</v>
      </c>
      <c r="Y686">
        <v>50</v>
      </c>
      <c r="Z686" t="s">
        <v>125</v>
      </c>
      <c r="AA686">
        <v>46.752893999999998</v>
      </c>
      <c r="AB686">
        <v>31.168596000000001</v>
      </c>
      <c r="AC686">
        <v>50</v>
      </c>
      <c r="AD686">
        <v>54.623393</v>
      </c>
      <c r="AE686">
        <v>36.415595000000003</v>
      </c>
      <c r="AF686">
        <v>50</v>
      </c>
      <c r="AG686">
        <v>53.830475999999997</v>
      </c>
      <c r="AH686" t="s">
        <v>125</v>
      </c>
      <c r="AI686">
        <v>35.886983999999998</v>
      </c>
      <c r="AJ686">
        <v>50</v>
      </c>
      <c r="AK686" t="s">
        <v>125</v>
      </c>
      <c r="AL686" t="s">
        <v>125</v>
      </c>
      <c r="AM686" t="s">
        <v>125</v>
      </c>
      <c r="AN686">
        <v>0.504745</v>
      </c>
      <c r="AO686">
        <v>50.474499000000002</v>
      </c>
      <c r="AP686">
        <v>100</v>
      </c>
      <c r="AQ686">
        <v>0.52426200000000001</v>
      </c>
      <c r="AR686">
        <v>52.426237999999998</v>
      </c>
      <c r="AS686">
        <v>100</v>
      </c>
      <c r="AT686">
        <v>0.50478500000000004</v>
      </c>
      <c r="AU686" t="s">
        <v>125</v>
      </c>
      <c r="AV686">
        <v>50.478524</v>
      </c>
      <c r="AW686">
        <v>100</v>
      </c>
      <c r="AX686">
        <v>0.52399899999999999</v>
      </c>
      <c r="AY686" t="s">
        <v>125</v>
      </c>
      <c r="AZ686">
        <v>52.399883000000003</v>
      </c>
      <c r="BA686">
        <v>100</v>
      </c>
      <c r="BB686">
        <v>0.58925300000000003</v>
      </c>
      <c r="BC686">
        <v>29.462669000000002</v>
      </c>
      <c r="BD686">
        <v>50</v>
      </c>
      <c r="BE686">
        <v>0.45123200000000002</v>
      </c>
      <c r="BF686">
        <v>22.561582000000001</v>
      </c>
      <c r="BG686">
        <v>50</v>
      </c>
      <c r="BH686">
        <v>0</v>
      </c>
      <c r="BI686">
        <v>0.99683500000000003</v>
      </c>
      <c r="BJ686">
        <v>0.99662200000000001</v>
      </c>
      <c r="BK686">
        <v>1</v>
      </c>
      <c r="BL686">
        <v>0.99367099999999997</v>
      </c>
      <c r="BM686">
        <v>0.99324299999999999</v>
      </c>
      <c r="BN686">
        <v>1</v>
      </c>
      <c r="BO686">
        <v>1</v>
      </c>
      <c r="BP686">
        <v>1</v>
      </c>
      <c r="BQ686" t="s">
        <v>125</v>
      </c>
      <c r="BR686">
        <v>0.119101</v>
      </c>
      <c r="BS686">
        <v>36.179774999999999</v>
      </c>
      <c r="BT686">
        <v>50</v>
      </c>
      <c r="BU686">
        <v>0.11138000000000001</v>
      </c>
      <c r="BV686">
        <v>37.723970999999999</v>
      </c>
      <c r="BW686">
        <v>50</v>
      </c>
      <c r="BX686" t="s">
        <v>125</v>
      </c>
      <c r="BY686" t="s">
        <v>125</v>
      </c>
      <c r="BZ686" t="s">
        <v>125</v>
      </c>
      <c r="CA686" t="s">
        <v>125</v>
      </c>
      <c r="CB686" t="s">
        <v>125</v>
      </c>
      <c r="CC686" t="s">
        <v>125</v>
      </c>
      <c r="CD686">
        <v>0.79245299999999996</v>
      </c>
      <c r="CE686">
        <v>42.151746000000003</v>
      </c>
      <c r="CF686">
        <v>50</v>
      </c>
      <c r="CG686" t="s">
        <v>125</v>
      </c>
      <c r="CH686" t="s">
        <v>125</v>
      </c>
      <c r="CI686" t="s">
        <v>125</v>
      </c>
      <c r="CJ686" t="s">
        <v>125</v>
      </c>
      <c r="CK686" t="s">
        <v>125</v>
      </c>
      <c r="CL686" t="s">
        <v>125</v>
      </c>
      <c r="CM686" t="s">
        <v>125</v>
      </c>
      <c r="CN686" t="s">
        <v>125</v>
      </c>
      <c r="CO686" t="s">
        <v>125</v>
      </c>
      <c r="CP686" t="s">
        <v>125</v>
      </c>
      <c r="CQ686">
        <v>0.41025600000000001</v>
      </c>
      <c r="CR686">
        <v>0.99363100000000004</v>
      </c>
      <c r="CS686">
        <v>27.350427</v>
      </c>
      <c r="CT686">
        <v>50</v>
      </c>
      <c r="CU686" t="s">
        <v>125</v>
      </c>
      <c r="CV686" t="s">
        <v>125</v>
      </c>
      <c r="CW686" t="s">
        <v>125</v>
      </c>
      <c r="CX686" t="s">
        <v>125</v>
      </c>
      <c r="CY686" t="s">
        <v>125</v>
      </c>
      <c r="CZ686" t="s">
        <v>125</v>
      </c>
      <c r="DA686">
        <v>15.314097</v>
      </c>
      <c r="DB686">
        <v>17.400950000000002</v>
      </c>
      <c r="DC686">
        <v>16.332519999999999</v>
      </c>
      <c r="DD686" t="s">
        <v>125</v>
      </c>
      <c r="DE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Q686" t="s">
        <v>126</v>
      </c>
    </row>
    <row r="687" spans="1:121" x14ac:dyDescent="0.15">
      <c r="A687">
        <v>2018</v>
      </c>
      <c r="B687" t="s">
        <v>206</v>
      </c>
      <c r="C687" t="str">
        <f t="shared" si="26"/>
        <v>0930011</v>
      </c>
      <c r="D687" t="s">
        <v>843</v>
      </c>
      <c r="E687" t="str">
        <f>"0936311"</f>
        <v>0936311</v>
      </c>
      <c r="F687" t="s">
        <v>328</v>
      </c>
      <c r="G687">
        <v>9</v>
      </c>
      <c r="H687">
        <v>12</v>
      </c>
      <c r="J687" t="s">
        <v>331</v>
      </c>
      <c r="K687">
        <v>995.195695</v>
      </c>
      <c r="L687">
        <v>1550</v>
      </c>
      <c r="M687">
        <v>64.206174000000004</v>
      </c>
      <c r="N687">
        <v>3</v>
      </c>
      <c r="O687">
        <v>0</v>
      </c>
      <c r="P687">
        <v>46.09</v>
      </c>
      <c r="Q687">
        <v>92.18</v>
      </c>
      <c r="R687">
        <v>150</v>
      </c>
      <c r="S687">
        <v>45.19697</v>
      </c>
      <c r="T687">
        <v>49.816091999999998</v>
      </c>
      <c r="U687">
        <v>90.393939000000003</v>
      </c>
      <c r="V687">
        <v>150</v>
      </c>
      <c r="W687">
        <v>40.993333</v>
      </c>
      <c r="X687">
        <v>81.986666999999997</v>
      </c>
      <c r="Y687">
        <v>150</v>
      </c>
      <c r="Z687">
        <v>40.333333000000003</v>
      </c>
      <c r="AA687">
        <v>41.151515000000003</v>
      </c>
      <c r="AB687">
        <v>82.303030000000007</v>
      </c>
      <c r="AC687">
        <v>150</v>
      </c>
      <c r="AD687">
        <v>44.221217000000003</v>
      </c>
      <c r="AE687">
        <v>58.961621999999998</v>
      </c>
      <c r="AF687">
        <v>100</v>
      </c>
      <c r="AG687">
        <v>43.463414999999998</v>
      </c>
      <c r="AH687">
        <v>47.328204999999997</v>
      </c>
      <c r="AI687">
        <v>57.951219999999999</v>
      </c>
      <c r="AJ687">
        <v>100</v>
      </c>
      <c r="AK687">
        <v>4.6100000000000003</v>
      </c>
      <c r="AL687">
        <v>-0.81</v>
      </c>
      <c r="AM687">
        <v>3.86</v>
      </c>
      <c r="AN687" t="s">
        <v>125</v>
      </c>
      <c r="AO687" t="s">
        <v>125</v>
      </c>
      <c r="AP687" t="s">
        <v>125</v>
      </c>
      <c r="AQ687" t="s">
        <v>125</v>
      </c>
      <c r="AR687" t="s">
        <v>125</v>
      </c>
      <c r="AS687" t="s">
        <v>125</v>
      </c>
      <c r="AT687" t="s">
        <v>125</v>
      </c>
      <c r="AU687" t="s">
        <v>125</v>
      </c>
      <c r="AV687" t="s">
        <v>125</v>
      </c>
      <c r="AW687" t="s">
        <v>125</v>
      </c>
      <c r="AX687" t="s">
        <v>125</v>
      </c>
      <c r="AY687" t="s">
        <v>125</v>
      </c>
      <c r="AZ687" t="s">
        <v>125</v>
      </c>
      <c r="BA687" t="s">
        <v>125</v>
      </c>
      <c r="BB687">
        <v>0.59054200000000001</v>
      </c>
      <c r="BC687">
        <v>29.527087999999999</v>
      </c>
      <c r="BD687">
        <v>50</v>
      </c>
      <c r="BE687">
        <v>0.62049200000000004</v>
      </c>
      <c r="BF687">
        <v>31.024592999999999</v>
      </c>
      <c r="BG687">
        <v>50</v>
      </c>
      <c r="BH687">
        <v>0</v>
      </c>
      <c r="BI687">
        <v>0.96794899999999995</v>
      </c>
      <c r="BJ687">
        <v>0.96825399999999995</v>
      </c>
      <c r="BK687">
        <v>0.96666700000000005</v>
      </c>
      <c r="BL687">
        <v>0.96794899999999995</v>
      </c>
      <c r="BM687">
        <v>0.96825399999999995</v>
      </c>
      <c r="BN687">
        <v>0.96666700000000005</v>
      </c>
      <c r="BO687">
        <v>0.98717900000000003</v>
      </c>
      <c r="BP687">
        <v>0.98412699999999997</v>
      </c>
      <c r="BQ687">
        <v>1</v>
      </c>
      <c r="BR687">
        <v>0.20558000000000001</v>
      </c>
      <c r="BS687">
        <v>18.883994000000001</v>
      </c>
      <c r="BT687">
        <v>50</v>
      </c>
      <c r="BU687">
        <v>0.24354200000000001</v>
      </c>
      <c r="BV687">
        <v>11.291513</v>
      </c>
      <c r="BW687">
        <v>50</v>
      </c>
      <c r="BX687">
        <v>0.81927700000000003</v>
      </c>
      <c r="BY687">
        <v>50</v>
      </c>
      <c r="BZ687">
        <v>50</v>
      </c>
      <c r="CA687">
        <v>0.20180699999999999</v>
      </c>
      <c r="CB687">
        <v>13.453815000000001</v>
      </c>
      <c r="CC687">
        <v>50</v>
      </c>
      <c r="CD687">
        <v>0.97633099999999995</v>
      </c>
      <c r="CE687">
        <v>50</v>
      </c>
      <c r="CF687">
        <v>50</v>
      </c>
      <c r="CG687">
        <v>0.93877600000000005</v>
      </c>
      <c r="CH687">
        <v>99.869735000000006</v>
      </c>
      <c r="CI687">
        <v>100</v>
      </c>
      <c r="CJ687">
        <v>0</v>
      </c>
      <c r="CK687">
        <v>0.88495599999999996</v>
      </c>
      <c r="CL687">
        <v>94.144228999999996</v>
      </c>
      <c r="CM687">
        <v>100</v>
      </c>
      <c r="CN687">
        <v>0.705036</v>
      </c>
      <c r="CO687">
        <v>94.004795999999999</v>
      </c>
      <c r="CP687">
        <v>100</v>
      </c>
      <c r="CQ687">
        <v>0.73972599999999999</v>
      </c>
      <c r="CR687">
        <v>0.80219799999999997</v>
      </c>
      <c r="CS687">
        <v>24.657533999999998</v>
      </c>
      <c r="CT687">
        <v>50</v>
      </c>
      <c r="CU687">
        <v>0.17474300000000001</v>
      </c>
      <c r="CV687">
        <v>14.561919</v>
      </c>
      <c r="CW687">
        <v>50</v>
      </c>
      <c r="CX687">
        <v>0.88495599999999996</v>
      </c>
      <c r="CY687">
        <v>0.88461500000000004</v>
      </c>
      <c r="CZ687">
        <v>-3.4000000000000002E-4</v>
      </c>
      <c r="DA687">
        <v>15.314097</v>
      </c>
      <c r="DB687">
        <v>17.400950000000002</v>
      </c>
      <c r="DC687">
        <v>16.332519999999999</v>
      </c>
      <c r="DD687">
        <v>7.9891730000000001</v>
      </c>
      <c r="DE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Q687" t="s">
        <v>126</v>
      </c>
    </row>
    <row r="688" spans="1:121" x14ac:dyDescent="0.15">
      <c r="A688">
        <v>2018</v>
      </c>
      <c r="B688" t="s">
        <v>206</v>
      </c>
      <c r="C688" t="str">
        <f t="shared" si="26"/>
        <v>0930011</v>
      </c>
      <c r="D688" t="s">
        <v>844</v>
      </c>
      <c r="E688" t="str">
        <f>"0936211"</f>
        <v>0936211</v>
      </c>
      <c r="F688" t="s">
        <v>328</v>
      </c>
      <c r="G688">
        <v>9</v>
      </c>
      <c r="H688">
        <v>12</v>
      </c>
      <c r="I688" t="s">
        <v>336</v>
      </c>
      <c r="J688" t="s">
        <v>331</v>
      </c>
      <c r="K688">
        <v>792.72542499999997</v>
      </c>
      <c r="L688">
        <v>1550</v>
      </c>
      <c r="M688">
        <v>51.143576000000003</v>
      </c>
      <c r="N688">
        <v>5</v>
      </c>
      <c r="O688">
        <v>0</v>
      </c>
      <c r="P688">
        <v>36.377853999999999</v>
      </c>
      <c r="Q688">
        <v>72.755707999999998</v>
      </c>
      <c r="R688">
        <v>150</v>
      </c>
      <c r="S688">
        <v>35.270513000000001</v>
      </c>
      <c r="T688" t="s">
        <v>125</v>
      </c>
      <c r="U688">
        <v>70.541026000000002</v>
      </c>
      <c r="V688">
        <v>150</v>
      </c>
      <c r="W688">
        <v>35.126331999999998</v>
      </c>
      <c r="X688">
        <v>70.252663999999996</v>
      </c>
      <c r="Y688">
        <v>150</v>
      </c>
      <c r="Z688" t="s">
        <v>125</v>
      </c>
      <c r="AA688">
        <v>34.316239000000003</v>
      </c>
      <c r="AB688">
        <v>68.632479000000004</v>
      </c>
      <c r="AC688">
        <v>150</v>
      </c>
      <c r="AD688">
        <v>34.595829999999999</v>
      </c>
      <c r="AE688">
        <v>46.127772999999998</v>
      </c>
      <c r="AF688">
        <v>100</v>
      </c>
      <c r="AG688">
        <v>34.149611</v>
      </c>
      <c r="AH688" t="s">
        <v>125</v>
      </c>
      <c r="AI688">
        <v>45.532814000000002</v>
      </c>
      <c r="AJ688">
        <v>100</v>
      </c>
      <c r="AK688" t="s">
        <v>125</v>
      </c>
      <c r="AL688" t="s">
        <v>125</v>
      </c>
      <c r="AM688" t="s">
        <v>125</v>
      </c>
      <c r="AN688" t="s">
        <v>125</v>
      </c>
      <c r="AO688" t="s">
        <v>125</v>
      </c>
      <c r="AP688" t="s">
        <v>125</v>
      </c>
      <c r="AQ688" t="s">
        <v>125</v>
      </c>
      <c r="AR688" t="s">
        <v>125</v>
      </c>
      <c r="AS688" t="s">
        <v>125</v>
      </c>
      <c r="AT688" t="s">
        <v>125</v>
      </c>
      <c r="AU688" t="s">
        <v>125</v>
      </c>
      <c r="AV688" t="s">
        <v>125</v>
      </c>
      <c r="AW688" t="s">
        <v>125</v>
      </c>
      <c r="AX688" t="s">
        <v>125</v>
      </c>
      <c r="AY688" t="s">
        <v>125</v>
      </c>
      <c r="AZ688" t="s">
        <v>125</v>
      </c>
      <c r="BA688" t="s">
        <v>125</v>
      </c>
      <c r="BB688">
        <v>0.31077199999999999</v>
      </c>
      <c r="BC688">
        <v>15.538611</v>
      </c>
      <c r="BD688">
        <v>50</v>
      </c>
      <c r="BE688">
        <v>0.38892700000000002</v>
      </c>
      <c r="BF688">
        <v>19.446339999999999</v>
      </c>
      <c r="BG688">
        <v>50</v>
      </c>
      <c r="BH688">
        <v>1</v>
      </c>
      <c r="BI688">
        <v>0.85555599999999998</v>
      </c>
      <c r="BJ688">
        <v>0.86624199999999996</v>
      </c>
      <c r="BK688">
        <v>0.782609</v>
      </c>
      <c r="BL688">
        <v>0.85555599999999998</v>
      </c>
      <c r="BM688">
        <v>0.86624199999999996</v>
      </c>
      <c r="BN688">
        <v>0.782609</v>
      </c>
      <c r="BO688">
        <v>0.93888899999999997</v>
      </c>
      <c r="BP688">
        <v>0.95541399999999999</v>
      </c>
      <c r="BQ688">
        <v>0.82608700000000002</v>
      </c>
      <c r="BR688">
        <v>0.28883999999999999</v>
      </c>
      <c r="BS688">
        <v>2.2319469999999999</v>
      </c>
      <c r="BT688">
        <v>50</v>
      </c>
      <c r="BU688">
        <v>0.30946299999999999</v>
      </c>
      <c r="BV688">
        <v>0</v>
      </c>
      <c r="BW688">
        <v>50</v>
      </c>
      <c r="BX688">
        <v>0.50558700000000001</v>
      </c>
      <c r="BY688">
        <v>33.705773000000001</v>
      </c>
      <c r="BZ688">
        <v>50</v>
      </c>
      <c r="CA688">
        <v>6.4245999999999998E-2</v>
      </c>
      <c r="CB688">
        <v>4.2830539999999999</v>
      </c>
      <c r="CC688">
        <v>50</v>
      </c>
      <c r="CD688">
        <v>0.67346899999999998</v>
      </c>
      <c r="CE688">
        <v>35.822839999999999</v>
      </c>
      <c r="CF688">
        <v>50</v>
      </c>
      <c r="CG688">
        <v>0.67938900000000002</v>
      </c>
      <c r="CH688">
        <v>72.275458999999998</v>
      </c>
      <c r="CI688">
        <v>100</v>
      </c>
      <c r="CJ688">
        <v>0</v>
      </c>
      <c r="CK688">
        <v>0.84016400000000002</v>
      </c>
      <c r="CL688">
        <v>89.379142000000002</v>
      </c>
      <c r="CM688">
        <v>100</v>
      </c>
      <c r="CN688">
        <v>0.45549699999999999</v>
      </c>
      <c r="CO688">
        <v>60.732984000000002</v>
      </c>
      <c r="CP688">
        <v>100</v>
      </c>
      <c r="CQ688">
        <v>0.75503399999999998</v>
      </c>
      <c r="CR688">
        <v>1.3607309999999999</v>
      </c>
      <c r="CS688">
        <v>50</v>
      </c>
      <c r="CT688">
        <v>50</v>
      </c>
      <c r="CU688">
        <v>0.42560199999999998</v>
      </c>
      <c r="CV688">
        <v>35.466813000000002</v>
      </c>
      <c r="CW688">
        <v>50</v>
      </c>
      <c r="CX688">
        <v>0.84016400000000002</v>
      </c>
      <c r="CY688">
        <v>0.8</v>
      </c>
      <c r="CZ688">
        <v>-4.0163999999999998E-2</v>
      </c>
      <c r="DA688">
        <v>15.314097</v>
      </c>
      <c r="DB688">
        <v>17.400950000000002</v>
      </c>
      <c r="DC688">
        <v>16.332519999999999</v>
      </c>
      <c r="DD688">
        <v>7.9891730000000001</v>
      </c>
      <c r="DE688">
        <v>1</v>
      </c>
      <c r="DF688" t="s">
        <v>385</v>
      </c>
      <c r="DG688" t="s">
        <v>386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Q688" t="s">
        <v>126</v>
      </c>
    </row>
    <row r="689" spans="1:121" x14ac:dyDescent="0.15">
      <c r="A689">
        <v>2018</v>
      </c>
      <c r="B689" t="s">
        <v>206</v>
      </c>
      <c r="C689" t="str">
        <f t="shared" si="26"/>
        <v>0930011</v>
      </c>
      <c r="D689" t="s">
        <v>845</v>
      </c>
      <c r="E689" t="str">
        <f>"0931311"</f>
        <v>0931311</v>
      </c>
      <c r="F689" t="s">
        <v>328</v>
      </c>
      <c r="G689" t="s">
        <v>329</v>
      </c>
      <c r="H689">
        <v>8</v>
      </c>
      <c r="J689" t="s">
        <v>331</v>
      </c>
      <c r="K689">
        <v>627.19080099999996</v>
      </c>
      <c r="L689">
        <v>1000</v>
      </c>
      <c r="M689">
        <v>62.719079999999998</v>
      </c>
      <c r="N689">
        <v>3</v>
      </c>
      <c r="O689">
        <v>1</v>
      </c>
      <c r="P689">
        <v>61.647446000000002</v>
      </c>
      <c r="Q689">
        <v>41.098297000000002</v>
      </c>
      <c r="R689">
        <v>50</v>
      </c>
      <c r="S689">
        <v>57.474550000000001</v>
      </c>
      <c r="T689">
        <v>75</v>
      </c>
      <c r="U689">
        <v>38.316366000000002</v>
      </c>
      <c r="V689">
        <v>50</v>
      </c>
      <c r="W689">
        <v>49.381670999999997</v>
      </c>
      <c r="X689">
        <v>32.921114000000003</v>
      </c>
      <c r="Y689">
        <v>50</v>
      </c>
      <c r="Z689">
        <v>62.782375999999999</v>
      </c>
      <c r="AA689">
        <v>45.494886000000001</v>
      </c>
      <c r="AB689">
        <v>30.329923999999998</v>
      </c>
      <c r="AC689">
        <v>50</v>
      </c>
      <c r="AD689">
        <v>53.222062999999999</v>
      </c>
      <c r="AE689">
        <v>35.481375999999997</v>
      </c>
      <c r="AF689">
        <v>50</v>
      </c>
      <c r="AG689">
        <v>51.750998000000003</v>
      </c>
      <c r="AH689" t="s">
        <v>125</v>
      </c>
      <c r="AI689">
        <v>34.500664999999998</v>
      </c>
      <c r="AJ689">
        <v>50</v>
      </c>
      <c r="AK689">
        <v>17.52</v>
      </c>
      <c r="AL689">
        <v>17.28</v>
      </c>
      <c r="AM689" t="s">
        <v>125</v>
      </c>
      <c r="AN689">
        <v>0.65324000000000004</v>
      </c>
      <c r="AO689">
        <v>65.323986000000005</v>
      </c>
      <c r="AP689">
        <v>100</v>
      </c>
      <c r="AQ689">
        <v>0.42854999999999999</v>
      </c>
      <c r="AR689">
        <v>42.854987999999999</v>
      </c>
      <c r="AS689">
        <v>100</v>
      </c>
      <c r="AT689">
        <v>0.62689799999999996</v>
      </c>
      <c r="AU689">
        <v>0.74088799999999999</v>
      </c>
      <c r="AV689">
        <v>62.689754999999998</v>
      </c>
      <c r="AW689">
        <v>100</v>
      </c>
      <c r="AX689">
        <v>0.41491499999999998</v>
      </c>
      <c r="AY689">
        <v>0.47391800000000001</v>
      </c>
      <c r="AZ689">
        <v>41.491453999999997</v>
      </c>
      <c r="BA689">
        <v>100</v>
      </c>
      <c r="BB689">
        <v>0.64729400000000004</v>
      </c>
      <c r="BC689">
        <v>32.364685999999999</v>
      </c>
      <c r="BD689">
        <v>50</v>
      </c>
      <c r="BE689">
        <v>0.43631999999999999</v>
      </c>
      <c r="BF689">
        <v>21.816019000000001</v>
      </c>
      <c r="BG689">
        <v>50</v>
      </c>
      <c r="BH689">
        <v>0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 t="s">
        <v>125</v>
      </c>
      <c r="BR689">
        <v>0.112613</v>
      </c>
      <c r="BS689">
        <v>37.477477</v>
      </c>
      <c r="BT689">
        <v>50</v>
      </c>
      <c r="BU689">
        <v>0.126888</v>
      </c>
      <c r="BV689">
        <v>34.622356000000003</v>
      </c>
      <c r="BW689">
        <v>50</v>
      </c>
      <c r="BX689" t="s">
        <v>125</v>
      </c>
      <c r="BY689" t="s">
        <v>125</v>
      </c>
      <c r="BZ689" t="s">
        <v>125</v>
      </c>
      <c r="CA689" t="s">
        <v>125</v>
      </c>
      <c r="CB689" t="s">
        <v>125</v>
      </c>
      <c r="CC689" t="s">
        <v>125</v>
      </c>
      <c r="CD689">
        <v>0.97619</v>
      </c>
      <c r="CE689">
        <v>50</v>
      </c>
      <c r="CF689">
        <v>50</v>
      </c>
      <c r="CG689" t="s">
        <v>125</v>
      </c>
      <c r="CH689" t="s">
        <v>125</v>
      </c>
      <c r="CI689" t="s">
        <v>125</v>
      </c>
      <c r="CJ689" t="s">
        <v>125</v>
      </c>
      <c r="CK689" t="s">
        <v>125</v>
      </c>
      <c r="CL689" t="s">
        <v>125</v>
      </c>
      <c r="CM689" t="s">
        <v>125</v>
      </c>
      <c r="CN689" t="s">
        <v>125</v>
      </c>
      <c r="CO689" t="s">
        <v>125</v>
      </c>
      <c r="CP689" t="s">
        <v>125</v>
      </c>
      <c r="CQ689">
        <v>0.38853500000000002</v>
      </c>
      <c r="CR689">
        <v>1</v>
      </c>
      <c r="CS689">
        <v>25.902335000000001</v>
      </c>
      <c r="CT689">
        <v>50</v>
      </c>
      <c r="CU689" t="s">
        <v>125</v>
      </c>
      <c r="CV689" t="s">
        <v>125</v>
      </c>
      <c r="CW689" t="s">
        <v>125</v>
      </c>
      <c r="CX689" t="s">
        <v>125</v>
      </c>
      <c r="CY689" t="s">
        <v>125</v>
      </c>
      <c r="CZ689" t="s">
        <v>125</v>
      </c>
      <c r="DA689">
        <v>15.314097</v>
      </c>
      <c r="DB689">
        <v>17.400950000000002</v>
      </c>
      <c r="DC689">
        <v>16.332519999999999</v>
      </c>
      <c r="DD689" t="s">
        <v>125</v>
      </c>
      <c r="DE689">
        <v>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Q689" t="s">
        <v>126</v>
      </c>
    </row>
    <row r="690" spans="1:121" x14ac:dyDescent="0.15">
      <c r="A690">
        <v>2018</v>
      </c>
      <c r="B690" t="s">
        <v>206</v>
      </c>
      <c r="C690" t="str">
        <f t="shared" si="26"/>
        <v>0930011</v>
      </c>
      <c r="D690" t="s">
        <v>846</v>
      </c>
      <c r="E690" t="str">
        <f>"0930811"</f>
        <v>0930811</v>
      </c>
      <c r="F690" t="s">
        <v>328</v>
      </c>
      <c r="G690" t="s">
        <v>329</v>
      </c>
      <c r="H690">
        <v>8</v>
      </c>
      <c r="I690" t="s">
        <v>336</v>
      </c>
      <c r="J690" t="s">
        <v>331</v>
      </c>
      <c r="K690">
        <v>699.069838</v>
      </c>
      <c r="L690">
        <v>1000</v>
      </c>
      <c r="M690">
        <v>69.906983999999994</v>
      </c>
      <c r="N690">
        <v>3</v>
      </c>
      <c r="O690">
        <v>0</v>
      </c>
      <c r="P690">
        <v>60.134036000000002</v>
      </c>
      <c r="Q690">
        <v>40.089357</v>
      </c>
      <c r="R690">
        <v>50</v>
      </c>
      <c r="S690">
        <v>59.849882999999998</v>
      </c>
      <c r="T690" t="s">
        <v>125</v>
      </c>
      <c r="U690">
        <v>39.899921999999997</v>
      </c>
      <c r="V690">
        <v>50</v>
      </c>
      <c r="W690">
        <v>56.578259000000003</v>
      </c>
      <c r="X690">
        <v>37.718839000000003</v>
      </c>
      <c r="Y690">
        <v>50</v>
      </c>
      <c r="Z690" t="s">
        <v>125</v>
      </c>
      <c r="AA690">
        <v>56.3187</v>
      </c>
      <c r="AB690">
        <v>37.5458</v>
      </c>
      <c r="AC690">
        <v>50</v>
      </c>
      <c r="AD690">
        <v>59.781664999999997</v>
      </c>
      <c r="AE690">
        <v>39.854443000000003</v>
      </c>
      <c r="AF690">
        <v>50</v>
      </c>
      <c r="AG690">
        <v>60.051746000000001</v>
      </c>
      <c r="AH690" t="s">
        <v>125</v>
      </c>
      <c r="AI690">
        <v>40.034497000000002</v>
      </c>
      <c r="AJ690">
        <v>50</v>
      </c>
      <c r="AK690" t="s">
        <v>125</v>
      </c>
      <c r="AL690" t="s">
        <v>125</v>
      </c>
      <c r="AM690" t="s">
        <v>125</v>
      </c>
      <c r="AN690">
        <v>0.56483799999999995</v>
      </c>
      <c r="AO690">
        <v>56.483823999999998</v>
      </c>
      <c r="AP690">
        <v>100</v>
      </c>
      <c r="AQ690">
        <v>0.70906100000000005</v>
      </c>
      <c r="AR690">
        <v>70.906084000000007</v>
      </c>
      <c r="AS690">
        <v>100</v>
      </c>
      <c r="AT690">
        <v>0.56420899999999996</v>
      </c>
      <c r="AU690" t="s">
        <v>125</v>
      </c>
      <c r="AV690">
        <v>56.420858000000003</v>
      </c>
      <c r="AW690">
        <v>100</v>
      </c>
      <c r="AX690">
        <v>0.71133500000000005</v>
      </c>
      <c r="AY690" t="s">
        <v>125</v>
      </c>
      <c r="AZ690">
        <v>71.133536000000007</v>
      </c>
      <c r="BA690">
        <v>100</v>
      </c>
      <c r="BB690">
        <v>0.56872299999999998</v>
      </c>
      <c r="BC690">
        <v>28.436146000000001</v>
      </c>
      <c r="BD690">
        <v>50</v>
      </c>
      <c r="BE690">
        <v>0.50261900000000004</v>
      </c>
      <c r="BF690">
        <v>25.130966000000001</v>
      </c>
      <c r="BG690">
        <v>50</v>
      </c>
      <c r="BH690">
        <v>0</v>
      </c>
      <c r="BI690">
        <v>1</v>
      </c>
      <c r="BJ690">
        <v>1</v>
      </c>
      <c r="BK690" t="s">
        <v>125</v>
      </c>
      <c r="BL690">
        <v>1</v>
      </c>
      <c r="BM690">
        <v>1</v>
      </c>
      <c r="BN690" t="s">
        <v>125</v>
      </c>
      <c r="BO690">
        <v>1</v>
      </c>
      <c r="BP690">
        <v>1</v>
      </c>
      <c r="BQ690" t="s">
        <v>125</v>
      </c>
      <c r="BR690">
        <v>0.115854</v>
      </c>
      <c r="BS690">
        <v>36.829267999999999</v>
      </c>
      <c r="BT690">
        <v>50</v>
      </c>
      <c r="BU690">
        <v>0.112554</v>
      </c>
      <c r="BV690">
        <v>37.489176999999998</v>
      </c>
      <c r="BW690">
        <v>50</v>
      </c>
      <c r="BX690" t="s">
        <v>125</v>
      </c>
      <c r="BY690" t="s">
        <v>125</v>
      </c>
      <c r="BZ690" t="s">
        <v>125</v>
      </c>
      <c r="CA690" t="s">
        <v>125</v>
      </c>
      <c r="CB690" t="s">
        <v>125</v>
      </c>
      <c r="CC690" t="s">
        <v>125</v>
      </c>
      <c r="CD690">
        <v>0.89795899999999995</v>
      </c>
      <c r="CE690">
        <v>47.763786000000003</v>
      </c>
      <c r="CF690">
        <v>50</v>
      </c>
      <c r="CG690" t="s">
        <v>125</v>
      </c>
      <c r="CH690" t="s">
        <v>125</v>
      </c>
      <c r="CI690" t="s">
        <v>125</v>
      </c>
      <c r="CJ690" t="s">
        <v>125</v>
      </c>
      <c r="CK690" t="s">
        <v>125</v>
      </c>
      <c r="CL690" t="s">
        <v>125</v>
      </c>
      <c r="CM690" t="s">
        <v>125</v>
      </c>
      <c r="CN690" t="s">
        <v>125</v>
      </c>
      <c r="CO690" t="s">
        <v>125</v>
      </c>
      <c r="CP690" t="s">
        <v>125</v>
      </c>
      <c r="CQ690">
        <v>0.5</v>
      </c>
      <c r="CR690">
        <v>1.006211</v>
      </c>
      <c r="CS690">
        <v>33.333333000000003</v>
      </c>
      <c r="CT690">
        <v>50</v>
      </c>
      <c r="CU690" t="s">
        <v>125</v>
      </c>
      <c r="CV690" t="s">
        <v>125</v>
      </c>
      <c r="CW690" t="s">
        <v>125</v>
      </c>
      <c r="CX690" t="s">
        <v>125</v>
      </c>
      <c r="CY690" t="s">
        <v>125</v>
      </c>
      <c r="CZ690" t="s">
        <v>125</v>
      </c>
      <c r="DA690">
        <v>15.314097</v>
      </c>
      <c r="DB690">
        <v>17.400950000000002</v>
      </c>
      <c r="DC690">
        <v>16.332519999999999</v>
      </c>
      <c r="DD690" t="s">
        <v>125</v>
      </c>
      <c r="DE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Q690" t="s">
        <v>126</v>
      </c>
    </row>
    <row r="691" spans="1:121" x14ac:dyDescent="0.15">
      <c r="A691">
        <v>2018</v>
      </c>
      <c r="B691" t="s">
        <v>206</v>
      </c>
      <c r="C691" t="str">
        <f t="shared" si="26"/>
        <v>0930011</v>
      </c>
      <c r="D691" t="s">
        <v>847</v>
      </c>
      <c r="E691" t="str">
        <f>"0933011"</f>
        <v>0933011</v>
      </c>
      <c r="F691" t="s">
        <v>328</v>
      </c>
      <c r="G691" t="s">
        <v>329</v>
      </c>
      <c r="H691">
        <v>8</v>
      </c>
      <c r="I691" t="s">
        <v>336</v>
      </c>
      <c r="J691" t="s">
        <v>331</v>
      </c>
      <c r="K691">
        <v>545.55319999999995</v>
      </c>
      <c r="L691">
        <v>900</v>
      </c>
      <c r="M691">
        <v>60.617021999999999</v>
      </c>
      <c r="N691">
        <v>3</v>
      </c>
      <c r="O691">
        <v>0</v>
      </c>
      <c r="P691">
        <v>57.160007999999998</v>
      </c>
      <c r="Q691">
        <v>38.106672000000003</v>
      </c>
      <c r="R691">
        <v>50</v>
      </c>
      <c r="S691">
        <v>55.627724000000001</v>
      </c>
      <c r="T691">
        <v>64.416672000000005</v>
      </c>
      <c r="U691">
        <v>37.085149999999999</v>
      </c>
      <c r="V691">
        <v>50</v>
      </c>
      <c r="W691">
        <v>48.586345999999999</v>
      </c>
      <c r="X691">
        <v>32.390898</v>
      </c>
      <c r="Y691">
        <v>50</v>
      </c>
      <c r="Z691">
        <v>55.917681999999999</v>
      </c>
      <c r="AA691">
        <v>47.038294999999998</v>
      </c>
      <c r="AB691">
        <v>31.358864000000001</v>
      </c>
      <c r="AC691">
        <v>50</v>
      </c>
      <c r="AD691">
        <v>52.380633000000003</v>
      </c>
      <c r="AE691">
        <v>34.920422000000002</v>
      </c>
      <c r="AF691">
        <v>50</v>
      </c>
      <c r="AG691">
        <v>50.810147000000001</v>
      </c>
      <c r="AH691" t="s">
        <v>125</v>
      </c>
      <c r="AI691">
        <v>33.873430999999997</v>
      </c>
      <c r="AJ691">
        <v>50</v>
      </c>
      <c r="AK691">
        <v>8.7799999999999994</v>
      </c>
      <c r="AL691">
        <v>8.8699999999999992</v>
      </c>
      <c r="AM691" t="s">
        <v>125</v>
      </c>
      <c r="AN691">
        <v>0.6341</v>
      </c>
      <c r="AO691">
        <v>63.409950000000002</v>
      </c>
      <c r="AP691">
        <v>100</v>
      </c>
      <c r="AQ691">
        <v>0.59018999999999999</v>
      </c>
      <c r="AR691">
        <v>59.019011999999996</v>
      </c>
      <c r="AS691">
        <v>100</v>
      </c>
      <c r="AT691">
        <v>0.62303500000000001</v>
      </c>
      <c r="AU691">
        <v>0.68967699999999998</v>
      </c>
      <c r="AV691">
        <v>62.303539999999998</v>
      </c>
      <c r="AW691">
        <v>100</v>
      </c>
      <c r="AX691">
        <v>0.56068700000000005</v>
      </c>
      <c r="AY691">
        <v>0.73839200000000005</v>
      </c>
      <c r="AZ691">
        <v>56.068689999999997</v>
      </c>
      <c r="BA691">
        <v>100</v>
      </c>
      <c r="BB691" t="s">
        <v>125</v>
      </c>
      <c r="BC691" t="s">
        <v>125</v>
      </c>
      <c r="BD691" t="s">
        <v>125</v>
      </c>
      <c r="BE691" t="s">
        <v>125</v>
      </c>
      <c r="BF691" t="s">
        <v>125</v>
      </c>
      <c r="BG691" t="s">
        <v>125</v>
      </c>
      <c r="BH691">
        <v>0</v>
      </c>
      <c r="BI691">
        <v>0.99676399999999998</v>
      </c>
      <c r="BJ691">
        <v>1</v>
      </c>
      <c r="BK691">
        <v>0.98148100000000005</v>
      </c>
      <c r="BL691">
        <v>0.99676399999999998</v>
      </c>
      <c r="BM691">
        <v>1</v>
      </c>
      <c r="BN691">
        <v>0.98148100000000005</v>
      </c>
      <c r="BO691">
        <v>0.99019599999999997</v>
      </c>
      <c r="BP691">
        <v>0.98837200000000003</v>
      </c>
      <c r="BQ691" t="s">
        <v>125</v>
      </c>
      <c r="BR691">
        <v>0.18385699999999999</v>
      </c>
      <c r="BS691">
        <v>23.2287</v>
      </c>
      <c r="BT691">
        <v>50</v>
      </c>
      <c r="BU691">
        <v>0.18518499999999999</v>
      </c>
      <c r="BV691">
        <v>22.962962999999998</v>
      </c>
      <c r="BW691">
        <v>50</v>
      </c>
      <c r="BX691" t="s">
        <v>125</v>
      </c>
      <c r="BY691" t="s">
        <v>125</v>
      </c>
      <c r="BZ691" t="s">
        <v>125</v>
      </c>
      <c r="CA691" t="s">
        <v>125</v>
      </c>
      <c r="CB691" t="s">
        <v>125</v>
      </c>
      <c r="CC691" t="s">
        <v>125</v>
      </c>
      <c r="CD691">
        <v>0.85106400000000004</v>
      </c>
      <c r="CE691">
        <v>45.269353000000002</v>
      </c>
      <c r="CF691">
        <v>50</v>
      </c>
      <c r="CG691" t="s">
        <v>125</v>
      </c>
      <c r="CH691" t="s">
        <v>125</v>
      </c>
      <c r="CI691" t="s">
        <v>125</v>
      </c>
      <c r="CJ691" t="s">
        <v>125</v>
      </c>
      <c r="CK691" t="s">
        <v>125</v>
      </c>
      <c r="CL691" t="s">
        <v>125</v>
      </c>
      <c r="CM691" t="s">
        <v>125</v>
      </c>
      <c r="CN691" t="s">
        <v>125</v>
      </c>
      <c r="CO691" t="s">
        <v>125</v>
      </c>
      <c r="CP691" t="s">
        <v>125</v>
      </c>
      <c r="CQ691">
        <v>0.16666700000000001</v>
      </c>
      <c r="CR691">
        <v>0.85714299999999999</v>
      </c>
      <c r="CS691">
        <v>5.5555560000000002</v>
      </c>
      <c r="CT691">
        <v>50</v>
      </c>
      <c r="CU691" t="s">
        <v>125</v>
      </c>
      <c r="CV691" t="s">
        <v>125</v>
      </c>
      <c r="CW691" t="s">
        <v>125</v>
      </c>
      <c r="CX691" t="s">
        <v>125</v>
      </c>
      <c r="CY691" t="s">
        <v>125</v>
      </c>
      <c r="CZ691" t="s">
        <v>125</v>
      </c>
      <c r="DA691">
        <v>15.314097</v>
      </c>
      <c r="DB691">
        <v>17.400950000000002</v>
      </c>
      <c r="DC691">
        <v>16.332519999999999</v>
      </c>
      <c r="DD691" t="s">
        <v>125</v>
      </c>
      <c r="DE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Q691" t="s">
        <v>126</v>
      </c>
    </row>
    <row r="692" spans="1:121" x14ac:dyDescent="0.15">
      <c r="A692">
        <v>2018</v>
      </c>
      <c r="B692" t="s">
        <v>206</v>
      </c>
      <c r="C692" t="str">
        <f t="shared" si="26"/>
        <v>0930011</v>
      </c>
      <c r="D692" t="s">
        <v>848</v>
      </c>
      <c r="E692" t="str">
        <f>"0932011"</f>
        <v>0932011</v>
      </c>
      <c r="F692" t="s">
        <v>328</v>
      </c>
      <c r="G692" t="s">
        <v>329</v>
      </c>
      <c r="H692">
        <v>6</v>
      </c>
      <c r="I692" t="s">
        <v>336</v>
      </c>
      <c r="J692" t="s">
        <v>331</v>
      </c>
      <c r="K692">
        <v>471.86170600000003</v>
      </c>
      <c r="L692">
        <v>850</v>
      </c>
      <c r="M692">
        <v>55.513142000000002</v>
      </c>
      <c r="N692">
        <v>3</v>
      </c>
      <c r="O692">
        <v>0</v>
      </c>
      <c r="P692">
        <v>47.482562000000001</v>
      </c>
      <c r="Q692">
        <v>31.655041000000001</v>
      </c>
      <c r="R692">
        <v>50</v>
      </c>
      <c r="S692">
        <v>46.829518999999998</v>
      </c>
      <c r="T692" t="s">
        <v>125</v>
      </c>
      <c r="U692">
        <v>31.219678999999999</v>
      </c>
      <c r="V692">
        <v>50</v>
      </c>
      <c r="W692">
        <v>43.241951</v>
      </c>
      <c r="X692">
        <v>28.827967000000001</v>
      </c>
      <c r="Y692">
        <v>50</v>
      </c>
      <c r="Z692" t="s">
        <v>125</v>
      </c>
      <c r="AA692">
        <v>42.431429999999999</v>
      </c>
      <c r="AB692">
        <v>28.28762</v>
      </c>
      <c r="AC692">
        <v>50</v>
      </c>
      <c r="AD692">
        <v>50.189047000000002</v>
      </c>
      <c r="AE692">
        <v>33.459364999999998</v>
      </c>
      <c r="AF692">
        <v>50</v>
      </c>
      <c r="AG692">
        <v>50.387096999999997</v>
      </c>
      <c r="AH692" t="s">
        <v>125</v>
      </c>
      <c r="AI692">
        <v>33.591397999999998</v>
      </c>
      <c r="AJ692">
        <v>50</v>
      </c>
      <c r="AK692" t="s">
        <v>125</v>
      </c>
      <c r="AL692" t="s">
        <v>125</v>
      </c>
      <c r="AM692" t="s">
        <v>125</v>
      </c>
      <c r="AN692">
        <v>0.45144200000000001</v>
      </c>
      <c r="AO692">
        <v>45.144176999999999</v>
      </c>
      <c r="AP692">
        <v>100</v>
      </c>
      <c r="AQ692">
        <v>0.50335200000000002</v>
      </c>
      <c r="AR692">
        <v>50.335237999999997</v>
      </c>
      <c r="AS692">
        <v>100</v>
      </c>
      <c r="AT692">
        <v>0.445413</v>
      </c>
      <c r="AU692" t="s">
        <v>125</v>
      </c>
      <c r="AV692">
        <v>44.541285999999999</v>
      </c>
      <c r="AW692">
        <v>100</v>
      </c>
      <c r="AX692">
        <v>0.49962200000000001</v>
      </c>
      <c r="AY692" t="s">
        <v>125</v>
      </c>
      <c r="AZ692">
        <v>49.962201999999998</v>
      </c>
      <c r="BA692">
        <v>100</v>
      </c>
      <c r="BB692" t="s">
        <v>125</v>
      </c>
      <c r="BC692" t="s">
        <v>125</v>
      </c>
      <c r="BD692" t="s">
        <v>125</v>
      </c>
      <c r="BE692" t="s">
        <v>125</v>
      </c>
      <c r="BF692" t="s">
        <v>125</v>
      </c>
      <c r="BG692" t="s">
        <v>125</v>
      </c>
      <c r="BH692">
        <v>0</v>
      </c>
      <c r="BI692">
        <v>1</v>
      </c>
      <c r="BJ692">
        <v>1</v>
      </c>
      <c r="BK692" t="s">
        <v>125</v>
      </c>
      <c r="BL692">
        <v>1</v>
      </c>
      <c r="BM692">
        <v>1</v>
      </c>
      <c r="BN692" t="s">
        <v>125</v>
      </c>
      <c r="BO692">
        <v>1</v>
      </c>
      <c r="BP692">
        <v>1</v>
      </c>
      <c r="BQ692" t="s">
        <v>125</v>
      </c>
      <c r="BR692">
        <v>0.117647</v>
      </c>
      <c r="BS692">
        <v>36.470587999999999</v>
      </c>
      <c r="BT692">
        <v>50</v>
      </c>
      <c r="BU692">
        <v>0.12056699999999999</v>
      </c>
      <c r="BV692">
        <v>35.886524999999999</v>
      </c>
      <c r="BW692">
        <v>50</v>
      </c>
      <c r="BX692" t="s">
        <v>125</v>
      </c>
      <c r="BY692" t="s">
        <v>125</v>
      </c>
      <c r="BZ692" t="s">
        <v>125</v>
      </c>
      <c r="CA692" t="s">
        <v>125</v>
      </c>
      <c r="CB692" t="s">
        <v>125</v>
      </c>
      <c r="CC692" t="s">
        <v>125</v>
      </c>
      <c r="CD692" t="s">
        <v>125</v>
      </c>
      <c r="CE692" t="s">
        <v>125</v>
      </c>
      <c r="CF692" t="s">
        <v>125</v>
      </c>
      <c r="CG692" t="s">
        <v>125</v>
      </c>
      <c r="CH692" t="s">
        <v>125</v>
      </c>
      <c r="CI692" t="s">
        <v>125</v>
      </c>
      <c r="CJ692" t="s">
        <v>125</v>
      </c>
      <c r="CK692" t="s">
        <v>125</v>
      </c>
      <c r="CL692" t="s">
        <v>125</v>
      </c>
      <c r="CM692" t="s">
        <v>125</v>
      </c>
      <c r="CN692" t="s">
        <v>125</v>
      </c>
      <c r="CO692" t="s">
        <v>125</v>
      </c>
      <c r="CP692" t="s">
        <v>125</v>
      </c>
      <c r="CQ692">
        <v>0.33720899999999998</v>
      </c>
      <c r="CR692">
        <v>0.97727299999999995</v>
      </c>
      <c r="CS692">
        <v>22.480619999999998</v>
      </c>
      <c r="CT692">
        <v>50</v>
      </c>
      <c r="CU692" t="s">
        <v>125</v>
      </c>
      <c r="CV692" t="s">
        <v>125</v>
      </c>
      <c r="CW692" t="s">
        <v>125</v>
      </c>
      <c r="CX692" t="s">
        <v>125</v>
      </c>
      <c r="CY692" t="s">
        <v>125</v>
      </c>
      <c r="CZ692" t="s">
        <v>125</v>
      </c>
      <c r="DA692">
        <v>15.314097</v>
      </c>
      <c r="DB692">
        <v>17.400950000000002</v>
      </c>
      <c r="DC692">
        <v>16.332519999999999</v>
      </c>
      <c r="DD692" t="s">
        <v>125</v>
      </c>
      <c r="DE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Q692" t="s">
        <v>126</v>
      </c>
    </row>
    <row r="693" spans="1:121" x14ac:dyDescent="0.15">
      <c r="A693">
        <v>2018</v>
      </c>
      <c r="B693" t="s">
        <v>206</v>
      </c>
      <c r="C693" t="str">
        <f t="shared" si="26"/>
        <v>0930011</v>
      </c>
      <c r="D693" t="s">
        <v>849</v>
      </c>
      <c r="E693" t="str">
        <f>"0931911"</f>
        <v>0931911</v>
      </c>
      <c r="F693" t="s">
        <v>328</v>
      </c>
      <c r="G693" t="s">
        <v>329</v>
      </c>
      <c r="H693">
        <v>8</v>
      </c>
      <c r="J693" t="s">
        <v>331</v>
      </c>
      <c r="K693">
        <v>701.31907799999999</v>
      </c>
      <c r="L693">
        <v>1000</v>
      </c>
      <c r="M693">
        <v>70.131907999999996</v>
      </c>
      <c r="N693">
        <v>2</v>
      </c>
      <c r="O693">
        <v>0</v>
      </c>
      <c r="P693">
        <v>67.956729999999993</v>
      </c>
      <c r="Q693">
        <v>45.304487000000002</v>
      </c>
      <c r="R693">
        <v>50</v>
      </c>
      <c r="S693">
        <v>64.794455999999997</v>
      </c>
      <c r="T693">
        <v>75</v>
      </c>
      <c r="U693">
        <v>43.196303999999998</v>
      </c>
      <c r="V693">
        <v>50</v>
      </c>
      <c r="W693">
        <v>64.910926000000003</v>
      </c>
      <c r="X693">
        <v>43.273950999999997</v>
      </c>
      <c r="Y693">
        <v>50</v>
      </c>
      <c r="Z693">
        <v>74.801991999999998</v>
      </c>
      <c r="AA693">
        <v>61.767254000000001</v>
      </c>
      <c r="AB693">
        <v>41.178168999999997</v>
      </c>
      <c r="AC693">
        <v>50</v>
      </c>
      <c r="AD693">
        <v>65.175453000000005</v>
      </c>
      <c r="AE693">
        <v>43.450302000000001</v>
      </c>
      <c r="AF693">
        <v>50</v>
      </c>
      <c r="AG693">
        <v>60.836789000000003</v>
      </c>
      <c r="AH693">
        <v>75</v>
      </c>
      <c r="AI693">
        <v>40.557859999999998</v>
      </c>
      <c r="AJ693">
        <v>50</v>
      </c>
      <c r="AK693">
        <v>10.199999999999999</v>
      </c>
      <c r="AL693">
        <v>13.03</v>
      </c>
      <c r="AM693">
        <v>14.16</v>
      </c>
      <c r="AN693">
        <v>0.57489299999999999</v>
      </c>
      <c r="AO693">
        <v>57.489288000000002</v>
      </c>
      <c r="AP693">
        <v>100</v>
      </c>
      <c r="AQ693">
        <v>0.58229200000000003</v>
      </c>
      <c r="AR693">
        <v>58.229162000000002</v>
      </c>
      <c r="AS693">
        <v>100</v>
      </c>
      <c r="AT693">
        <v>0.55941399999999997</v>
      </c>
      <c r="AU693">
        <v>0.62046900000000005</v>
      </c>
      <c r="AV693">
        <v>55.941423999999998</v>
      </c>
      <c r="AW693">
        <v>100</v>
      </c>
      <c r="AX693">
        <v>0.56455</v>
      </c>
      <c r="AY693">
        <v>0.63453199999999998</v>
      </c>
      <c r="AZ693">
        <v>56.45496</v>
      </c>
      <c r="BA693">
        <v>100</v>
      </c>
      <c r="BB693">
        <v>0.619309</v>
      </c>
      <c r="BC693">
        <v>30.965461999999999</v>
      </c>
      <c r="BD693">
        <v>50</v>
      </c>
      <c r="BE693">
        <v>0.47525000000000001</v>
      </c>
      <c r="BF693">
        <v>23.762506999999999</v>
      </c>
      <c r="BG693">
        <v>50</v>
      </c>
      <c r="BH693">
        <v>0</v>
      </c>
      <c r="BI693">
        <v>1</v>
      </c>
      <c r="BJ693">
        <v>1</v>
      </c>
      <c r="BK693">
        <v>1</v>
      </c>
      <c r="BL693">
        <v>0.99425300000000005</v>
      </c>
      <c r="BM693">
        <v>0.99236599999999997</v>
      </c>
      <c r="BN693">
        <v>1</v>
      </c>
      <c r="BO693">
        <v>0.99187000000000003</v>
      </c>
      <c r="BP693">
        <v>0.98888900000000002</v>
      </c>
      <c r="BQ693">
        <v>1</v>
      </c>
      <c r="BR693">
        <v>9.5335000000000003E-2</v>
      </c>
      <c r="BS693">
        <v>40.933062999999997</v>
      </c>
      <c r="BT693">
        <v>50</v>
      </c>
      <c r="BU693">
        <v>0.112299</v>
      </c>
      <c r="BV693">
        <v>37.540106999999999</v>
      </c>
      <c r="BW693">
        <v>50</v>
      </c>
      <c r="BX693" t="s">
        <v>125</v>
      </c>
      <c r="BY693" t="s">
        <v>125</v>
      </c>
      <c r="BZ693" t="s">
        <v>125</v>
      </c>
      <c r="CA693" t="s">
        <v>125</v>
      </c>
      <c r="CB693" t="s">
        <v>125</v>
      </c>
      <c r="CC693" t="s">
        <v>125</v>
      </c>
      <c r="CD693">
        <v>0.83783799999999997</v>
      </c>
      <c r="CE693">
        <v>44.565842000000004</v>
      </c>
      <c r="CF693">
        <v>50</v>
      </c>
      <c r="CG693" t="s">
        <v>125</v>
      </c>
      <c r="CH693" t="s">
        <v>125</v>
      </c>
      <c r="CI693" t="s">
        <v>125</v>
      </c>
      <c r="CJ693" t="s">
        <v>125</v>
      </c>
      <c r="CK693" t="s">
        <v>125</v>
      </c>
      <c r="CL693" t="s">
        <v>125</v>
      </c>
      <c r="CM693" t="s">
        <v>125</v>
      </c>
      <c r="CN693" t="s">
        <v>125</v>
      </c>
      <c r="CO693" t="s">
        <v>125</v>
      </c>
      <c r="CP693" t="s">
        <v>125</v>
      </c>
      <c r="CQ693">
        <v>0.57714299999999996</v>
      </c>
      <c r="CR693">
        <v>1.0057469999999999</v>
      </c>
      <c r="CS693">
        <v>38.476190000000003</v>
      </c>
      <c r="CT693">
        <v>50</v>
      </c>
      <c r="CU693" t="s">
        <v>125</v>
      </c>
      <c r="CV693" t="s">
        <v>125</v>
      </c>
      <c r="CW693" t="s">
        <v>125</v>
      </c>
      <c r="CX693" t="s">
        <v>125</v>
      </c>
      <c r="CY693" t="s">
        <v>125</v>
      </c>
      <c r="CZ693" t="s">
        <v>125</v>
      </c>
      <c r="DA693">
        <v>15.314097</v>
      </c>
      <c r="DB693">
        <v>17.400950000000002</v>
      </c>
      <c r="DC693">
        <v>16.332519999999999</v>
      </c>
      <c r="DD693" t="s">
        <v>125</v>
      </c>
      <c r="DE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Q693" t="s">
        <v>126</v>
      </c>
    </row>
    <row r="694" spans="1:121" x14ac:dyDescent="0.15">
      <c r="A694">
        <v>2018</v>
      </c>
      <c r="B694" t="s">
        <v>206</v>
      </c>
      <c r="C694" t="str">
        <f t="shared" si="26"/>
        <v>0930011</v>
      </c>
      <c r="D694" t="s">
        <v>850</v>
      </c>
      <c r="E694" t="str">
        <f>"0936011"</f>
        <v>0936011</v>
      </c>
      <c r="F694" t="s">
        <v>328</v>
      </c>
      <c r="G694">
        <v>9</v>
      </c>
      <c r="H694">
        <v>12</v>
      </c>
      <c r="J694" t="s">
        <v>331</v>
      </c>
      <c r="K694">
        <v>931.33239200000003</v>
      </c>
      <c r="L694">
        <v>1550</v>
      </c>
      <c r="M694">
        <v>60.085960999999998</v>
      </c>
      <c r="N694">
        <v>3</v>
      </c>
      <c r="O694">
        <v>0</v>
      </c>
      <c r="P694">
        <v>44.370370000000001</v>
      </c>
      <c r="Q694">
        <v>88.740741</v>
      </c>
      <c r="R694">
        <v>150</v>
      </c>
      <c r="S694">
        <v>44.463855000000002</v>
      </c>
      <c r="T694" t="s">
        <v>125</v>
      </c>
      <c r="U694">
        <v>88.927711000000002</v>
      </c>
      <c r="V694">
        <v>150</v>
      </c>
      <c r="W694">
        <v>39.555556000000003</v>
      </c>
      <c r="X694">
        <v>79.111110999999994</v>
      </c>
      <c r="Y694">
        <v>150</v>
      </c>
      <c r="Z694" t="s">
        <v>125</v>
      </c>
      <c r="AA694">
        <v>39.935743000000002</v>
      </c>
      <c r="AB694">
        <v>79.871486000000004</v>
      </c>
      <c r="AC694">
        <v>150</v>
      </c>
      <c r="AD694">
        <v>39.041356</v>
      </c>
      <c r="AE694">
        <v>52.055141999999996</v>
      </c>
      <c r="AF694">
        <v>100</v>
      </c>
      <c r="AG694">
        <v>38.467455999999999</v>
      </c>
      <c r="AH694" t="s">
        <v>125</v>
      </c>
      <c r="AI694">
        <v>51.289940999999999</v>
      </c>
      <c r="AJ694">
        <v>100</v>
      </c>
      <c r="AK694" t="s">
        <v>125</v>
      </c>
      <c r="AL694" t="s">
        <v>125</v>
      </c>
      <c r="AM694" t="s">
        <v>125</v>
      </c>
      <c r="AN694" t="s">
        <v>125</v>
      </c>
      <c r="AO694" t="s">
        <v>125</v>
      </c>
      <c r="AP694" t="s">
        <v>125</v>
      </c>
      <c r="AQ694" t="s">
        <v>125</v>
      </c>
      <c r="AR694" t="s">
        <v>125</v>
      </c>
      <c r="AS694" t="s">
        <v>125</v>
      </c>
      <c r="AT694" t="s">
        <v>125</v>
      </c>
      <c r="AU694" t="s">
        <v>125</v>
      </c>
      <c r="AV694" t="s">
        <v>125</v>
      </c>
      <c r="AW694" t="s">
        <v>125</v>
      </c>
      <c r="AX694" t="s">
        <v>125</v>
      </c>
      <c r="AY694" t="s">
        <v>125</v>
      </c>
      <c r="AZ694" t="s">
        <v>125</v>
      </c>
      <c r="BA694" t="s">
        <v>125</v>
      </c>
      <c r="BB694">
        <v>0.54700700000000002</v>
      </c>
      <c r="BC694">
        <v>27.350349000000001</v>
      </c>
      <c r="BD694">
        <v>50</v>
      </c>
      <c r="BE694">
        <v>0.484823</v>
      </c>
      <c r="BF694">
        <v>24.241144999999999</v>
      </c>
      <c r="BG694">
        <v>50</v>
      </c>
      <c r="BH694">
        <v>1</v>
      </c>
      <c r="BI694">
        <v>0.98019800000000001</v>
      </c>
      <c r="BJ694">
        <v>0.97647099999999998</v>
      </c>
      <c r="BK694" t="s">
        <v>125</v>
      </c>
      <c r="BL694">
        <v>0.98019800000000001</v>
      </c>
      <c r="BM694">
        <v>0.97647099999999998</v>
      </c>
      <c r="BN694" t="s">
        <v>125</v>
      </c>
      <c r="BO694">
        <v>0.92079200000000005</v>
      </c>
      <c r="BP694">
        <v>0.91764699999999999</v>
      </c>
      <c r="BQ694" t="s">
        <v>125</v>
      </c>
      <c r="BR694">
        <v>0.265509</v>
      </c>
      <c r="BS694">
        <v>6.898263</v>
      </c>
      <c r="BT694">
        <v>50</v>
      </c>
      <c r="BU694">
        <v>0.28792600000000002</v>
      </c>
      <c r="BV694">
        <v>2.4148610000000001</v>
      </c>
      <c r="BW694">
        <v>50</v>
      </c>
      <c r="BX694">
        <v>0.90909099999999998</v>
      </c>
      <c r="BY694">
        <v>50</v>
      </c>
      <c r="BZ694">
        <v>50</v>
      </c>
      <c r="CA694">
        <v>9.0909000000000004E-2</v>
      </c>
      <c r="CB694">
        <v>6.0606059999999999</v>
      </c>
      <c r="CC694">
        <v>50</v>
      </c>
      <c r="CD694">
        <v>1</v>
      </c>
      <c r="CE694">
        <v>50</v>
      </c>
      <c r="CF694">
        <v>50</v>
      </c>
      <c r="CG694">
        <v>0.88</v>
      </c>
      <c r="CH694">
        <v>93.617020999999994</v>
      </c>
      <c r="CI694">
        <v>100</v>
      </c>
      <c r="CJ694">
        <v>0</v>
      </c>
      <c r="CK694">
        <v>0.93506500000000004</v>
      </c>
      <c r="CL694">
        <v>99.474992999999998</v>
      </c>
      <c r="CM694">
        <v>100</v>
      </c>
      <c r="CN694">
        <v>0.75280899999999995</v>
      </c>
      <c r="CO694">
        <v>100</v>
      </c>
      <c r="CP694">
        <v>100</v>
      </c>
      <c r="CQ694">
        <v>0.33663399999999999</v>
      </c>
      <c r="CR694">
        <v>0.87068999999999996</v>
      </c>
      <c r="CS694">
        <v>11.221121999999999</v>
      </c>
      <c r="CT694">
        <v>50</v>
      </c>
      <c r="CU694">
        <v>0.24069499999999999</v>
      </c>
      <c r="CV694">
        <v>20.057898999999999</v>
      </c>
      <c r="CW694">
        <v>50</v>
      </c>
      <c r="CX694">
        <v>0.93506500000000004</v>
      </c>
      <c r="CY694">
        <v>0.90909099999999998</v>
      </c>
      <c r="CZ694">
        <v>-2.5974000000000001E-2</v>
      </c>
      <c r="DA694">
        <v>15.314097</v>
      </c>
      <c r="DB694">
        <v>17.400950000000002</v>
      </c>
      <c r="DC694">
        <v>16.332519999999999</v>
      </c>
      <c r="DD694">
        <v>7.9891730000000001</v>
      </c>
      <c r="DE694">
        <v>1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Q694" t="s">
        <v>126</v>
      </c>
    </row>
    <row r="695" spans="1:121" x14ac:dyDescent="0.15">
      <c r="A695">
        <v>2018</v>
      </c>
      <c r="B695" t="s">
        <v>206</v>
      </c>
      <c r="C695" t="str">
        <f t="shared" si="26"/>
        <v>0930011</v>
      </c>
      <c r="D695" t="s">
        <v>750</v>
      </c>
      <c r="E695" t="str">
        <f>"0931411"</f>
        <v>0931411</v>
      </c>
      <c r="F695" t="s">
        <v>328</v>
      </c>
      <c r="G695" t="s">
        <v>329</v>
      </c>
      <c r="H695">
        <v>8</v>
      </c>
      <c r="J695" t="s">
        <v>331</v>
      </c>
      <c r="K695">
        <v>632.04571899999996</v>
      </c>
      <c r="L695">
        <v>1000</v>
      </c>
      <c r="M695">
        <v>63.204571999999999</v>
      </c>
      <c r="N695">
        <v>3</v>
      </c>
      <c r="O695">
        <v>0</v>
      </c>
      <c r="P695">
        <v>64.807412999999997</v>
      </c>
      <c r="Q695">
        <v>43.204942000000003</v>
      </c>
      <c r="R695">
        <v>50</v>
      </c>
      <c r="S695">
        <v>61.142133000000001</v>
      </c>
      <c r="T695">
        <v>71.095552999999995</v>
      </c>
      <c r="U695">
        <v>40.761422000000003</v>
      </c>
      <c r="V695">
        <v>50</v>
      </c>
      <c r="W695">
        <v>57.564048</v>
      </c>
      <c r="X695">
        <v>38.376032000000002</v>
      </c>
      <c r="Y695">
        <v>50</v>
      </c>
      <c r="Z695">
        <v>66.321648999999994</v>
      </c>
      <c r="AA695">
        <v>52.459350999999998</v>
      </c>
      <c r="AB695">
        <v>34.972900000000003</v>
      </c>
      <c r="AC695">
        <v>50</v>
      </c>
      <c r="AD695">
        <v>56.191096000000002</v>
      </c>
      <c r="AE695">
        <v>37.460729999999998</v>
      </c>
      <c r="AF695">
        <v>50</v>
      </c>
      <c r="AG695">
        <v>55.015470000000001</v>
      </c>
      <c r="AH695">
        <v>58.934223000000003</v>
      </c>
      <c r="AI695">
        <v>36.67698</v>
      </c>
      <c r="AJ695">
        <v>50</v>
      </c>
      <c r="AK695">
        <v>9.9499999999999993</v>
      </c>
      <c r="AL695">
        <v>13.86</v>
      </c>
      <c r="AM695">
        <v>3.91</v>
      </c>
      <c r="AN695">
        <v>0.49163400000000002</v>
      </c>
      <c r="AO695">
        <v>49.163375000000002</v>
      </c>
      <c r="AP695">
        <v>100</v>
      </c>
      <c r="AQ695">
        <v>0.40025500000000003</v>
      </c>
      <c r="AR695">
        <v>40.025509999999997</v>
      </c>
      <c r="AS695">
        <v>100</v>
      </c>
      <c r="AT695">
        <v>0.43276100000000001</v>
      </c>
      <c r="AU695">
        <v>0.59131599999999995</v>
      </c>
      <c r="AV695">
        <v>43.276125999999998</v>
      </c>
      <c r="AW695">
        <v>100</v>
      </c>
      <c r="AX695">
        <v>0.33229900000000001</v>
      </c>
      <c r="AY695">
        <v>0.515316</v>
      </c>
      <c r="AZ695">
        <v>33.229947000000003</v>
      </c>
      <c r="BA695">
        <v>100</v>
      </c>
      <c r="BB695">
        <v>0.68444099999999997</v>
      </c>
      <c r="BC695">
        <v>34.222031000000001</v>
      </c>
      <c r="BD695">
        <v>50</v>
      </c>
      <c r="BE695">
        <v>0.46354099999999998</v>
      </c>
      <c r="BF695">
        <v>23.177026000000001</v>
      </c>
      <c r="BG695">
        <v>50</v>
      </c>
      <c r="BH695">
        <v>0</v>
      </c>
      <c r="BI695">
        <v>0.983819</v>
      </c>
      <c r="BJ695">
        <v>0.97969499999999998</v>
      </c>
      <c r="BK695">
        <v>0.99107100000000004</v>
      </c>
      <c r="BL695">
        <v>0.983819</v>
      </c>
      <c r="BM695">
        <v>0.97969499999999998</v>
      </c>
      <c r="BN695">
        <v>0.99107100000000004</v>
      </c>
      <c r="BO695">
        <v>0.97196300000000002</v>
      </c>
      <c r="BP695">
        <v>0.97297299999999998</v>
      </c>
      <c r="BQ695">
        <v>0.96969700000000003</v>
      </c>
      <c r="BR695">
        <v>8.0507999999999996E-2</v>
      </c>
      <c r="BS695">
        <v>43.898305000000001</v>
      </c>
      <c r="BT695">
        <v>50</v>
      </c>
      <c r="BU695">
        <v>0.118467</v>
      </c>
      <c r="BV695">
        <v>36.306620000000002</v>
      </c>
      <c r="BW695">
        <v>50</v>
      </c>
      <c r="BX695" t="s">
        <v>125</v>
      </c>
      <c r="BY695" t="s">
        <v>125</v>
      </c>
      <c r="BZ695" t="s">
        <v>125</v>
      </c>
      <c r="CA695" t="s">
        <v>125</v>
      </c>
      <c r="CB695" t="s">
        <v>125</v>
      </c>
      <c r="CC695" t="s">
        <v>125</v>
      </c>
      <c r="CD695">
        <v>0.91836700000000004</v>
      </c>
      <c r="CE695">
        <v>48.849327000000002</v>
      </c>
      <c r="CF695">
        <v>50</v>
      </c>
      <c r="CG695" t="s">
        <v>125</v>
      </c>
      <c r="CH695" t="s">
        <v>125</v>
      </c>
      <c r="CI695" t="s">
        <v>125</v>
      </c>
      <c r="CJ695" t="s">
        <v>125</v>
      </c>
      <c r="CK695" t="s">
        <v>125</v>
      </c>
      <c r="CL695" t="s">
        <v>125</v>
      </c>
      <c r="CM695" t="s">
        <v>125</v>
      </c>
      <c r="CN695" t="s">
        <v>125</v>
      </c>
      <c r="CO695" t="s">
        <v>125</v>
      </c>
      <c r="CP695" t="s">
        <v>125</v>
      </c>
      <c r="CQ695">
        <v>0.72666699999999995</v>
      </c>
      <c r="CR695">
        <v>0.95541399999999999</v>
      </c>
      <c r="CS695">
        <v>48.444443999999997</v>
      </c>
      <c r="CT695">
        <v>50</v>
      </c>
      <c r="CU695" t="s">
        <v>125</v>
      </c>
      <c r="CV695" t="s">
        <v>125</v>
      </c>
      <c r="CW695" t="s">
        <v>125</v>
      </c>
      <c r="CX695" t="s">
        <v>125</v>
      </c>
      <c r="CY695" t="s">
        <v>125</v>
      </c>
      <c r="CZ695" t="s">
        <v>125</v>
      </c>
      <c r="DA695">
        <v>15.314097</v>
      </c>
      <c r="DB695">
        <v>17.400950000000002</v>
      </c>
      <c r="DC695">
        <v>16.332519999999999</v>
      </c>
      <c r="DD695" t="s">
        <v>125</v>
      </c>
      <c r="DE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Q695" t="s">
        <v>126</v>
      </c>
    </row>
    <row r="696" spans="1:121" x14ac:dyDescent="0.15">
      <c r="A696">
        <v>2018</v>
      </c>
      <c r="B696" t="s">
        <v>206</v>
      </c>
      <c r="C696" t="str">
        <f t="shared" si="26"/>
        <v>0930011</v>
      </c>
      <c r="D696" t="s">
        <v>851</v>
      </c>
      <c r="E696" t="str">
        <f>"0937011"</f>
        <v>0937011</v>
      </c>
      <c r="F696" t="s">
        <v>328</v>
      </c>
      <c r="G696">
        <v>9</v>
      </c>
      <c r="H696">
        <v>12</v>
      </c>
      <c r="J696" t="s">
        <v>331</v>
      </c>
      <c r="K696">
        <v>908.60142499999995</v>
      </c>
      <c r="L696">
        <v>1450</v>
      </c>
      <c r="M696">
        <v>62.662166999999997</v>
      </c>
      <c r="N696">
        <v>3</v>
      </c>
      <c r="O696">
        <v>0</v>
      </c>
      <c r="P696">
        <v>46.610168999999999</v>
      </c>
      <c r="Q696">
        <v>93.220338999999996</v>
      </c>
      <c r="R696">
        <v>150</v>
      </c>
      <c r="S696">
        <v>43.563491999999997</v>
      </c>
      <c r="T696" t="s">
        <v>125</v>
      </c>
      <c r="U696">
        <v>87.126983999999993</v>
      </c>
      <c r="V696">
        <v>150</v>
      </c>
      <c r="W696">
        <v>43.844633000000002</v>
      </c>
      <c r="X696">
        <v>87.689266000000003</v>
      </c>
      <c r="Y696">
        <v>150</v>
      </c>
      <c r="Z696" t="s">
        <v>125</v>
      </c>
      <c r="AA696">
        <v>41.206349000000003</v>
      </c>
      <c r="AB696">
        <v>82.412698000000006</v>
      </c>
      <c r="AC696">
        <v>150</v>
      </c>
      <c r="AD696">
        <v>42.378205000000001</v>
      </c>
      <c r="AE696">
        <v>56.504274000000002</v>
      </c>
      <c r="AF696">
        <v>100</v>
      </c>
      <c r="AG696">
        <v>40.182468999999998</v>
      </c>
      <c r="AH696" t="s">
        <v>125</v>
      </c>
      <c r="AI696">
        <v>53.576625</v>
      </c>
      <c r="AJ696">
        <v>100</v>
      </c>
      <c r="AK696" t="s">
        <v>125</v>
      </c>
      <c r="AL696" t="s">
        <v>125</v>
      </c>
      <c r="AM696" t="s">
        <v>125</v>
      </c>
      <c r="AN696" t="s">
        <v>125</v>
      </c>
      <c r="AO696" t="s">
        <v>125</v>
      </c>
      <c r="AP696" t="s">
        <v>125</v>
      </c>
      <c r="AQ696" t="s">
        <v>125</v>
      </c>
      <c r="AR696" t="s">
        <v>125</v>
      </c>
      <c r="AS696" t="s">
        <v>125</v>
      </c>
      <c r="AT696" t="s">
        <v>125</v>
      </c>
      <c r="AU696" t="s">
        <v>125</v>
      </c>
      <c r="AV696" t="s">
        <v>125</v>
      </c>
      <c r="AW696" t="s">
        <v>125</v>
      </c>
      <c r="AX696" t="s">
        <v>125</v>
      </c>
      <c r="AY696" t="s">
        <v>125</v>
      </c>
      <c r="AZ696" t="s">
        <v>125</v>
      </c>
      <c r="BA696" t="s">
        <v>125</v>
      </c>
      <c r="BB696" t="s">
        <v>125</v>
      </c>
      <c r="BC696" t="s">
        <v>125</v>
      </c>
      <c r="BD696" t="s">
        <v>125</v>
      </c>
      <c r="BE696" t="s">
        <v>125</v>
      </c>
      <c r="BF696" t="s">
        <v>125</v>
      </c>
      <c r="BG696" t="s">
        <v>125</v>
      </c>
      <c r="BH696">
        <v>1</v>
      </c>
      <c r="BI696">
        <v>0.95161300000000004</v>
      </c>
      <c r="BJ696">
        <v>0.93333299999999997</v>
      </c>
      <c r="BK696" t="s">
        <v>125</v>
      </c>
      <c r="BL696">
        <v>0.95161300000000004</v>
      </c>
      <c r="BM696">
        <v>0.93333299999999997</v>
      </c>
      <c r="BN696" t="s">
        <v>125</v>
      </c>
      <c r="BO696">
        <v>0.96774199999999999</v>
      </c>
      <c r="BP696">
        <v>0.95555599999999996</v>
      </c>
      <c r="BQ696" t="s">
        <v>125</v>
      </c>
      <c r="BR696">
        <v>0.237762</v>
      </c>
      <c r="BS696">
        <v>12.447552</v>
      </c>
      <c r="BT696">
        <v>50</v>
      </c>
      <c r="BU696">
        <v>0.30097099999999999</v>
      </c>
      <c r="BV696">
        <v>0</v>
      </c>
      <c r="BW696">
        <v>50</v>
      </c>
      <c r="BX696">
        <v>0.89655200000000002</v>
      </c>
      <c r="BY696">
        <v>50</v>
      </c>
      <c r="BZ696">
        <v>50</v>
      </c>
      <c r="CA696">
        <v>0.21551699999999999</v>
      </c>
      <c r="CB696">
        <v>14.367815999999999</v>
      </c>
      <c r="CC696">
        <v>50</v>
      </c>
      <c r="CD696">
        <v>0.70786499999999997</v>
      </c>
      <c r="CE696">
        <v>37.652403</v>
      </c>
      <c r="CF696">
        <v>50</v>
      </c>
      <c r="CG696">
        <v>0.83870999999999996</v>
      </c>
      <c r="CH696">
        <v>89.224434000000002</v>
      </c>
      <c r="CI696">
        <v>100</v>
      </c>
      <c r="CJ696">
        <v>0</v>
      </c>
      <c r="CK696">
        <v>0.85</v>
      </c>
      <c r="CL696">
        <v>90.425532000000004</v>
      </c>
      <c r="CM696">
        <v>100</v>
      </c>
      <c r="CN696">
        <v>0.793103</v>
      </c>
      <c r="CO696">
        <v>100</v>
      </c>
      <c r="CP696">
        <v>100</v>
      </c>
      <c r="CQ696">
        <v>0.21052599999999999</v>
      </c>
      <c r="CR696">
        <v>1.1728400000000001</v>
      </c>
      <c r="CS696">
        <v>14.035088</v>
      </c>
      <c r="CT696">
        <v>50</v>
      </c>
      <c r="CU696">
        <v>0.47902099999999997</v>
      </c>
      <c r="CV696">
        <v>39.918415000000003</v>
      </c>
      <c r="CW696">
        <v>50</v>
      </c>
      <c r="CX696">
        <v>0.85</v>
      </c>
      <c r="CY696" t="s">
        <v>125</v>
      </c>
      <c r="CZ696" t="s">
        <v>125</v>
      </c>
      <c r="DA696">
        <v>15.314097</v>
      </c>
      <c r="DB696">
        <v>17.400950000000002</v>
      </c>
      <c r="DC696">
        <v>16.332519999999999</v>
      </c>
      <c r="DD696">
        <v>7.9891730000000001</v>
      </c>
      <c r="DE696">
        <v>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Q696" t="s">
        <v>126</v>
      </c>
    </row>
    <row r="697" spans="1:121" x14ac:dyDescent="0.15">
      <c r="A697">
        <v>2018</v>
      </c>
      <c r="B697" t="s">
        <v>206</v>
      </c>
      <c r="C697" t="str">
        <f t="shared" si="26"/>
        <v>0930011</v>
      </c>
      <c r="D697" t="s">
        <v>852</v>
      </c>
      <c r="E697" t="str">
        <f>"0933511"</f>
        <v>0933511</v>
      </c>
      <c r="F697" t="s">
        <v>328</v>
      </c>
      <c r="G697" t="s">
        <v>339</v>
      </c>
      <c r="H697">
        <v>5</v>
      </c>
      <c r="I697" t="s">
        <v>336</v>
      </c>
      <c r="J697" t="s">
        <v>331</v>
      </c>
      <c r="K697">
        <v>571.18503899999996</v>
      </c>
      <c r="L697">
        <v>950</v>
      </c>
      <c r="M697">
        <v>60.124741</v>
      </c>
      <c r="N697">
        <v>3</v>
      </c>
      <c r="O697">
        <v>0</v>
      </c>
      <c r="P697">
        <v>59.220885000000003</v>
      </c>
      <c r="Q697">
        <v>39.480589999999999</v>
      </c>
      <c r="R697">
        <v>50</v>
      </c>
      <c r="S697">
        <v>56.721600000000002</v>
      </c>
      <c r="T697" t="s">
        <v>125</v>
      </c>
      <c r="U697">
        <v>37.814399999999999</v>
      </c>
      <c r="V697">
        <v>50</v>
      </c>
      <c r="W697">
        <v>56.235607999999999</v>
      </c>
      <c r="X697">
        <v>37.490405000000003</v>
      </c>
      <c r="Y697">
        <v>50</v>
      </c>
      <c r="Z697" t="s">
        <v>125</v>
      </c>
      <c r="AA697">
        <v>54.535688999999998</v>
      </c>
      <c r="AB697">
        <v>36.357126000000001</v>
      </c>
      <c r="AC697">
        <v>50</v>
      </c>
      <c r="AD697">
        <v>59.326217999999997</v>
      </c>
      <c r="AE697">
        <v>39.550812000000001</v>
      </c>
      <c r="AF697">
        <v>50</v>
      </c>
      <c r="AG697">
        <v>57.701270000000001</v>
      </c>
      <c r="AH697" t="s">
        <v>125</v>
      </c>
      <c r="AI697">
        <v>38.467512999999997</v>
      </c>
      <c r="AJ697">
        <v>50</v>
      </c>
      <c r="AK697" t="s">
        <v>125</v>
      </c>
      <c r="AL697" t="s">
        <v>125</v>
      </c>
      <c r="AM697" t="s">
        <v>125</v>
      </c>
      <c r="AN697">
        <v>0.50313099999999999</v>
      </c>
      <c r="AO697">
        <v>50.313062000000002</v>
      </c>
      <c r="AP697">
        <v>100</v>
      </c>
      <c r="AQ697">
        <v>0.69804600000000006</v>
      </c>
      <c r="AR697">
        <v>69.804631999999998</v>
      </c>
      <c r="AS697">
        <v>100</v>
      </c>
      <c r="AT697">
        <v>0.48383599999999999</v>
      </c>
      <c r="AU697" t="s">
        <v>125</v>
      </c>
      <c r="AV697">
        <v>48.383578999999997</v>
      </c>
      <c r="AW697">
        <v>100</v>
      </c>
      <c r="AX697">
        <v>0.69155199999999994</v>
      </c>
      <c r="AY697" t="s">
        <v>125</v>
      </c>
      <c r="AZ697">
        <v>69.155224000000004</v>
      </c>
      <c r="BA697">
        <v>100</v>
      </c>
      <c r="BB697">
        <v>0.59411400000000003</v>
      </c>
      <c r="BC697">
        <v>29.705725000000001</v>
      </c>
      <c r="BD697">
        <v>50</v>
      </c>
      <c r="BE697">
        <v>0.45927499999999999</v>
      </c>
      <c r="BF697">
        <v>22.963743000000001</v>
      </c>
      <c r="BG697">
        <v>50</v>
      </c>
      <c r="BH697">
        <v>0</v>
      </c>
      <c r="BI697">
        <v>1</v>
      </c>
      <c r="BJ697">
        <v>1</v>
      </c>
      <c r="BK697" t="s">
        <v>125</v>
      </c>
      <c r="BL697">
        <v>1</v>
      </c>
      <c r="BM697">
        <v>1</v>
      </c>
      <c r="BN697" t="s">
        <v>125</v>
      </c>
      <c r="BO697">
        <v>1</v>
      </c>
      <c r="BP697">
        <v>1</v>
      </c>
      <c r="BQ697" t="s">
        <v>125</v>
      </c>
      <c r="BR697">
        <v>0.24909700000000001</v>
      </c>
      <c r="BS697">
        <v>10.180505</v>
      </c>
      <c r="BT697">
        <v>50</v>
      </c>
      <c r="BU697">
        <v>0.25114199999999998</v>
      </c>
      <c r="BV697">
        <v>9.7716890000000003</v>
      </c>
      <c r="BW697">
        <v>50</v>
      </c>
      <c r="BX697" t="s">
        <v>125</v>
      </c>
      <c r="BY697" t="s">
        <v>125</v>
      </c>
      <c r="BZ697" t="s">
        <v>125</v>
      </c>
      <c r="CA697" t="s">
        <v>125</v>
      </c>
      <c r="CB697" t="s">
        <v>125</v>
      </c>
      <c r="CC697" t="s">
        <v>125</v>
      </c>
      <c r="CD697" t="s">
        <v>125</v>
      </c>
      <c r="CE697" t="s">
        <v>125</v>
      </c>
      <c r="CF697" t="s">
        <v>125</v>
      </c>
      <c r="CG697" t="s">
        <v>125</v>
      </c>
      <c r="CH697" t="s">
        <v>125</v>
      </c>
      <c r="CI697" t="s">
        <v>125</v>
      </c>
      <c r="CJ697" t="s">
        <v>125</v>
      </c>
      <c r="CK697" t="s">
        <v>125</v>
      </c>
      <c r="CL697" t="s">
        <v>125</v>
      </c>
      <c r="CM697" t="s">
        <v>125</v>
      </c>
      <c r="CN697" t="s">
        <v>125</v>
      </c>
      <c r="CO697" t="s">
        <v>125</v>
      </c>
      <c r="CP697" t="s">
        <v>125</v>
      </c>
      <c r="CQ697">
        <v>0.47619</v>
      </c>
      <c r="CR697">
        <v>1</v>
      </c>
      <c r="CS697">
        <v>31.746032</v>
      </c>
      <c r="CT697">
        <v>50</v>
      </c>
      <c r="CU697" t="s">
        <v>125</v>
      </c>
      <c r="CV697" t="s">
        <v>125</v>
      </c>
      <c r="CW697" t="s">
        <v>125</v>
      </c>
      <c r="CX697" t="s">
        <v>125</v>
      </c>
      <c r="CY697" t="s">
        <v>125</v>
      </c>
      <c r="CZ697" t="s">
        <v>125</v>
      </c>
      <c r="DA697">
        <v>15.314097</v>
      </c>
      <c r="DB697">
        <v>17.400950000000002</v>
      </c>
      <c r="DC697">
        <v>16.332519999999999</v>
      </c>
      <c r="DD697" t="s">
        <v>125</v>
      </c>
      <c r="DE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Q697" t="s">
        <v>126</v>
      </c>
    </row>
    <row r="698" spans="1:121" x14ac:dyDescent="0.15">
      <c r="A698">
        <v>2018</v>
      </c>
      <c r="B698" t="s">
        <v>206</v>
      </c>
      <c r="C698" t="str">
        <f t="shared" si="26"/>
        <v>0930011</v>
      </c>
      <c r="D698" t="s">
        <v>853</v>
      </c>
      <c r="E698" t="str">
        <f>"0934211"</f>
        <v>0934211</v>
      </c>
      <c r="F698" t="s">
        <v>328</v>
      </c>
      <c r="G698" t="s">
        <v>339</v>
      </c>
      <c r="H698">
        <v>8</v>
      </c>
      <c r="I698" t="s">
        <v>336</v>
      </c>
      <c r="J698" t="s">
        <v>331</v>
      </c>
      <c r="K698">
        <v>551.44454599999995</v>
      </c>
      <c r="L698">
        <v>1000</v>
      </c>
      <c r="M698">
        <v>55.144455000000001</v>
      </c>
      <c r="N698">
        <v>3</v>
      </c>
      <c r="O698">
        <v>0</v>
      </c>
      <c r="P698">
        <v>55.290754</v>
      </c>
      <c r="Q698">
        <v>36.860503000000001</v>
      </c>
      <c r="R698">
        <v>50</v>
      </c>
      <c r="S698">
        <v>54.580987999999998</v>
      </c>
      <c r="T698">
        <v>65.333934999999997</v>
      </c>
      <c r="U698">
        <v>36.387326000000002</v>
      </c>
      <c r="V698">
        <v>50</v>
      </c>
      <c r="W698">
        <v>47.331913999999998</v>
      </c>
      <c r="X698">
        <v>31.55461</v>
      </c>
      <c r="Y698">
        <v>50</v>
      </c>
      <c r="Z698">
        <v>55.219223</v>
      </c>
      <c r="AA698">
        <v>46.774507</v>
      </c>
      <c r="AB698">
        <v>31.183005000000001</v>
      </c>
      <c r="AC698">
        <v>50</v>
      </c>
      <c r="AD698">
        <v>45.169204000000001</v>
      </c>
      <c r="AE698">
        <v>30.112801999999999</v>
      </c>
      <c r="AF698">
        <v>50</v>
      </c>
      <c r="AG698">
        <v>44.363551999999999</v>
      </c>
      <c r="AH698" t="s">
        <v>125</v>
      </c>
      <c r="AI698">
        <v>29.575700999999999</v>
      </c>
      <c r="AJ698">
        <v>50</v>
      </c>
      <c r="AK698">
        <v>10.75</v>
      </c>
      <c r="AL698">
        <v>8.44</v>
      </c>
      <c r="AM698" t="s">
        <v>125</v>
      </c>
      <c r="AN698">
        <v>0.48761399999999999</v>
      </c>
      <c r="AO698">
        <v>48.761360000000003</v>
      </c>
      <c r="AP698">
        <v>100</v>
      </c>
      <c r="AQ698">
        <v>0.48734300000000003</v>
      </c>
      <c r="AR698">
        <v>48.734319999999997</v>
      </c>
      <c r="AS698">
        <v>100</v>
      </c>
      <c r="AT698">
        <v>0.48575000000000002</v>
      </c>
      <c r="AU698" t="s">
        <v>125</v>
      </c>
      <c r="AV698">
        <v>48.575009999999999</v>
      </c>
      <c r="AW698">
        <v>100</v>
      </c>
      <c r="AX698">
        <v>0.48939300000000002</v>
      </c>
      <c r="AY698" t="s">
        <v>125</v>
      </c>
      <c r="AZ698">
        <v>48.939329000000001</v>
      </c>
      <c r="BA698">
        <v>100</v>
      </c>
      <c r="BB698">
        <v>0.57920499999999997</v>
      </c>
      <c r="BC698">
        <v>28.960235000000001</v>
      </c>
      <c r="BD698">
        <v>50</v>
      </c>
      <c r="BE698">
        <v>0.42420400000000003</v>
      </c>
      <c r="BF698">
        <v>21.210203</v>
      </c>
      <c r="BG698">
        <v>50</v>
      </c>
      <c r="BH698">
        <v>0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 t="s">
        <v>125</v>
      </c>
      <c r="BR698">
        <v>0.184946</v>
      </c>
      <c r="BS698">
        <v>23.010753000000001</v>
      </c>
      <c r="BT698">
        <v>50</v>
      </c>
      <c r="BU698">
        <v>0.19417499999999999</v>
      </c>
      <c r="BV698">
        <v>21.165049</v>
      </c>
      <c r="BW698">
        <v>50</v>
      </c>
      <c r="BX698" t="s">
        <v>125</v>
      </c>
      <c r="BY698" t="s">
        <v>125</v>
      </c>
      <c r="BZ698" t="s">
        <v>125</v>
      </c>
      <c r="CA698" t="s">
        <v>125</v>
      </c>
      <c r="CB698" t="s">
        <v>125</v>
      </c>
      <c r="CC698" t="s">
        <v>125</v>
      </c>
      <c r="CD698">
        <v>0.80952400000000002</v>
      </c>
      <c r="CE698">
        <v>43.059776999999997</v>
      </c>
      <c r="CF698">
        <v>50</v>
      </c>
      <c r="CG698" t="s">
        <v>125</v>
      </c>
      <c r="CH698" t="s">
        <v>125</v>
      </c>
      <c r="CI698" t="s">
        <v>125</v>
      </c>
      <c r="CJ698" t="s">
        <v>125</v>
      </c>
      <c r="CK698" t="s">
        <v>125</v>
      </c>
      <c r="CL698" t="s">
        <v>125</v>
      </c>
      <c r="CM698" t="s">
        <v>125</v>
      </c>
      <c r="CN698" t="s">
        <v>125</v>
      </c>
      <c r="CO698" t="s">
        <v>125</v>
      </c>
      <c r="CP698" t="s">
        <v>125</v>
      </c>
      <c r="CQ698">
        <v>0.35031800000000002</v>
      </c>
      <c r="CR698">
        <v>0.98124999999999996</v>
      </c>
      <c r="CS698">
        <v>23.354565000000001</v>
      </c>
      <c r="CT698">
        <v>50</v>
      </c>
      <c r="CU698" t="s">
        <v>125</v>
      </c>
      <c r="CV698" t="s">
        <v>125</v>
      </c>
      <c r="CW698" t="s">
        <v>125</v>
      </c>
      <c r="CX698" t="s">
        <v>125</v>
      </c>
      <c r="CY698" t="s">
        <v>125</v>
      </c>
      <c r="CZ698" t="s">
        <v>125</v>
      </c>
      <c r="DA698">
        <v>15.314097</v>
      </c>
      <c r="DB698">
        <v>17.400950000000002</v>
      </c>
      <c r="DC698">
        <v>16.332519999999999</v>
      </c>
      <c r="DD698" t="s">
        <v>125</v>
      </c>
      <c r="DE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Q698" t="s">
        <v>126</v>
      </c>
    </row>
    <row r="699" spans="1:121" x14ac:dyDescent="0.15">
      <c r="A699">
        <v>2018</v>
      </c>
      <c r="B699" t="s">
        <v>206</v>
      </c>
      <c r="C699" t="str">
        <f t="shared" si="26"/>
        <v>0930011</v>
      </c>
      <c r="D699" t="s">
        <v>854</v>
      </c>
      <c r="E699" t="str">
        <f>"0931011"</f>
        <v>0931011</v>
      </c>
      <c r="F699" t="s">
        <v>328</v>
      </c>
      <c r="G699" t="s">
        <v>329</v>
      </c>
      <c r="H699">
        <v>8</v>
      </c>
      <c r="J699" t="s">
        <v>331</v>
      </c>
      <c r="K699">
        <v>573.67650900000001</v>
      </c>
      <c r="L699">
        <v>1000</v>
      </c>
      <c r="M699">
        <v>57.367651000000002</v>
      </c>
      <c r="N699">
        <v>3</v>
      </c>
      <c r="O699">
        <v>0</v>
      </c>
      <c r="P699">
        <v>58.052799999999998</v>
      </c>
      <c r="Q699">
        <v>38.701866000000003</v>
      </c>
      <c r="R699">
        <v>50</v>
      </c>
      <c r="S699">
        <v>56.510874000000001</v>
      </c>
      <c r="T699">
        <v>65.714985999999996</v>
      </c>
      <c r="U699">
        <v>37.673915999999998</v>
      </c>
      <c r="V699">
        <v>50</v>
      </c>
      <c r="W699">
        <v>46.931778000000001</v>
      </c>
      <c r="X699">
        <v>31.287852000000001</v>
      </c>
      <c r="Y699">
        <v>50</v>
      </c>
      <c r="Z699">
        <v>54.05462</v>
      </c>
      <c r="AA699">
        <v>45.498387999999998</v>
      </c>
      <c r="AB699">
        <v>30.332259000000001</v>
      </c>
      <c r="AC699">
        <v>50</v>
      </c>
      <c r="AD699">
        <v>55.847962000000003</v>
      </c>
      <c r="AE699">
        <v>37.231974999999998</v>
      </c>
      <c r="AF699">
        <v>50</v>
      </c>
      <c r="AG699">
        <v>55.048112000000003</v>
      </c>
      <c r="AH699" t="s">
        <v>125</v>
      </c>
      <c r="AI699">
        <v>36.698740999999998</v>
      </c>
      <c r="AJ699">
        <v>50</v>
      </c>
      <c r="AK699">
        <v>9.1999999999999993</v>
      </c>
      <c r="AL699">
        <v>8.5500000000000007</v>
      </c>
      <c r="AM699" t="s">
        <v>125</v>
      </c>
      <c r="AN699">
        <v>0.50807800000000003</v>
      </c>
      <c r="AO699">
        <v>50.807755</v>
      </c>
      <c r="AP699">
        <v>100</v>
      </c>
      <c r="AQ699">
        <v>0.44383800000000001</v>
      </c>
      <c r="AR699">
        <v>44.383763999999999</v>
      </c>
      <c r="AS699">
        <v>100</v>
      </c>
      <c r="AT699">
        <v>0.50282000000000004</v>
      </c>
      <c r="AU699">
        <v>0.540099</v>
      </c>
      <c r="AV699">
        <v>50.282034000000003</v>
      </c>
      <c r="AW699">
        <v>100</v>
      </c>
      <c r="AX699">
        <v>0.44161600000000001</v>
      </c>
      <c r="AY699">
        <v>0.457368</v>
      </c>
      <c r="AZ699">
        <v>44.161617</v>
      </c>
      <c r="BA699">
        <v>100</v>
      </c>
      <c r="BB699">
        <v>0.59787999999999997</v>
      </c>
      <c r="BC699">
        <v>29.894024000000002</v>
      </c>
      <c r="BD699">
        <v>50</v>
      </c>
      <c r="BE699">
        <v>0.44692799999999999</v>
      </c>
      <c r="BF699">
        <v>22.346406000000002</v>
      </c>
      <c r="BG699">
        <v>50</v>
      </c>
      <c r="BH699">
        <v>0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 t="s">
        <v>125</v>
      </c>
      <c r="BR699">
        <v>0.20805399999999999</v>
      </c>
      <c r="BS699">
        <v>18.389261999999999</v>
      </c>
      <c r="BT699">
        <v>50</v>
      </c>
      <c r="BU699">
        <v>0.23590800000000001</v>
      </c>
      <c r="BV699">
        <v>12.818372</v>
      </c>
      <c r="BW699">
        <v>50</v>
      </c>
      <c r="BX699" t="s">
        <v>125</v>
      </c>
      <c r="BY699" t="s">
        <v>125</v>
      </c>
      <c r="BZ699" t="s">
        <v>125</v>
      </c>
      <c r="CA699" t="s">
        <v>125</v>
      </c>
      <c r="CB699" t="s">
        <v>125</v>
      </c>
      <c r="CC699" t="s">
        <v>125</v>
      </c>
      <c r="CD699">
        <v>0.96363600000000005</v>
      </c>
      <c r="CE699">
        <v>50</v>
      </c>
      <c r="CF699">
        <v>50</v>
      </c>
      <c r="CG699" t="s">
        <v>125</v>
      </c>
      <c r="CH699" t="s">
        <v>125</v>
      </c>
      <c r="CI699" t="s">
        <v>125</v>
      </c>
      <c r="CJ699" t="s">
        <v>125</v>
      </c>
      <c r="CK699" t="s">
        <v>125</v>
      </c>
      <c r="CL699" t="s">
        <v>125</v>
      </c>
      <c r="CM699" t="s">
        <v>125</v>
      </c>
      <c r="CN699" t="s">
        <v>125</v>
      </c>
      <c r="CO699" t="s">
        <v>125</v>
      </c>
      <c r="CP699" t="s">
        <v>125</v>
      </c>
      <c r="CQ699">
        <v>0.57999999999999996</v>
      </c>
      <c r="CR699">
        <v>0.98522200000000004</v>
      </c>
      <c r="CS699">
        <v>38.666666999999997</v>
      </c>
      <c r="CT699">
        <v>50</v>
      </c>
      <c r="CU699" t="s">
        <v>125</v>
      </c>
      <c r="CV699" t="s">
        <v>125</v>
      </c>
      <c r="CW699" t="s">
        <v>125</v>
      </c>
      <c r="CX699" t="s">
        <v>125</v>
      </c>
      <c r="CY699" t="s">
        <v>125</v>
      </c>
      <c r="CZ699" t="s">
        <v>125</v>
      </c>
      <c r="DA699">
        <v>15.314097</v>
      </c>
      <c r="DB699">
        <v>17.400950000000002</v>
      </c>
      <c r="DC699">
        <v>16.332519999999999</v>
      </c>
      <c r="DD699" t="s">
        <v>125</v>
      </c>
      <c r="DE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Q699" t="s">
        <v>126</v>
      </c>
    </row>
    <row r="700" spans="1:121" x14ac:dyDescent="0.15">
      <c r="A700">
        <v>2018</v>
      </c>
      <c r="B700" t="s">
        <v>206</v>
      </c>
      <c r="C700" t="str">
        <f t="shared" si="26"/>
        <v>0930011</v>
      </c>
      <c r="D700" t="s">
        <v>855</v>
      </c>
      <c r="E700" t="str">
        <f>"0936711"</f>
        <v>0936711</v>
      </c>
      <c r="F700" t="s">
        <v>328</v>
      </c>
      <c r="G700">
        <v>9</v>
      </c>
      <c r="H700">
        <v>12</v>
      </c>
      <c r="J700" t="s">
        <v>331</v>
      </c>
      <c r="K700">
        <v>1032.9751309999999</v>
      </c>
      <c r="L700">
        <v>1450</v>
      </c>
      <c r="M700">
        <v>71.239664000000005</v>
      </c>
      <c r="N700">
        <v>2</v>
      </c>
      <c r="O700">
        <v>0</v>
      </c>
      <c r="P700">
        <v>54.230452999999997</v>
      </c>
      <c r="Q700">
        <v>108.460905</v>
      </c>
      <c r="R700">
        <v>150</v>
      </c>
      <c r="S700">
        <v>49.679738999999998</v>
      </c>
      <c r="T700">
        <v>61.966667000000001</v>
      </c>
      <c r="U700">
        <v>99.359476999999998</v>
      </c>
      <c r="V700">
        <v>150</v>
      </c>
      <c r="W700">
        <v>46.602880999999996</v>
      </c>
      <c r="X700">
        <v>93.205760999999995</v>
      </c>
      <c r="Y700">
        <v>150</v>
      </c>
      <c r="Z700">
        <v>52.127777999999999</v>
      </c>
      <c r="AA700">
        <v>43.352941000000001</v>
      </c>
      <c r="AB700">
        <v>86.705882000000003</v>
      </c>
      <c r="AC700">
        <v>150</v>
      </c>
      <c r="AD700">
        <v>44.712007999999997</v>
      </c>
      <c r="AE700">
        <v>59.616010000000003</v>
      </c>
      <c r="AF700">
        <v>100</v>
      </c>
      <c r="AG700">
        <v>42.584319999999998</v>
      </c>
      <c r="AH700">
        <v>48.4</v>
      </c>
      <c r="AI700">
        <v>56.779093000000003</v>
      </c>
      <c r="AJ700">
        <v>100</v>
      </c>
      <c r="AK700">
        <v>12.28</v>
      </c>
      <c r="AL700">
        <v>8.77</v>
      </c>
      <c r="AM700">
        <v>5.81</v>
      </c>
      <c r="AN700" t="s">
        <v>125</v>
      </c>
      <c r="AO700" t="s">
        <v>125</v>
      </c>
      <c r="AP700" t="s">
        <v>125</v>
      </c>
      <c r="AQ700" t="s">
        <v>125</v>
      </c>
      <c r="AR700" t="s">
        <v>125</v>
      </c>
      <c r="AS700" t="s">
        <v>125</v>
      </c>
      <c r="AT700" t="s">
        <v>125</v>
      </c>
      <c r="AU700" t="s">
        <v>125</v>
      </c>
      <c r="AV700" t="s">
        <v>125</v>
      </c>
      <c r="AW700" t="s">
        <v>125</v>
      </c>
      <c r="AX700" t="s">
        <v>125</v>
      </c>
      <c r="AY700" t="s">
        <v>125</v>
      </c>
      <c r="AZ700" t="s">
        <v>125</v>
      </c>
      <c r="BA700" t="s">
        <v>125</v>
      </c>
      <c r="BB700" t="s">
        <v>125</v>
      </c>
      <c r="BC700" t="s">
        <v>125</v>
      </c>
      <c r="BD700" t="s">
        <v>125</v>
      </c>
      <c r="BE700" t="s">
        <v>125</v>
      </c>
      <c r="BF700" t="s">
        <v>125</v>
      </c>
      <c r="BG700" t="s">
        <v>125</v>
      </c>
      <c r="BH700">
        <v>0</v>
      </c>
      <c r="BI700">
        <v>0.96428599999999998</v>
      </c>
      <c r="BJ700">
        <v>0.980769</v>
      </c>
      <c r="BK700">
        <v>0.9375</v>
      </c>
      <c r="BL700">
        <v>0.96428599999999998</v>
      </c>
      <c r="BM700">
        <v>0.980769</v>
      </c>
      <c r="BN700">
        <v>0.9375</v>
      </c>
      <c r="BO700">
        <v>0.98809499999999995</v>
      </c>
      <c r="BP700">
        <v>1</v>
      </c>
      <c r="BQ700">
        <v>0.96875</v>
      </c>
      <c r="BR700">
        <v>0.107256</v>
      </c>
      <c r="BS700">
        <v>38.548895999999999</v>
      </c>
      <c r="BT700">
        <v>50</v>
      </c>
      <c r="BU700">
        <v>0.11828</v>
      </c>
      <c r="BV700">
        <v>36.344085999999997</v>
      </c>
      <c r="BW700">
        <v>50</v>
      </c>
      <c r="BX700">
        <v>0.968553</v>
      </c>
      <c r="BY700">
        <v>50</v>
      </c>
      <c r="BZ700">
        <v>50</v>
      </c>
      <c r="CA700">
        <v>0.27672999999999998</v>
      </c>
      <c r="CB700">
        <v>18.448637000000002</v>
      </c>
      <c r="CC700">
        <v>50</v>
      </c>
      <c r="CD700">
        <v>0.94736799999999999</v>
      </c>
      <c r="CE700">
        <v>50</v>
      </c>
      <c r="CF700">
        <v>50</v>
      </c>
      <c r="CG700">
        <v>0.91764699999999999</v>
      </c>
      <c r="CH700">
        <v>97.622028</v>
      </c>
      <c r="CI700">
        <v>100</v>
      </c>
      <c r="CJ700">
        <v>0</v>
      </c>
      <c r="CK700">
        <v>0.97777800000000004</v>
      </c>
      <c r="CL700">
        <v>100</v>
      </c>
      <c r="CM700">
        <v>100</v>
      </c>
      <c r="CN700">
        <v>0.765432</v>
      </c>
      <c r="CO700">
        <v>100</v>
      </c>
      <c r="CP700">
        <v>100</v>
      </c>
      <c r="CQ700">
        <v>0.40659299999999998</v>
      </c>
      <c r="CR700">
        <v>1.4</v>
      </c>
      <c r="CS700">
        <v>27.106227000000001</v>
      </c>
      <c r="CT700">
        <v>50</v>
      </c>
      <c r="CU700">
        <v>0.12933800000000001</v>
      </c>
      <c r="CV700">
        <v>10.778128000000001</v>
      </c>
      <c r="CW700">
        <v>50</v>
      </c>
      <c r="CX700">
        <v>0.97777800000000004</v>
      </c>
      <c r="CY700">
        <v>0.94</v>
      </c>
      <c r="CZ700">
        <v>-3.7777999999999999E-2</v>
      </c>
      <c r="DA700">
        <v>15.314097</v>
      </c>
      <c r="DB700">
        <v>17.400950000000002</v>
      </c>
      <c r="DC700">
        <v>16.332519999999999</v>
      </c>
      <c r="DD700">
        <v>7.9891730000000001</v>
      </c>
      <c r="DE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Q700" t="s">
        <v>126</v>
      </c>
    </row>
    <row r="701" spans="1:121" x14ac:dyDescent="0.15">
      <c r="A701">
        <v>2018</v>
      </c>
      <c r="B701" t="s">
        <v>206</v>
      </c>
      <c r="C701" t="str">
        <f t="shared" si="26"/>
        <v>0930011</v>
      </c>
      <c r="D701" t="s">
        <v>856</v>
      </c>
      <c r="E701" t="str">
        <f>"0932911"</f>
        <v>0932911</v>
      </c>
      <c r="F701" t="s">
        <v>328</v>
      </c>
      <c r="G701" t="s">
        <v>329</v>
      </c>
      <c r="H701">
        <v>8</v>
      </c>
      <c r="I701" t="s">
        <v>336</v>
      </c>
      <c r="J701" t="s">
        <v>331</v>
      </c>
      <c r="K701">
        <v>664.62817099999995</v>
      </c>
      <c r="L701">
        <v>1000</v>
      </c>
      <c r="M701">
        <v>66.462817000000001</v>
      </c>
      <c r="N701">
        <v>3</v>
      </c>
      <c r="O701">
        <v>0</v>
      </c>
      <c r="P701">
        <v>58.308326999999998</v>
      </c>
      <c r="Q701">
        <v>38.872217999999997</v>
      </c>
      <c r="R701">
        <v>50</v>
      </c>
      <c r="S701">
        <v>57.867586000000003</v>
      </c>
      <c r="T701" t="s">
        <v>125</v>
      </c>
      <c r="U701">
        <v>38.578391000000003</v>
      </c>
      <c r="V701">
        <v>50</v>
      </c>
      <c r="W701">
        <v>55.242373999999998</v>
      </c>
      <c r="X701">
        <v>36.828249</v>
      </c>
      <c r="Y701">
        <v>50</v>
      </c>
      <c r="Z701" t="s">
        <v>125</v>
      </c>
      <c r="AA701">
        <v>55.069895000000002</v>
      </c>
      <c r="AB701">
        <v>36.713262999999998</v>
      </c>
      <c r="AC701">
        <v>50</v>
      </c>
      <c r="AD701">
        <v>55.788555000000002</v>
      </c>
      <c r="AE701">
        <v>37.192369999999997</v>
      </c>
      <c r="AF701">
        <v>50</v>
      </c>
      <c r="AG701">
        <v>55.279577000000003</v>
      </c>
      <c r="AH701" t="s">
        <v>125</v>
      </c>
      <c r="AI701">
        <v>36.853051000000001</v>
      </c>
      <c r="AJ701">
        <v>50</v>
      </c>
      <c r="AK701" t="s">
        <v>125</v>
      </c>
      <c r="AL701" t="s">
        <v>125</v>
      </c>
      <c r="AM701" t="s">
        <v>125</v>
      </c>
      <c r="AN701">
        <v>0.60448199999999996</v>
      </c>
      <c r="AO701">
        <v>60.448205000000002</v>
      </c>
      <c r="AP701">
        <v>100</v>
      </c>
      <c r="AQ701">
        <v>0.610263</v>
      </c>
      <c r="AR701">
        <v>61.026302999999999</v>
      </c>
      <c r="AS701">
        <v>100</v>
      </c>
      <c r="AT701">
        <v>0.60383200000000004</v>
      </c>
      <c r="AU701" t="s">
        <v>125</v>
      </c>
      <c r="AV701">
        <v>60.383166000000003</v>
      </c>
      <c r="AW701">
        <v>100</v>
      </c>
      <c r="AX701">
        <v>0.61204700000000001</v>
      </c>
      <c r="AY701" t="s">
        <v>125</v>
      </c>
      <c r="AZ701">
        <v>61.204706999999999</v>
      </c>
      <c r="BA701">
        <v>100</v>
      </c>
      <c r="BB701">
        <v>0.64737</v>
      </c>
      <c r="BC701">
        <v>32.368482</v>
      </c>
      <c r="BD701">
        <v>50</v>
      </c>
      <c r="BE701">
        <v>0.52483400000000002</v>
      </c>
      <c r="BF701">
        <v>26.241720999999998</v>
      </c>
      <c r="BG701">
        <v>50</v>
      </c>
      <c r="BH701">
        <v>0</v>
      </c>
      <c r="BI701">
        <v>0.99204199999999998</v>
      </c>
      <c r="BJ701">
        <v>0.99171299999999996</v>
      </c>
      <c r="BK701" t="s">
        <v>125</v>
      </c>
      <c r="BL701">
        <v>0.98673699999999998</v>
      </c>
      <c r="BM701">
        <v>0.98618799999999995</v>
      </c>
      <c r="BN701" t="s">
        <v>125</v>
      </c>
      <c r="BO701">
        <v>0.99199999999999999</v>
      </c>
      <c r="BP701">
        <v>0.99152499999999999</v>
      </c>
      <c r="BQ701" t="s">
        <v>125</v>
      </c>
      <c r="BR701">
        <v>0.15399599999999999</v>
      </c>
      <c r="BS701">
        <v>29.200780000000002</v>
      </c>
      <c r="BT701">
        <v>50</v>
      </c>
      <c r="BU701">
        <v>0.14791699999999999</v>
      </c>
      <c r="BV701">
        <v>30.416667</v>
      </c>
      <c r="BW701">
        <v>50</v>
      </c>
      <c r="BX701" t="s">
        <v>125</v>
      </c>
      <c r="BY701" t="s">
        <v>125</v>
      </c>
      <c r="BZ701" t="s">
        <v>125</v>
      </c>
      <c r="CA701" t="s">
        <v>125</v>
      </c>
      <c r="CB701" t="s">
        <v>125</v>
      </c>
      <c r="CC701" t="s">
        <v>125</v>
      </c>
      <c r="CD701">
        <v>0.86538499999999996</v>
      </c>
      <c r="CE701">
        <v>46.031097000000003</v>
      </c>
      <c r="CF701">
        <v>50</v>
      </c>
      <c r="CG701" t="s">
        <v>125</v>
      </c>
      <c r="CH701" t="s">
        <v>125</v>
      </c>
      <c r="CI701" t="s">
        <v>125</v>
      </c>
      <c r="CJ701" t="s">
        <v>125</v>
      </c>
      <c r="CK701" t="s">
        <v>125</v>
      </c>
      <c r="CL701" t="s">
        <v>125</v>
      </c>
      <c r="CM701" t="s">
        <v>125</v>
      </c>
      <c r="CN701" t="s">
        <v>125</v>
      </c>
      <c r="CO701" t="s">
        <v>125</v>
      </c>
      <c r="CP701" t="s">
        <v>125</v>
      </c>
      <c r="CQ701">
        <v>0.484043</v>
      </c>
      <c r="CR701">
        <v>1.0053479999999999</v>
      </c>
      <c r="CS701">
        <v>32.269503999999998</v>
      </c>
      <c r="CT701">
        <v>50</v>
      </c>
      <c r="CU701" t="s">
        <v>125</v>
      </c>
      <c r="CV701" t="s">
        <v>125</v>
      </c>
      <c r="CW701" t="s">
        <v>125</v>
      </c>
      <c r="CX701" t="s">
        <v>125</v>
      </c>
      <c r="CY701" t="s">
        <v>125</v>
      </c>
      <c r="CZ701" t="s">
        <v>125</v>
      </c>
      <c r="DA701">
        <v>15.314097</v>
      </c>
      <c r="DB701">
        <v>17.400950000000002</v>
      </c>
      <c r="DC701">
        <v>16.332519999999999</v>
      </c>
      <c r="DD701" t="s">
        <v>125</v>
      </c>
      <c r="DE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Q701" t="s">
        <v>126</v>
      </c>
    </row>
    <row r="702" spans="1:121" x14ac:dyDescent="0.15">
      <c r="A702">
        <v>2018</v>
      </c>
      <c r="B702" t="s">
        <v>206</v>
      </c>
      <c r="C702" t="str">
        <f t="shared" si="26"/>
        <v>0930011</v>
      </c>
      <c r="D702" t="s">
        <v>857</v>
      </c>
      <c r="E702" t="str">
        <f>"0934911"</f>
        <v>0934911</v>
      </c>
      <c r="F702" t="s">
        <v>328</v>
      </c>
      <c r="G702" t="s">
        <v>329</v>
      </c>
      <c r="H702">
        <v>4</v>
      </c>
      <c r="I702" t="s">
        <v>336</v>
      </c>
      <c r="J702" t="s">
        <v>331</v>
      </c>
      <c r="K702">
        <v>294.13845500000002</v>
      </c>
      <c r="L702">
        <v>750</v>
      </c>
      <c r="M702">
        <v>39.218460999999998</v>
      </c>
      <c r="N702">
        <v>4</v>
      </c>
      <c r="O702">
        <v>0</v>
      </c>
      <c r="P702">
        <v>56.888737999999996</v>
      </c>
      <c r="Q702">
        <v>37.925826000000001</v>
      </c>
      <c r="R702">
        <v>50</v>
      </c>
      <c r="S702">
        <v>54.917493</v>
      </c>
      <c r="T702" t="s">
        <v>125</v>
      </c>
      <c r="U702">
        <v>36.611662000000003</v>
      </c>
      <c r="V702">
        <v>50</v>
      </c>
      <c r="W702">
        <v>51.495055999999998</v>
      </c>
      <c r="X702">
        <v>34.330036999999997</v>
      </c>
      <c r="Y702">
        <v>50</v>
      </c>
      <c r="Z702" t="s">
        <v>125</v>
      </c>
      <c r="AA702">
        <v>50.045915000000001</v>
      </c>
      <c r="AB702">
        <v>33.363942999999999</v>
      </c>
      <c r="AC702">
        <v>50</v>
      </c>
      <c r="AD702" t="s">
        <v>125</v>
      </c>
      <c r="AE702" t="s">
        <v>125</v>
      </c>
      <c r="AF702" t="s">
        <v>125</v>
      </c>
      <c r="AG702" t="s">
        <v>125</v>
      </c>
      <c r="AH702" t="s">
        <v>125</v>
      </c>
      <c r="AI702" t="s">
        <v>125</v>
      </c>
      <c r="AJ702" t="s">
        <v>125</v>
      </c>
      <c r="AK702" t="s">
        <v>125</v>
      </c>
      <c r="AL702" t="s">
        <v>125</v>
      </c>
      <c r="AM702" t="s">
        <v>125</v>
      </c>
      <c r="AN702">
        <v>0.15892400000000001</v>
      </c>
      <c r="AO702">
        <v>15.892376000000001</v>
      </c>
      <c r="AP702">
        <v>100</v>
      </c>
      <c r="AQ702">
        <v>0.282891</v>
      </c>
      <c r="AR702">
        <v>28.289135999999999</v>
      </c>
      <c r="AS702">
        <v>100</v>
      </c>
      <c r="AT702">
        <v>0.159333</v>
      </c>
      <c r="AU702" t="s">
        <v>125</v>
      </c>
      <c r="AV702">
        <v>15.933284</v>
      </c>
      <c r="AW702">
        <v>100</v>
      </c>
      <c r="AX702">
        <v>0.30003600000000002</v>
      </c>
      <c r="AY702" t="s">
        <v>125</v>
      </c>
      <c r="AZ702">
        <v>30.003629</v>
      </c>
      <c r="BA702">
        <v>100</v>
      </c>
      <c r="BB702" t="s">
        <v>125</v>
      </c>
      <c r="BC702" t="s">
        <v>125</v>
      </c>
      <c r="BD702" t="s">
        <v>125</v>
      </c>
      <c r="BE702" t="s">
        <v>125</v>
      </c>
      <c r="BF702" t="s">
        <v>125</v>
      </c>
      <c r="BG702" t="s">
        <v>125</v>
      </c>
      <c r="BH702">
        <v>0</v>
      </c>
      <c r="BI702">
        <v>0.98484799999999995</v>
      </c>
      <c r="BJ702">
        <v>0.98333300000000001</v>
      </c>
      <c r="BK702" t="s">
        <v>125</v>
      </c>
      <c r="BL702">
        <v>0.98484799999999995</v>
      </c>
      <c r="BM702">
        <v>0.98333300000000001</v>
      </c>
      <c r="BN702" t="s">
        <v>125</v>
      </c>
      <c r="BO702" t="s">
        <v>125</v>
      </c>
      <c r="BP702" t="s">
        <v>125</v>
      </c>
      <c r="BQ702" t="s">
        <v>125</v>
      </c>
      <c r="BR702">
        <v>0.193939</v>
      </c>
      <c r="BS702">
        <v>21.212121</v>
      </c>
      <c r="BT702">
        <v>50</v>
      </c>
      <c r="BU702">
        <v>0.180451</v>
      </c>
      <c r="BV702">
        <v>23.909773999999999</v>
      </c>
      <c r="BW702">
        <v>50</v>
      </c>
      <c r="BX702" t="s">
        <v>125</v>
      </c>
      <c r="BY702" t="s">
        <v>125</v>
      </c>
      <c r="BZ702" t="s">
        <v>125</v>
      </c>
      <c r="CA702" t="s">
        <v>125</v>
      </c>
      <c r="CB702" t="s">
        <v>125</v>
      </c>
      <c r="CC702" t="s">
        <v>125</v>
      </c>
      <c r="CD702" t="s">
        <v>125</v>
      </c>
      <c r="CE702" t="s">
        <v>125</v>
      </c>
      <c r="CF702" t="s">
        <v>125</v>
      </c>
      <c r="CG702" t="s">
        <v>125</v>
      </c>
      <c r="CH702" t="s">
        <v>125</v>
      </c>
      <c r="CI702" t="s">
        <v>125</v>
      </c>
      <c r="CJ702" t="s">
        <v>125</v>
      </c>
      <c r="CK702" t="s">
        <v>125</v>
      </c>
      <c r="CL702" t="s">
        <v>125</v>
      </c>
      <c r="CM702" t="s">
        <v>125</v>
      </c>
      <c r="CN702" t="s">
        <v>125</v>
      </c>
      <c r="CO702" t="s">
        <v>125</v>
      </c>
      <c r="CP702" t="s">
        <v>125</v>
      </c>
      <c r="CQ702">
        <v>0.25</v>
      </c>
      <c r="CR702">
        <v>1.052632</v>
      </c>
      <c r="CS702">
        <v>16.666667</v>
      </c>
      <c r="CT702">
        <v>50</v>
      </c>
      <c r="CU702" t="s">
        <v>125</v>
      </c>
      <c r="CV702" t="s">
        <v>125</v>
      </c>
      <c r="CW702" t="s">
        <v>125</v>
      </c>
      <c r="CX702" t="s">
        <v>125</v>
      </c>
      <c r="CY702" t="s">
        <v>125</v>
      </c>
      <c r="CZ702" t="s">
        <v>125</v>
      </c>
      <c r="DA702">
        <v>15.314097</v>
      </c>
      <c r="DB702">
        <v>17.400950000000002</v>
      </c>
      <c r="DC702">
        <v>16.332519999999999</v>
      </c>
      <c r="DD702" t="s">
        <v>125</v>
      </c>
      <c r="DE702">
        <v>0</v>
      </c>
      <c r="DF702" t="s">
        <v>385</v>
      </c>
      <c r="DG702" t="s">
        <v>418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Q702" t="s">
        <v>126</v>
      </c>
    </row>
    <row r="703" spans="1:121" x14ac:dyDescent="0.15">
      <c r="A703">
        <v>2018</v>
      </c>
      <c r="B703" t="s">
        <v>206</v>
      </c>
      <c r="C703" t="str">
        <f t="shared" si="26"/>
        <v>0930011</v>
      </c>
      <c r="D703" t="s">
        <v>858</v>
      </c>
      <c r="E703" t="str">
        <f>"0933211"</f>
        <v>0933211</v>
      </c>
      <c r="F703" t="s">
        <v>328</v>
      </c>
      <c r="G703" t="s">
        <v>329</v>
      </c>
      <c r="H703">
        <v>8</v>
      </c>
      <c r="I703" t="s">
        <v>336</v>
      </c>
      <c r="J703" t="s">
        <v>331</v>
      </c>
      <c r="K703">
        <v>529.74042199999997</v>
      </c>
      <c r="L703">
        <v>900</v>
      </c>
      <c r="M703">
        <v>58.860047000000002</v>
      </c>
      <c r="N703">
        <v>5</v>
      </c>
      <c r="O703">
        <v>0</v>
      </c>
      <c r="P703">
        <v>57.114443000000001</v>
      </c>
      <c r="Q703">
        <v>38.076295000000002</v>
      </c>
      <c r="R703">
        <v>50</v>
      </c>
      <c r="S703">
        <v>57.059570999999998</v>
      </c>
      <c r="T703" t="s">
        <v>125</v>
      </c>
      <c r="U703">
        <v>38.039713999999996</v>
      </c>
      <c r="V703">
        <v>50</v>
      </c>
      <c r="W703">
        <v>46.718820000000001</v>
      </c>
      <c r="X703">
        <v>31.145879999999998</v>
      </c>
      <c r="Y703">
        <v>50</v>
      </c>
      <c r="Z703" t="s">
        <v>125</v>
      </c>
      <c r="AA703">
        <v>46.291589999999999</v>
      </c>
      <c r="AB703">
        <v>30.861059999999998</v>
      </c>
      <c r="AC703">
        <v>50</v>
      </c>
      <c r="AD703">
        <v>52.904338000000003</v>
      </c>
      <c r="AE703">
        <v>35.269559000000001</v>
      </c>
      <c r="AF703">
        <v>50</v>
      </c>
      <c r="AG703">
        <v>52.708998999999999</v>
      </c>
      <c r="AH703" t="s">
        <v>125</v>
      </c>
      <c r="AI703">
        <v>35.139332000000003</v>
      </c>
      <c r="AJ703">
        <v>50</v>
      </c>
      <c r="AK703" t="s">
        <v>125</v>
      </c>
      <c r="AL703" t="s">
        <v>125</v>
      </c>
      <c r="AM703" t="s">
        <v>125</v>
      </c>
      <c r="AN703">
        <v>0.67013800000000001</v>
      </c>
      <c r="AO703">
        <v>67.013828000000004</v>
      </c>
      <c r="AP703">
        <v>100</v>
      </c>
      <c r="AQ703">
        <v>0.64998599999999995</v>
      </c>
      <c r="AR703">
        <v>64.998643999999999</v>
      </c>
      <c r="AS703">
        <v>100</v>
      </c>
      <c r="AT703">
        <v>0.66351000000000004</v>
      </c>
      <c r="AU703" t="s">
        <v>125</v>
      </c>
      <c r="AV703">
        <v>66.351005000000001</v>
      </c>
      <c r="AW703">
        <v>100</v>
      </c>
      <c r="AX703">
        <v>0.66207199999999999</v>
      </c>
      <c r="AY703" t="s">
        <v>125</v>
      </c>
      <c r="AZ703">
        <v>66.207158000000007</v>
      </c>
      <c r="BA703">
        <v>100</v>
      </c>
      <c r="BB703" t="s">
        <v>125</v>
      </c>
      <c r="BC703" t="s">
        <v>125</v>
      </c>
      <c r="BD703" t="s">
        <v>125</v>
      </c>
      <c r="BE703" t="s">
        <v>125</v>
      </c>
      <c r="BF703" t="s">
        <v>125</v>
      </c>
      <c r="BG703" t="s">
        <v>125</v>
      </c>
      <c r="BH703">
        <v>0</v>
      </c>
      <c r="BI703">
        <v>0.99148899999999995</v>
      </c>
      <c r="BJ703">
        <v>0.99065400000000003</v>
      </c>
      <c r="BK703">
        <v>1</v>
      </c>
      <c r="BL703">
        <v>0.98297900000000005</v>
      </c>
      <c r="BM703">
        <v>0.98130799999999996</v>
      </c>
      <c r="BN703">
        <v>1</v>
      </c>
      <c r="BO703">
        <v>1</v>
      </c>
      <c r="BP703">
        <v>1</v>
      </c>
      <c r="BQ703" t="s">
        <v>125</v>
      </c>
      <c r="BR703">
        <v>0.328488</v>
      </c>
      <c r="BS703">
        <v>0</v>
      </c>
      <c r="BT703">
        <v>50</v>
      </c>
      <c r="BU703">
        <v>0.32107000000000002</v>
      </c>
      <c r="BV703">
        <v>0</v>
      </c>
      <c r="BW703">
        <v>50</v>
      </c>
      <c r="BX703" t="s">
        <v>125</v>
      </c>
      <c r="BY703" t="s">
        <v>125</v>
      </c>
      <c r="BZ703" t="s">
        <v>125</v>
      </c>
      <c r="CA703" t="s">
        <v>125</v>
      </c>
      <c r="CB703" t="s">
        <v>125</v>
      </c>
      <c r="CC703" t="s">
        <v>125</v>
      </c>
      <c r="CD703">
        <v>0.73333300000000001</v>
      </c>
      <c r="CE703">
        <v>39.007092</v>
      </c>
      <c r="CF703">
        <v>50</v>
      </c>
      <c r="CG703" t="s">
        <v>125</v>
      </c>
      <c r="CH703" t="s">
        <v>125</v>
      </c>
      <c r="CI703" t="s">
        <v>125</v>
      </c>
      <c r="CJ703" t="s">
        <v>125</v>
      </c>
      <c r="CK703" t="s">
        <v>125</v>
      </c>
      <c r="CL703" t="s">
        <v>125</v>
      </c>
      <c r="CM703" t="s">
        <v>125</v>
      </c>
      <c r="CN703" t="s">
        <v>125</v>
      </c>
      <c r="CO703" t="s">
        <v>125</v>
      </c>
      <c r="CP703" t="s">
        <v>125</v>
      </c>
      <c r="CQ703">
        <v>0.264463</v>
      </c>
      <c r="CR703">
        <v>1.080357</v>
      </c>
      <c r="CS703">
        <v>17.630853999999999</v>
      </c>
      <c r="CT703">
        <v>50</v>
      </c>
      <c r="CU703" t="s">
        <v>125</v>
      </c>
      <c r="CV703" t="s">
        <v>125</v>
      </c>
      <c r="CW703" t="s">
        <v>125</v>
      </c>
      <c r="CX703" t="s">
        <v>125</v>
      </c>
      <c r="CY703" t="s">
        <v>125</v>
      </c>
      <c r="CZ703" t="s">
        <v>125</v>
      </c>
      <c r="DA703">
        <v>15.314097</v>
      </c>
      <c r="DB703">
        <v>17.400950000000002</v>
      </c>
      <c r="DC703">
        <v>16.332519999999999</v>
      </c>
      <c r="DD703" t="s">
        <v>125</v>
      </c>
      <c r="DE703">
        <v>0</v>
      </c>
      <c r="DF703" t="s">
        <v>376</v>
      </c>
      <c r="DG703" t="s">
        <v>377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Q703" t="s">
        <v>126</v>
      </c>
    </row>
    <row r="704" spans="1:121" x14ac:dyDescent="0.15">
      <c r="A704">
        <v>2018</v>
      </c>
      <c r="B704" t="s">
        <v>206</v>
      </c>
      <c r="C704" t="str">
        <f t="shared" si="26"/>
        <v>0930011</v>
      </c>
      <c r="D704" t="s">
        <v>859</v>
      </c>
      <c r="E704" t="str">
        <f>"0936111"</f>
        <v>0936111</v>
      </c>
      <c r="F704" t="s">
        <v>328</v>
      </c>
      <c r="G704">
        <v>9</v>
      </c>
      <c r="H704">
        <v>12</v>
      </c>
      <c r="J704" t="s">
        <v>331</v>
      </c>
      <c r="K704">
        <v>845.70676300000002</v>
      </c>
      <c r="L704">
        <v>1550</v>
      </c>
      <c r="M704">
        <v>54.561726999999998</v>
      </c>
      <c r="N704">
        <v>3</v>
      </c>
      <c r="O704">
        <v>0</v>
      </c>
      <c r="P704">
        <v>42.842457000000003</v>
      </c>
      <c r="Q704">
        <v>85.684915000000004</v>
      </c>
      <c r="R704">
        <v>150</v>
      </c>
      <c r="S704">
        <v>41.945402000000001</v>
      </c>
      <c r="T704">
        <v>47.797618999999997</v>
      </c>
      <c r="U704">
        <v>83.890805</v>
      </c>
      <c r="V704">
        <v>150</v>
      </c>
      <c r="W704">
        <v>38.493309000000004</v>
      </c>
      <c r="X704">
        <v>76.986618000000007</v>
      </c>
      <c r="Y704">
        <v>150</v>
      </c>
      <c r="Z704">
        <v>43.257936999999998</v>
      </c>
      <c r="AA704">
        <v>37.630747</v>
      </c>
      <c r="AB704">
        <v>75.261493999999999</v>
      </c>
      <c r="AC704">
        <v>150</v>
      </c>
      <c r="AD704">
        <v>42.511364</v>
      </c>
      <c r="AE704">
        <v>56.681818999999997</v>
      </c>
      <c r="AF704">
        <v>100</v>
      </c>
      <c r="AG704">
        <v>40.987969999999997</v>
      </c>
      <c r="AH704">
        <v>51.252746999999999</v>
      </c>
      <c r="AI704">
        <v>54.650626000000003</v>
      </c>
      <c r="AJ704">
        <v>100</v>
      </c>
      <c r="AK704">
        <v>5.85</v>
      </c>
      <c r="AL704">
        <v>5.62</v>
      </c>
      <c r="AM704">
        <v>10.26</v>
      </c>
      <c r="AN704" t="s">
        <v>125</v>
      </c>
      <c r="AO704" t="s">
        <v>125</v>
      </c>
      <c r="AP704" t="s">
        <v>125</v>
      </c>
      <c r="AQ704" t="s">
        <v>125</v>
      </c>
      <c r="AR704" t="s">
        <v>125</v>
      </c>
      <c r="AS704" t="s">
        <v>125</v>
      </c>
      <c r="AT704" t="s">
        <v>125</v>
      </c>
      <c r="AU704" t="s">
        <v>125</v>
      </c>
      <c r="AV704" t="s">
        <v>125</v>
      </c>
      <c r="AW704" t="s">
        <v>125</v>
      </c>
      <c r="AX704" t="s">
        <v>125</v>
      </c>
      <c r="AY704" t="s">
        <v>125</v>
      </c>
      <c r="AZ704" t="s">
        <v>125</v>
      </c>
      <c r="BA704" t="s">
        <v>125</v>
      </c>
      <c r="BB704">
        <v>0.40540199999999998</v>
      </c>
      <c r="BC704">
        <v>20.270078999999999</v>
      </c>
      <c r="BD704">
        <v>50</v>
      </c>
      <c r="BE704">
        <v>0.44677299999999998</v>
      </c>
      <c r="BF704">
        <v>22.338632</v>
      </c>
      <c r="BG704">
        <v>50</v>
      </c>
      <c r="BH704">
        <v>1</v>
      </c>
      <c r="BI704">
        <v>0.92592600000000003</v>
      </c>
      <c r="BJ704">
        <v>0.91970799999999997</v>
      </c>
      <c r="BK704">
        <v>0.96</v>
      </c>
      <c r="BL704">
        <v>0.92592600000000003</v>
      </c>
      <c r="BM704">
        <v>0.91970799999999997</v>
      </c>
      <c r="BN704">
        <v>0.96</v>
      </c>
      <c r="BO704">
        <v>0.96024500000000002</v>
      </c>
      <c r="BP704">
        <v>0.96350400000000003</v>
      </c>
      <c r="BQ704">
        <v>0.94339600000000001</v>
      </c>
      <c r="BR704">
        <v>0.41293200000000002</v>
      </c>
      <c r="BS704">
        <v>0</v>
      </c>
      <c r="BT704">
        <v>50</v>
      </c>
      <c r="BU704">
        <v>0.443048</v>
      </c>
      <c r="BV704">
        <v>0</v>
      </c>
      <c r="BW704">
        <v>50</v>
      </c>
      <c r="BX704">
        <v>0.476327</v>
      </c>
      <c r="BY704">
        <v>31.755140999999998</v>
      </c>
      <c r="BZ704">
        <v>50</v>
      </c>
      <c r="CA704">
        <v>0.187948</v>
      </c>
      <c r="CB704">
        <v>12.52989</v>
      </c>
      <c r="CC704">
        <v>50</v>
      </c>
      <c r="CD704">
        <v>0.80549199999999999</v>
      </c>
      <c r="CE704">
        <v>42.845319000000003</v>
      </c>
      <c r="CF704">
        <v>50</v>
      </c>
      <c r="CG704">
        <v>0.82152199999999997</v>
      </c>
      <c r="CH704">
        <v>87.395989999999998</v>
      </c>
      <c r="CI704">
        <v>100</v>
      </c>
      <c r="CJ704">
        <v>0</v>
      </c>
      <c r="CK704">
        <v>0.79655200000000004</v>
      </c>
      <c r="CL704">
        <v>84.739545000000007</v>
      </c>
      <c r="CM704">
        <v>100</v>
      </c>
      <c r="CN704">
        <v>0.50316499999999997</v>
      </c>
      <c r="CO704">
        <v>67.088607999999994</v>
      </c>
      <c r="CP704">
        <v>100</v>
      </c>
      <c r="CQ704">
        <v>0.41</v>
      </c>
      <c r="CR704">
        <v>0.46296300000000001</v>
      </c>
      <c r="CS704">
        <v>0</v>
      </c>
      <c r="CT704">
        <v>50</v>
      </c>
      <c r="CU704">
        <v>0.52304700000000004</v>
      </c>
      <c r="CV704">
        <v>43.587280999999997</v>
      </c>
      <c r="CW704">
        <v>50</v>
      </c>
      <c r="CX704">
        <v>0.79655200000000004</v>
      </c>
      <c r="CY704">
        <v>0.83333299999999999</v>
      </c>
      <c r="CZ704">
        <v>3.6782000000000002E-2</v>
      </c>
      <c r="DA704">
        <v>15.314097</v>
      </c>
      <c r="DB704">
        <v>17.400950000000002</v>
      </c>
      <c r="DC704">
        <v>16.332519999999999</v>
      </c>
      <c r="DD704">
        <v>7.9891730000000001</v>
      </c>
      <c r="DE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Q704" t="s">
        <v>126</v>
      </c>
    </row>
    <row r="705" spans="1:121" x14ac:dyDescent="0.15">
      <c r="A705">
        <v>2018</v>
      </c>
      <c r="B705" t="s">
        <v>206</v>
      </c>
      <c r="C705" t="str">
        <f t="shared" si="26"/>
        <v>0930011</v>
      </c>
      <c r="D705" t="s">
        <v>860</v>
      </c>
      <c r="E705" t="str">
        <f>"0933811"</f>
        <v>0933811</v>
      </c>
      <c r="F705" t="s">
        <v>328</v>
      </c>
      <c r="G705" t="s">
        <v>339</v>
      </c>
      <c r="H705">
        <v>8</v>
      </c>
      <c r="J705" t="s">
        <v>331</v>
      </c>
      <c r="K705">
        <v>820.00042299999996</v>
      </c>
      <c r="L705">
        <v>1000</v>
      </c>
      <c r="M705">
        <v>82.000041999999993</v>
      </c>
      <c r="N705">
        <v>2</v>
      </c>
      <c r="O705">
        <v>0</v>
      </c>
      <c r="P705">
        <v>82.379345999999998</v>
      </c>
      <c r="Q705">
        <v>50</v>
      </c>
      <c r="R705">
        <v>50</v>
      </c>
      <c r="S705">
        <v>73.528609000000003</v>
      </c>
      <c r="T705">
        <v>75</v>
      </c>
      <c r="U705">
        <v>49.019072999999999</v>
      </c>
      <c r="V705">
        <v>50</v>
      </c>
      <c r="W705">
        <v>76.029646999999997</v>
      </c>
      <c r="X705">
        <v>50</v>
      </c>
      <c r="Y705">
        <v>50</v>
      </c>
      <c r="Z705">
        <v>75</v>
      </c>
      <c r="AA705">
        <v>67.145668999999998</v>
      </c>
      <c r="AB705">
        <v>44.763779</v>
      </c>
      <c r="AC705">
        <v>50</v>
      </c>
      <c r="AD705">
        <v>79.248987</v>
      </c>
      <c r="AE705">
        <v>50</v>
      </c>
      <c r="AF705">
        <v>50</v>
      </c>
      <c r="AG705">
        <v>72.489407</v>
      </c>
      <c r="AH705">
        <v>75</v>
      </c>
      <c r="AI705">
        <v>48.326272000000003</v>
      </c>
      <c r="AJ705">
        <v>50</v>
      </c>
      <c r="AK705">
        <v>1.47</v>
      </c>
      <c r="AL705">
        <v>7.85</v>
      </c>
      <c r="AM705">
        <v>2.5099999999999998</v>
      </c>
      <c r="AN705">
        <v>0.70699500000000004</v>
      </c>
      <c r="AO705">
        <v>70.699481000000006</v>
      </c>
      <c r="AP705">
        <v>100</v>
      </c>
      <c r="AQ705">
        <v>0.70643599999999995</v>
      </c>
      <c r="AR705">
        <v>70.643580999999998</v>
      </c>
      <c r="AS705">
        <v>100</v>
      </c>
      <c r="AT705">
        <v>0.69213800000000003</v>
      </c>
      <c r="AU705">
        <v>0.71431699999999998</v>
      </c>
      <c r="AV705">
        <v>69.213791000000001</v>
      </c>
      <c r="AW705">
        <v>100</v>
      </c>
      <c r="AX705">
        <v>0.73414400000000002</v>
      </c>
      <c r="AY705">
        <v>0.69277999999999995</v>
      </c>
      <c r="AZ705">
        <v>73.414378999999997</v>
      </c>
      <c r="BA705">
        <v>100</v>
      </c>
      <c r="BB705">
        <v>0.76477499999999998</v>
      </c>
      <c r="BC705">
        <v>38.238740999999997</v>
      </c>
      <c r="BD705">
        <v>50</v>
      </c>
      <c r="BE705">
        <v>0.55415599999999998</v>
      </c>
      <c r="BF705">
        <v>27.707820999999999</v>
      </c>
      <c r="BG705">
        <v>50</v>
      </c>
      <c r="BH705">
        <v>0</v>
      </c>
      <c r="BI705">
        <v>0.97704899999999995</v>
      </c>
      <c r="BJ705">
        <v>0.96551699999999996</v>
      </c>
      <c r="BK705">
        <v>0.98412699999999997</v>
      </c>
      <c r="BL705">
        <v>0.97704899999999995</v>
      </c>
      <c r="BM705">
        <v>0.96551699999999996</v>
      </c>
      <c r="BN705">
        <v>0.98412699999999997</v>
      </c>
      <c r="BO705">
        <v>1</v>
      </c>
      <c r="BP705">
        <v>1</v>
      </c>
      <c r="BQ705">
        <v>1</v>
      </c>
      <c r="BR705">
        <v>4.7726999999999999E-2</v>
      </c>
      <c r="BS705">
        <v>50</v>
      </c>
      <c r="BT705">
        <v>50</v>
      </c>
      <c r="BU705">
        <v>6.8027000000000004E-2</v>
      </c>
      <c r="BV705">
        <v>46.394558000000004</v>
      </c>
      <c r="BW705">
        <v>50</v>
      </c>
      <c r="BX705" t="s">
        <v>125</v>
      </c>
      <c r="BY705" t="s">
        <v>125</v>
      </c>
      <c r="BZ705" t="s">
        <v>125</v>
      </c>
      <c r="CA705" t="s">
        <v>125</v>
      </c>
      <c r="CB705" t="s">
        <v>125</v>
      </c>
      <c r="CC705" t="s">
        <v>125</v>
      </c>
      <c r="CD705">
        <v>0.96774199999999999</v>
      </c>
      <c r="CE705">
        <v>50</v>
      </c>
      <c r="CF705">
        <v>50</v>
      </c>
      <c r="CG705" t="s">
        <v>125</v>
      </c>
      <c r="CH705" t="s">
        <v>125</v>
      </c>
      <c r="CI705" t="s">
        <v>125</v>
      </c>
      <c r="CJ705" t="s">
        <v>125</v>
      </c>
      <c r="CK705" t="s">
        <v>125</v>
      </c>
      <c r="CL705" t="s">
        <v>125</v>
      </c>
      <c r="CM705" t="s">
        <v>125</v>
      </c>
      <c r="CN705" t="s">
        <v>125</v>
      </c>
      <c r="CO705" t="s">
        <v>125</v>
      </c>
      <c r="CP705" t="s">
        <v>125</v>
      </c>
      <c r="CQ705">
        <v>0.47368399999999999</v>
      </c>
      <c r="CR705">
        <v>1.013333</v>
      </c>
      <c r="CS705">
        <v>31.578946999999999</v>
      </c>
      <c r="CT705">
        <v>50</v>
      </c>
      <c r="CU705" t="s">
        <v>125</v>
      </c>
      <c r="CV705" t="s">
        <v>125</v>
      </c>
      <c r="CW705" t="s">
        <v>125</v>
      </c>
      <c r="CX705" t="s">
        <v>125</v>
      </c>
      <c r="CY705" t="s">
        <v>125</v>
      </c>
      <c r="CZ705" t="s">
        <v>125</v>
      </c>
      <c r="DA705">
        <v>15.314097</v>
      </c>
      <c r="DB705">
        <v>17.400950000000002</v>
      </c>
      <c r="DC705">
        <v>16.332519999999999</v>
      </c>
      <c r="DD705" t="s">
        <v>125</v>
      </c>
      <c r="DE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Q705" t="s">
        <v>126</v>
      </c>
    </row>
    <row r="706" spans="1:121" x14ac:dyDescent="0.15">
      <c r="A706">
        <v>2018</v>
      </c>
      <c r="B706" t="s">
        <v>135</v>
      </c>
      <c r="C706" t="str">
        <f t="shared" ref="C706:C712" si="27">"0940011"</f>
        <v>0940011</v>
      </c>
      <c r="D706" t="s">
        <v>861</v>
      </c>
      <c r="E706" t="str">
        <f>"0940611"</f>
        <v>0940611</v>
      </c>
      <c r="F706" t="s">
        <v>328</v>
      </c>
      <c r="G706" t="s">
        <v>329</v>
      </c>
      <c r="H706">
        <v>4</v>
      </c>
      <c r="I706" t="s">
        <v>330</v>
      </c>
      <c r="J706" t="s">
        <v>331</v>
      </c>
      <c r="K706">
        <v>723.86089900000002</v>
      </c>
      <c r="L706">
        <v>850</v>
      </c>
      <c r="M706">
        <v>85.160105999999999</v>
      </c>
      <c r="N706">
        <v>1</v>
      </c>
      <c r="O706">
        <v>0</v>
      </c>
      <c r="P706">
        <v>72.790225000000007</v>
      </c>
      <c r="Q706">
        <v>48.526817000000001</v>
      </c>
      <c r="R706">
        <v>50</v>
      </c>
      <c r="S706">
        <v>67.548900000000003</v>
      </c>
      <c r="T706">
        <v>75</v>
      </c>
      <c r="U706">
        <v>45.032600000000002</v>
      </c>
      <c r="V706">
        <v>50</v>
      </c>
      <c r="W706">
        <v>69.397729999999996</v>
      </c>
      <c r="X706">
        <v>46.265152999999998</v>
      </c>
      <c r="Y706">
        <v>50</v>
      </c>
      <c r="Z706">
        <v>73.213911999999993</v>
      </c>
      <c r="AA706">
        <v>64.164107999999999</v>
      </c>
      <c r="AB706">
        <v>42.776071999999999</v>
      </c>
      <c r="AC706">
        <v>50</v>
      </c>
      <c r="AD706" t="s">
        <v>125</v>
      </c>
      <c r="AE706" t="s">
        <v>125</v>
      </c>
      <c r="AF706" t="s">
        <v>125</v>
      </c>
      <c r="AG706" t="s">
        <v>125</v>
      </c>
      <c r="AH706" t="s">
        <v>125</v>
      </c>
      <c r="AI706" t="s">
        <v>125</v>
      </c>
      <c r="AJ706" t="s">
        <v>125</v>
      </c>
      <c r="AK706">
        <v>7.45</v>
      </c>
      <c r="AL706">
        <v>9.0399999999999991</v>
      </c>
      <c r="AM706" t="s">
        <v>125</v>
      </c>
      <c r="AN706">
        <v>0.75036000000000003</v>
      </c>
      <c r="AO706">
        <v>75.036046999999996</v>
      </c>
      <c r="AP706">
        <v>100</v>
      </c>
      <c r="AQ706">
        <v>0.91994500000000001</v>
      </c>
      <c r="AR706">
        <v>91.994488000000004</v>
      </c>
      <c r="AS706">
        <v>100</v>
      </c>
      <c r="AT706">
        <v>0.754139</v>
      </c>
      <c r="AU706">
        <v>0.74800900000000003</v>
      </c>
      <c r="AV706">
        <v>75.413891000000007</v>
      </c>
      <c r="AW706">
        <v>100</v>
      </c>
      <c r="AX706">
        <v>0.94955199999999995</v>
      </c>
      <c r="AY706">
        <v>0.90152299999999996</v>
      </c>
      <c r="AZ706">
        <v>94.955196000000001</v>
      </c>
      <c r="BA706">
        <v>100</v>
      </c>
      <c r="BB706">
        <v>0.84650199999999998</v>
      </c>
      <c r="BC706">
        <v>42.325122</v>
      </c>
      <c r="BD706">
        <v>50</v>
      </c>
      <c r="BE706">
        <v>0.4592</v>
      </c>
      <c r="BF706">
        <v>22.960014999999999</v>
      </c>
      <c r="BG706">
        <v>50</v>
      </c>
      <c r="BH706">
        <v>0</v>
      </c>
      <c r="BI706">
        <v>1</v>
      </c>
      <c r="BJ706">
        <v>1</v>
      </c>
      <c r="BK706">
        <v>1</v>
      </c>
      <c r="BL706">
        <v>0.99408300000000005</v>
      </c>
      <c r="BM706">
        <v>0.98630099999999998</v>
      </c>
      <c r="BN706">
        <v>1</v>
      </c>
      <c r="BO706" t="s">
        <v>125</v>
      </c>
      <c r="BP706" t="s">
        <v>125</v>
      </c>
      <c r="BQ706" t="s">
        <v>125</v>
      </c>
      <c r="BR706">
        <v>5.3845999999999998E-2</v>
      </c>
      <c r="BS706">
        <v>49.230769000000002</v>
      </c>
      <c r="BT706">
        <v>50</v>
      </c>
      <c r="BU706">
        <v>9.2592999999999995E-2</v>
      </c>
      <c r="BV706">
        <v>41.481481000000002</v>
      </c>
      <c r="BW706">
        <v>50</v>
      </c>
      <c r="BX706" t="s">
        <v>125</v>
      </c>
      <c r="BY706" t="s">
        <v>125</v>
      </c>
      <c r="BZ706" t="s">
        <v>125</v>
      </c>
      <c r="CA706" t="s">
        <v>125</v>
      </c>
      <c r="CB706" t="s">
        <v>125</v>
      </c>
      <c r="CC706" t="s">
        <v>125</v>
      </c>
      <c r="CD706" t="s">
        <v>125</v>
      </c>
      <c r="CE706" t="s">
        <v>125</v>
      </c>
      <c r="CF706" t="s">
        <v>125</v>
      </c>
      <c r="CG706" t="s">
        <v>125</v>
      </c>
      <c r="CH706" t="s">
        <v>125</v>
      </c>
      <c r="CI706" t="s">
        <v>125</v>
      </c>
      <c r="CJ706" t="s">
        <v>125</v>
      </c>
      <c r="CK706" t="s">
        <v>125</v>
      </c>
      <c r="CL706" t="s">
        <v>125</v>
      </c>
      <c r="CM706" t="s">
        <v>125</v>
      </c>
      <c r="CN706" t="s">
        <v>125</v>
      </c>
      <c r="CO706" t="s">
        <v>125</v>
      </c>
      <c r="CP706" t="s">
        <v>125</v>
      </c>
      <c r="CQ706">
        <v>0.71794899999999995</v>
      </c>
      <c r="CR706">
        <v>1</v>
      </c>
      <c r="CS706">
        <v>47.863247999999999</v>
      </c>
      <c r="CT706">
        <v>50</v>
      </c>
      <c r="CU706" t="s">
        <v>125</v>
      </c>
      <c r="CV706" t="s">
        <v>125</v>
      </c>
      <c r="CW706" t="s">
        <v>125</v>
      </c>
      <c r="CX706" t="s">
        <v>125</v>
      </c>
      <c r="CY706" t="s">
        <v>125</v>
      </c>
      <c r="CZ706" t="s">
        <v>125</v>
      </c>
      <c r="DA706">
        <v>15.314097</v>
      </c>
      <c r="DB706">
        <v>17.400950000000002</v>
      </c>
      <c r="DC706">
        <v>16.332519999999999</v>
      </c>
      <c r="DD706" t="s">
        <v>125</v>
      </c>
      <c r="DE706">
        <v>0</v>
      </c>
      <c r="DH706" t="s">
        <v>332</v>
      </c>
      <c r="DI706" t="s">
        <v>477</v>
      </c>
      <c r="DJ706">
        <v>0</v>
      </c>
      <c r="DK706">
        <v>0</v>
      </c>
      <c r="DL706">
        <v>1</v>
      </c>
      <c r="DM706">
        <v>1</v>
      </c>
      <c r="DN706">
        <v>1</v>
      </c>
      <c r="DO706">
        <v>0</v>
      </c>
      <c r="DQ706" t="s">
        <v>126</v>
      </c>
    </row>
    <row r="707" spans="1:121" x14ac:dyDescent="0.15">
      <c r="A707">
        <v>2018</v>
      </c>
      <c r="B707" t="s">
        <v>135</v>
      </c>
      <c r="C707" t="str">
        <f t="shared" si="27"/>
        <v>0940011</v>
      </c>
      <c r="D707" t="s">
        <v>862</v>
      </c>
      <c r="E707" t="str">
        <f>"0940211"</f>
        <v>0940211</v>
      </c>
      <c r="F707" t="s">
        <v>328</v>
      </c>
      <c r="G707" t="s">
        <v>329</v>
      </c>
      <c r="H707">
        <v>4</v>
      </c>
      <c r="I707" t="s">
        <v>330</v>
      </c>
      <c r="J707" t="s">
        <v>331</v>
      </c>
      <c r="K707">
        <v>644.93860299999994</v>
      </c>
      <c r="L707">
        <v>850</v>
      </c>
      <c r="M707">
        <v>75.875129999999999</v>
      </c>
      <c r="N707">
        <v>2</v>
      </c>
      <c r="O707">
        <v>0</v>
      </c>
      <c r="P707">
        <v>70.826560000000001</v>
      </c>
      <c r="Q707">
        <v>47.217706999999997</v>
      </c>
      <c r="R707">
        <v>50</v>
      </c>
      <c r="S707">
        <v>65.198617999999996</v>
      </c>
      <c r="T707">
        <v>75</v>
      </c>
      <c r="U707">
        <v>43.465744999999998</v>
      </c>
      <c r="V707">
        <v>50</v>
      </c>
      <c r="W707">
        <v>66.511748999999995</v>
      </c>
      <c r="X707">
        <v>44.341166000000001</v>
      </c>
      <c r="Y707">
        <v>50</v>
      </c>
      <c r="Z707">
        <v>74.495791999999994</v>
      </c>
      <c r="AA707">
        <v>59.795014000000002</v>
      </c>
      <c r="AB707">
        <v>39.863343</v>
      </c>
      <c r="AC707">
        <v>50</v>
      </c>
      <c r="AD707" t="s">
        <v>125</v>
      </c>
      <c r="AE707" t="s">
        <v>125</v>
      </c>
      <c r="AF707" t="s">
        <v>125</v>
      </c>
      <c r="AG707" t="s">
        <v>125</v>
      </c>
      <c r="AH707" t="s">
        <v>125</v>
      </c>
      <c r="AI707" t="s">
        <v>125</v>
      </c>
      <c r="AJ707" t="s">
        <v>125</v>
      </c>
      <c r="AK707">
        <v>9.8000000000000007</v>
      </c>
      <c r="AL707">
        <v>14.7</v>
      </c>
      <c r="AM707" t="s">
        <v>125</v>
      </c>
      <c r="AN707">
        <v>0.60728300000000002</v>
      </c>
      <c r="AO707">
        <v>60.728268999999997</v>
      </c>
      <c r="AP707">
        <v>100</v>
      </c>
      <c r="AQ707">
        <v>0.77379500000000001</v>
      </c>
      <c r="AR707">
        <v>77.379508000000001</v>
      </c>
      <c r="AS707">
        <v>100</v>
      </c>
      <c r="AT707">
        <v>0.591665</v>
      </c>
      <c r="AU707">
        <v>0.62694899999999998</v>
      </c>
      <c r="AV707">
        <v>59.166497</v>
      </c>
      <c r="AW707">
        <v>100</v>
      </c>
      <c r="AX707">
        <v>0.76026000000000005</v>
      </c>
      <c r="AY707">
        <v>0.79083999999999999</v>
      </c>
      <c r="AZ707">
        <v>76.025964999999999</v>
      </c>
      <c r="BA707">
        <v>100</v>
      </c>
      <c r="BB707">
        <v>0.84330499999999997</v>
      </c>
      <c r="BC707">
        <v>42.165246000000003</v>
      </c>
      <c r="BD707">
        <v>50</v>
      </c>
      <c r="BE707">
        <v>0.55642800000000003</v>
      </c>
      <c r="BF707">
        <v>27.821376999999998</v>
      </c>
      <c r="BG707">
        <v>50</v>
      </c>
      <c r="BH707">
        <v>0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 t="s">
        <v>125</v>
      </c>
      <c r="BP707" t="s">
        <v>125</v>
      </c>
      <c r="BQ707" t="s">
        <v>125</v>
      </c>
      <c r="BR707">
        <v>3.8595999999999998E-2</v>
      </c>
      <c r="BS707">
        <v>50</v>
      </c>
      <c r="BT707">
        <v>50</v>
      </c>
      <c r="BU707">
        <v>6.9620000000000001E-2</v>
      </c>
      <c r="BV707">
        <v>46.075949000000001</v>
      </c>
      <c r="BW707">
        <v>50</v>
      </c>
      <c r="BX707" t="s">
        <v>125</v>
      </c>
      <c r="BY707" t="s">
        <v>125</v>
      </c>
      <c r="BZ707" t="s">
        <v>125</v>
      </c>
      <c r="CA707" t="s">
        <v>125</v>
      </c>
      <c r="CB707" t="s">
        <v>125</v>
      </c>
      <c r="CC707" t="s">
        <v>125</v>
      </c>
      <c r="CD707" t="s">
        <v>125</v>
      </c>
      <c r="CE707" t="s">
        <v>125</v>
      </c>
      <c r="CF707" t="s">
        <v>125</v>
      </c>
      <c r="CG707" t="s">
        <v>125</v>
      </c>
      <c r="CH707" t="s">
        <v>125</v>
      </c>
      <c r="CI707" t="s">
        <v>125</v>
      </c>
      <c r="CJ707" t="s">
        <v>125</v>
      </c>
      <c r="CK707" t="s">
        <v>125</v>
      </c>
      <c r="CL707" t="s">
        <v>125</v>
      </c>
      <c r="CM707" t="s">
        <v>125</v>
      </c>
      <c r="CN707" t="s">
        <v>125</v>
      </c>
      <c r="CO707" t="s">
        <v>125</v>
      </c>
      <c r="CP707" t="s">
        <v>125</v>
      </c>
      <c r="CQ707">
        <v>0.46031699999999998</v>
      </c>
      <c r="CR707">
        <v>0.984375</v>
      </c>
      <c r="CS707">
        <v>30.687830999999999</v>
      </c>
      <c r="CT707">
        <v>50</v>
      </c>
      <c r="CU707" t="s">
        <v>125</v>
      </c>
      <c r="CV707" t="s">
        <v>125</v>
      </c>
      <c r="CW707" t="s">
        <v>125</v>
      </c>
      <c r="CX707" t="s">
        <v>125</v>
      </c>
      <c r="CY707" t="s">
        <v>125</v>
      </c>
      <c r="CZ707" t="s">
        <v>125</v>
      </c>
      <c r="DA707">
        <v>15.314097</v>
      </c>
      <c r="DB707">
        <v>17.400950000000002</v>
      </c>
      <c r="DC707">
        <v>16.332519999999999</v>
      </c>
      <c r="DD707" t="s">
        <v>125</v>
      </c>
      <c r="DE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Q707" t="s">
        <v>126</v>
      </c>
    </row>
    <row r="708" spans="1:121" x14ac:dyDescent="0.15">
      <c r="A708">
        <v>2018</v>
      </c>
      <c r="B708" t="s">
        <v>135</v>
      </c>
      <c r="C708" t="str">
        <f t="shared" si="27"/>
        <v>0940011</v>
      </c>
      <c r="D708" t="s">
        <v>863</v>
      </c>
      <c r="E708" t="str">
        <f>"0940811"</f>
        <v>0940811</v>
      </c>
      <c r="F708" t="s">
        <v>328</v>
      </c>
      <c r="G708" t="s">
        <v>329</v>
      </c>
      <c r="H708">
        <v>4</v>
      </c>
      <c r="J708" t="s">
        <v>331</v>
      </c>
      <c r="K708">
        <v>641.17974100000004</v>
      </c>
      <c r="L708">
        <v>850</v>
      </c>
      <c r="M708">
        <v>75.432911000000004</v>
      </c>
      <c r="N708">
        <v>2</v>
      </c>
      <c r="O708">
        <v>0</v>
      </c>
      <c r="P708">
        <v>72.078434999999999</v>
      </c>
      <c r="Q708">
        <v>48.052289999999999</v>
      </c>
      <c r="R708">
        <v>50</v>
      </c>
      <c r="S708">
        <v>66.241511000000003</v>
      </c>
      <c r="T708">
        <v>75</v>
      </c>
      <c r="U708">
        <v>44.161006999999998</v>
      </c>
      <c r="V708">
        <v>50</v>
      </c>
      <c r="W708">
        <v>68.136028999999994</v>
      </c>
      <c r="X708">
        <v>45.424019000000001</v>
      </c>
      <c r="Y708">
        <v>50</v>
      </c>
      <c r="Z708">
        <v>75</v>
      </c>
      <c r="AA708">
        <v>61.386085999999999</v>
      </c>
      <c r="AB708">
        <v>40.924056999999998</v>
      </c>
      <c r="AC708">
        <v>50</v>
      </c>
      <c r="AD708" t="s">
        <v>125</v>
      </c>
      <c r="AE708" t="s">
        <v>125</v>
      </c>
      <c r="AF708" t="s">
        <v>125</v>
      </c>
      <c r="AG708" t="s">
        <v>125</v>
      </c>
      <c r="AH708" t="s">
        <v>125</v>
      </c>
      <c r="AI708" t="s">
        <v>125</v>
      </c>
      <c r="AJ708" t="s">
        <v>125</v>
      </c>
      <c r="AK708">
        <v>8.75</v>
      </c>
      <c r="AL708">
        <v>13.61</v>
      </c>
      <c r="AM708" t="s">
        <v>125</v>
      </c>
      <c r="AN708">
        <v>0.61976900000000001</v>
      </c>
      <c r="AO708">
        <v>61.976922999999999</v>
      </c>
      <c r="AP708">
        <v>100</v>
      </c>
      <c r="AQ708">
        <v>0.69283700000000004</v>
      </c>
      <c r="AR708">
        <v>69.283715000000001</v>
      </c>
      <c r="AS708">
        <v>100</v>
      </c>
      <c r="AT708">
        <v>0.67088499999999995</v>
      </c>
      <c r="AU708">
        <v>0.57595600000000002</v>
      </c>
      <c r="AV708">
        <v>67.088520000000003</v>
      </c>
      <c r="AW708">
        <v>100</v>
      </c>
      <c r="AX708">
        <v>0.68283499999999997</v>
      </c>
      <c r="AY708">
        <v>0.70141100000000001</v>
      </c>
      <c r="AZ708">
        <v>68.283475999999993</v>
      </c>
      <c r="BA708">
        <v>100</v>
      </c>
      <c r="BB708">
        <v>0.77648600000000001</v>
      </c>
      <c r="BC708">
        <v>38.824292</v>
      </c>
      <c r="BD708">
        <v>50</v>
      </c>
      <c r="BE708">
        <v>0.46030199999999999</v>
      </c>
      <c r="BF708">
        <v>23.0151</v>
      </c>
      <c r="BG708">
        <v>50</v>
      </c>
      <c r="BH708">
        <v>0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 t="s">
        <v>125</v>
      </c>
      <c r="BP708" t="s">
        <v>125</v>
      </c>
      <c r="BQ708" t="s">
        <v>125</v>
      </c>
      <c r="BR708">
        <v>2.8653000000000001E-2</v>
      </c>
      <c r="BS708">
        <v>50</v>
      </c>
      <c r="BT708">
        <v>50</v>
      </c>
      <c r="BU708">
        <v>4.2944999999999997E-2</v>
      </c>
      <c r="BV708">
        <v>50</v>
      </c>
      <c r="BW708">
        <v>50</v>
      </c>
      <c r="BX708" t="s">
        <v>125</v>
      </c>
      <c r="BY708" t="s">
        <v>125</v>
      </c>
      <c r="BZ708" t="s">
        <v>125</v>
      </c>
      <c r="CA708" t="s">
        <v>125</v>
      </c>
      <c r="CB708" t="s">
        <v>125</v>
      </c>
      <c r="CC708" t="s">
        <v>125</v>
      </c>
      <c r="CD708" t="s">
        <v>125</v>
      </c>
      <c r="CE708" t="s">
        <v>125</v>
      </c>
      <c r="CF708" t="s">
        <v>125</v>
      </c>
      <c r="CG708" t="s">
        <v>125</v>
      </c>
      <c r="CH708" t="s">
        <v>125</v>
      </c>
      <c r="CI708" t="s">
        <v>125</v>
      </c>
      <c r="CJ708" t="s">
        <v>125</v>
      </c>
      <c r="CK708" t="s">
        <v>125</v>
      </c>
      <c r="CL708" t="s">
        <v>125</v>
      </c>
      <c r="CM708" t="s">
        <v>125</v>
      </c>
      <c r="CN708" t="s">
        <v>125</v>
      </c>
      <c r="CO708" t="s">
        <v>125</v>
      </c>
      <c r="CP708" t="s">
        <v>125</v>
      </c>
      <c r="CQ708">
        <v>0.51219499999999996</v>
      </c>
      <c r="CR708">
        <v>0.97619</v>
      </c>
      <c r="CS708">
        <v>34.146341</v>
      </c>
      <c r="CT708">
        <v>50</v>
      </c>
      <c r="CU708" t="s">
        <v>125</v>
      </c>
      <c r="CV708" t="s">
        <v>125</v>
      </c>
      <c r="CW708" t="s">
        <v>125</v>
      </c>
      <c r="CX708" t="s">
        <v>125</v>
      </c>
      <c r="CY708" t="s">
        <v>125</v>
      </c>
      <c r="CZ708" t="s">
        <v>125</v>
      </c>
      <c r="DA708">
        <v>15.314097</v>
      </c>
      <c r="DB708">
        <v>17.400950000000002</v>
      </c>
      <c r="DC708">
        <v>16.332519999999999</v>
      </c>
      <c r="DD708" t="s">
        <v>125</v>
      </c>
      <c r="DE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Q708" t="s">
        <v>126</v>
      </c>
    </row>
    <row r="709" spans="1:121" x14ac:dyDescent="0.15">
      <c r="A709">
        <v>2018</v>
      </c>
      <c r="B709" t="s">
        <v>135</v>
      </c>
      <c r="C709" t="str">
        <f t="shared" si="27"/>
        <v>0940011</v>
      </c>
      <c r="D709" t="s">
        <v>864</v>
      </c>
      <c r="E709" t="str">
        <f>"0945311"</f>
        <v>0945311</v>
      </c>
      <c r="F709" t="s">
        <v>328</v>
      </c>
      <c r="G709">
        <v>5</v>
      </c>
      <c r="H709">
        <v>8</v>
      </c>
      <c r="J709" t="s">
        <v>331</v>
      </c>
      <c r="K709">
        <v>612.70984199999998</v>
      </c>
      <c r="L709">
        <v>900</v>
      </c>
      <c r="M709">
        <v>68.078871000000007</v>
      </c>
      <c r="N709">
        <v>3</v>
      </c>
      <c r="O709">
        <v>0</v>
      </c>
      <c r="P709">
        <v>67.266458999999998</v>
      </c>
      <c r="Q709">
        <v>44.844306000000003</v>
      </c>
      <c r="R709">
        <v>50</v>
      </c>
      <c r="S709">
        <v>59.455661999999997</v>
      </c>
      <c r="T709">
        <v>72.868967999999995</v>
      </c>
      <c r="U709">
        <v>39.637107999999998</v>
      </c>
      <c r="V709">
        <v>50</v>
      </c>
      <c r="W709">
        <v>63.605891</v>
      </c>
      <c r="X709">
        <v>42.403927000000003</v>
      </c>
      <c r="Y709">
        <v>50</v>
      </c>
      <c r="Z709">
        <v>69.487143000000003</v>
      </c>
      <c r="AA709">
        <v>55.427945999999999</v>
      </c>
      <c r="AB709">
        <v>36.951963999999997</v>
      </c>
      <c r="AC709">
        <v>50</v>
      </c>
      <c r="AD709">
        <v>63.699562999999998</v>
      </c>
      <c r="AE709">
        <v>42.466374999999999</v>
      </c>
      <c r="AF709">
        <v>50</v>
      </c>
      <c r="AG709">
        <v>58.052819</v>
      </c>
      <c r="AH709">
        <v>68.470088000000004</v>
      </c>
      <c r="AI709">
        <v>38.701878999999998</v>
      </c>
      <c r="AJ709">
        <v>50</v>
      </c>
      <c r="AK709">
        <v>13.41</v>
      </c>
      <c r="AL709">
        <v>14.05</v>
      </c>
      <c r="AM709">
        <v>10.41</v>
      </c>
      <c r="AN709">
        <v>0.490651</v>
      </c>
      <c r="AO709">
        <v>49.065061999999998</v>
      </c>
      <c r="AP709">
        <v>100</v>
      </c>
      <c r="AQ709">
        <v>0.58279499999999995</v>
      </c>
      <c r="AR709">
        <v>58.279528999999997</v>
      </c>
      <c r="AS709">
        <v>100</v>
      </c>
      <c r="AT709">
        <v>0.44207600000000002</v>
      </c>
      <c r="AU709">
        <v>0.51977099999999998</v>
      </c>
      <c r="AV709">
        <v>44.207576000000003</v>
      </c>
      <c r="AW709">
        <v>100</v>
      </c>
      <c r="AX709">
        <v>0.52900599999999998</v>
      </c>
      <c r="AY709">
        <v>0.61525700000000005</v>
      </c>
      <c r="AZ709">
        <v>52.900599</v>
      </c>
      <c r="BA709">
        <v>100</v>
      </c>
      <c r="BB709" t="s">
        <v>125</v>
      </c>
      <c r="BC709" t="s">
        <v>125</v>
      </c>
      <c r="BD709" t="s">
        <v>125</v>
      </c>
      <c r="BE709" t="s">
        <v>125</v>
      </c>
      <c r="BF709" t="s">
        <v>125</v>
      </c>
      <c r="BG709" t="s">
        <v>125</v>
      </c>
      <c r="BH709">
        <v>0</v>
      </c>
      <c r="BI709">
        <v>0.99853800000000004</v>
      </c>
      <c r="BJ709">
        <v>0.99662200000000001</v>
      </c>
      <c r="BK709">
        <v>1</v>
      </c>
      <c r="BL709">
        <v>0.99560800000000005</v>
      </c>
      <c r="BM709">
        <v>0.99321999999999999</v>
      </c>
      <c r="BN709">
        <v>0.99742299999999995</v>
      </c>
      <c r="BO709">
        <v>0.99698799999999999</v>
      </c>
      <c r="BP709">
        <v>0.99363100000000004</v>
      </c>
      <c r="BQ709">
        <v>1</v>
      </c>
      <c r="BR709">
        <v>4.1237000000000003E-2</v>
      </c>
      <c r="BS709">
        <v>50</v>
      </c>
      <c r="BT709">
        <v>50</v>
      </c>
      <c r="BU709">
        <v>8.0153000000000002E-2</v>
      </c>
      <c r="BV709">
        <v>43.969465999999997</v>
      </c>
      <c r="BW709">
        <v>50</v>
      </c>
      <c r="BX709" t="s">
        <v>125</v>
      </c>
      <c r="BY709" t="s">
        <v>125</v>
      </c>
      <c r="BZ709" t="s">
        <v>125</v>
      </c>
      <c r="CA709" t="s">
        <v>125</v>
      </c>
      <c r="CB709" t="s">
        <v>125</v>
      </c>
      <c r="CC709" t="s">
        <v>125</v>
      </c>
      <c r="CD709">
        <v>0.96449700000000005</v>
      </c>
      <c r="CE709">
        <v>50</v>
      </c>
      <c r="CF709">
        <v>50</v>
      </c>
      <c r="CG709" t="s">
        <v>125</v>
      </c>
      <c r="CH709" t="s">
        <v>125</v>
      </c>
      <c r="CI709" t="s">
        <v>125</v>
      </c>
      <c r="CJ709" t="s">
        <v>125</v>
      </c>
      <c r="CK709" t="s">
        <v>125</v>
      </c>
      <c r="CL709" t="s">
        <v>125</v>
      </c>
      <c r="CM709" t="s">
        <v>125</v>
      </c>
      <c r="CN709" t="s">
        <v>125</v>
      </c>
      <c r="CO709" t="s">
        <v>125</v>
      </c>
      <c r="CP709" t="s">
        <v>125</v>
      </c>
      <c r="CQ709">
        <v>0.28923100000000002</v>
      </c>
      <c r="CR709">
        <v>0.95029200000000003</v>
      </c>
      <c r="CS709">
        <v>19.282050999999999</v>
      </c>
      <c r="CT709">
        <v>50</v>
      </c>
      <c r="CU709" t="s">
        <v>125</v>
      </c>
      <c r="CV709" t="s">
        <v>125</v>
      </c>
      <c r="CW709" t="s">
        <v>125</v>
      </c>
      <c r="CX709" t="s">
        <v>125</v>
      </c>
      <c r="CY709" t="s">
        <v>125</v>
      </c>
      <c r="CZ709" t="s">
        <v>125</v>
      </c>
      <c r="DA709">
        <v>15.314097</v>
      </c>
      <c r="DB709">
        <v>17.400950000000002</v>
      </c>
      <c r="DC709">
        <v>16.332519999999999</v>
      </c>
      <c r="DD709" t="s">
        <v>125</v>
      </c>
      <c r="DE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Q709" t="s">
        <v>126</v>
      </c>
    </row>
    <row r="710" spans="1:121" x14ac:dyDescent="0.15">
      <c r="A710">
        <v>2018</v>
      </c>
      <c r="B710" t="s">
        <v>135</v>
      </c>
      <c r="C710" t="str">
        <f t="shared" si="27"/>
        <v>0940011</v>
      </c>
      <c r="D710" t="s">
        <v>865</v>
      </c>
      <c r="E710" t="str">
        <f>"0945111"</f>
        <v>0945111</v>
      </c>
      <c r="F710" t="s">
        <v>328</v>
      </c>
      <c r="G710">
        <v>5</v>
      </c>
      <c r="H710">
        <v>8</v>
      </c>
      <c r="I710" t="s">
        <v>330</v>
      </c>
      <c r="J710" t="s">
        <v>331</v>
      </c>
      <c r="K710">
        <v>733.19641200000001</v>
      </c>
      <c r="L710">
        <v>1000</v>
      </c>
      <c r="M710">
        <v>73.319641000000004</v>
      </c>
      <c r="N710">
        <v>2</v>
      </c>
      <c r="O710">
        <v>0</v>
      </c>
      <c r="P710">
        <v>68.235325000000003</v>
      </c>
      <c r="Q710">
        <v>45.490217000000001</v>
      </c>
      <c r="R710">
        <v>50</v>
      </c>
      <c r="S710">
        <v>62.119793999999999</v>
      </c>
      <c r="T710">
        <v>73.343592999999998</v>
      </c>
      <c r="U710">
        <v>41.413195999999999</v>
      </c>
      <c r="V710">
        <v>50</v>
      </c>
      <c r="W710">
        <v>67.661520999999993</v>
      </c>
      <c r="X710">
        <v>45.107680999999999</v>
      </c>
      <c r="Y710">
        <v>50</v>
      </c>
      <c r="Z710">
        <v>73.201929000000007</v>
      </c>
      <c r="AA710">
        <v>60.981597000000001</v>
      </c>
      <c r="AB710">
        <v>40.654398</v>
      </c>
      <c r="AC710">
        <v>50</v>
      </c>
      <c r="AD710">
        <v>66.552047999999999</v>
      </c>
      <c r="AE710">
        <v>44.368031999999999</v>
      </c>
      <c r="AF710">
        <v>50</v>
      </c>
      <c r="AG710">
        <v>61.70138</v>
      </c>
      <c r="AH710">
        <v>71.213729999999998</v>
      </c>
      <c r="AI710">
        <v>41.134253000000001</v>
      </c>
      <c r="AJ710">
        <v>50</v>
      </c>
      <c r="AK710">
        <v>11.22</v>
      </c>
      <c r="AL710">
        <v>12.22</v>
      </c>
      <c r="AM710">
        <v>9.51</v>
      </c>
      <c r="AN710">
        <v>0.54080700000000004</v>
      </c>
      <c r="AO710">
        <v>54.080728000000001</v>
      </c>
      <c r="AP710">
        <v>100</v>
      </c>
      <c r="AQ710">
        <v>0.63696399999999997</v>
      </c>
      <c r="AR710">
        <v>63.696395000000003</v>
      </c>
      <c r="AS710">
        <v>100</v>
      </c>
      <c r="AT710">
        <v>0.54023399999999999</v>
      </c>
      <c r="AU710">
        <v>0.54120999999999997</v>
      </c>
      <c r="AV710">
        <v>54.023394000000003</v>
      </c>
      <c r="AW710">
        <v>100</v>
      </c>
      <c r="AX710">
        <v>0.57972100000000004</v>
      </c>
      <c r="AY710">
        <v>0.676875</v>
      </c>
      <c r="AZ710">
        <v>57.972115000000002</v>
      </c>
      <c r="BA710">
        <v>100</v>
      </c>
      <c r="BB710">
        <v>0.57724799999999998</v>
      </c>
      <c r="BC710">
        <v>28.862397999999999</v>
      </c>
      <c r="BD710">
        <v>50</v>
      </c>
      <c r="BE710">
        <v>0.56288899999999997</v>
      </c>
      <c r="BF710">
        <v>28.144451</v>
      </c>
      <c r="BG710">
        <v>50</v>
      </c>
      <c r="BH710">
        <v>0</v>
      </c>
      <c r="BI710">
        <v>0.99532699999999996</v>
      </c>
      <c r="BJ710">
        <v>0.99331100000000006</v>
      </c>
      <c r="BK710">
        <v>0.997085</v>
      </c>
      <c r="BL710">
        <v>0.99377899999999997</v>
      </c>
      <c r="BM710">
        <v>0.99</v>
      </c>
      <c r="BN710">
        <v>0.997085</v>
      </c>
      <c r="BO710">
        <v>0.98397400000000002</v>
      </c>
      <c r="BP710">
        <v>1</v>
      </c>
      <c r="BQ710">
        <v>0.968553</v>
      </c>
      <c r="BR710">
        <v>4.3546000000000001E-2</v>
      </c>
      <c r="BS710">
        <v>50</v>
      </c>
      <c r="BT710">
        <v>50</v>
      </c>
      <c r="BU710">
        <v>7.0111000000000007E-2</v>
      </c>
      <c r="BV710">
        <v>45.97786</v>
      </c>
      <c r="BW710">
        <v>50</v>
      </c>
      <c r="BX710" t="s">
        <v>125</v>
      </c>
      <c r="BY710" t="s">
        <v>125</v>
      </c>
      <c r="BZ710" t="s">
        <v>125</v>
      </c>
      <c r="CA710" t="s">
        <v>125</v>
      </c>
      <c r="CB710" t="s">
        <v>125</v>
      </c>
      <c r="CC710" t="s">
        <v>125</v>
      </c>
      <c r="CD710">
        <v>0.95973200000000003</v>
      </c>
      <c r="CE710">
        <v>50</v>
      </c>
      <c r="CF710">
        <v>50</v>
      </c>
      <c r="CG710" t="s">
        <v>125</v>
      </c>
      <c r="CH710" t="s">
        <v>125</v>
      </c>
      <c r="CI710" t="s">
        <v>125</v>
      </c>
      <c r="CJ710" t="s">
        <v>125</v>
      </c>
      <c r="CK710" t="s">
        <v>125</v>
      </c>
      <c r="CL710" t="s">
        <v>125</v>
      </c>
      <c r="CM710" t="s">
        <v>125</v>
      </c>
      <c r="CN710" t="s">
        <v>125</v>
      </c>
      <c r="CO710" t="s">
        <v>125</v>
      </c>
      <c r="CP710" t="s">
        <v>125</v>
      </c>
      <c r="CQ710">
        <v>0.63406899999999999</v>
      </c>
      <c r="CR710">
        <v>0.97538499999999995</v>
      </c>
      <c r="CS710">
        <v>42.271293</v>
      </c>
      <c r="CT710">
        <v>50</v>
      </c>
      <c r="CU710" t="s">
        <v>125</v>
      </c>
      <c r="CV710" t="s">
        <v>125</v>
      </c>
      <c r="CW710" t="s">
        <v>125</v>
      </c>
      <c r="CX710" t="s">
        <v>125</v>
      </c>
      <c r="CY710" t="s">
        <v>125</v>
      </c>
      <c r="CZ710" t="s">
        <v>125</v>
      </c>
      <c r="DA710">
        <v>15.314097</v>
      </c>
      <c r="DB710">
        <v>17.400950000000002</v>
      </c>
      <c r="DC710">
        <v>16.332519999999999</v>
      </c>
      <c r="DD710" t="s">
        <v>125</v>
      </c>
      <c r="DE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Q710" t="s">
        <v>126</v>
      </c>
    </row>
    <row r="711" spans="1:121" x14ac:dyDescent="0.15">
      <c r="A711">
        <v>2018</v>
      </c>
      <c r="B711" t="s">
        <v>135</v>
      </c>
      <c r="C711" t="str">
        <f t="shared" si="27"/>
        <v>0940011</v>
      </c>
      <c r="D711" t="s">
        <v>866</v>
      </c>
      <c r="E711" t="str">
        <f>"0946111"</f>
        <v>0946111</v>
      </c>
      <c r="F711" t="s">
        <v>328</v>
      </c>
      <c r="G711">
        <v>9</v>
      </c>
      <c r="H711">
        <v>12</v>
      </c>
      <c r="J711" t="s">
        <v>331</v>
      </c>
      <c r="K711">
        <v>1194.2976779999999</v>
      </c>
      <c r="L711">
        <v>1450</v>
      </c>
      <c r="M711">
        <v>82.365357000000003</v>
      </c>
      <c r="N711">
        <v>2</v>
      </c>
      <c r="O711">
        <v>0</v>
      </c>
      <c r="P711">
        <v>61.486249000000001</v>
      </c>
      <c r="Q711">
        <v>122.972497</v>
      </c>
      <c r="R711">
        <v>150</v>
      </c>
      <c r="S711">
        <v>52.539473999999998</v>
      </c>
      <c r="T711">
        <v>66.882716000000002</v>
      </c>
      <c r="U711">
        <v>105.078947</v>
      </c>
      <c r="V711">
        <v>150</v>
      </c>
      <c r="W711">
        <v>59.826366</v>
      </c>
      <c r="X711">
        <v>119.652732</v>
      </c>
      <c r="Y711">
        <v>150</v>
      </c>
      <c r="Z711">
        <v>64.671075999999999</v>
      </c>
      <c r="AA711">
        <v>51.794347000000002</v>
      </c>
      <c r="AB711">
        <v>103.588694</v>
      </c>
      <c r="AC711">
        <v>150</v>
      </c>
      <c r="AD711">
        <v>60.262163000000001</v>
      </c>
      <c r="AE711">
        <v>80.349551000000005</v>
      </c>
      <c r="AF711">
        <v>100</v>
      </c>
      <c r="AG711">
        <v>53.814183</v>
      </c>
      <c r="AH711">
        <v>64.257107000000005</v>
      </c>
      <c r="AI711">
        <v>71.752244000000005</v>
      </c>
      <c r="AJ711">
        <v>100</v>
      </c>
      <c r="AK711">
        <v>14.34</v>
      </c>
      <c r="AL711">
        <v>12.87</v>
      </c>
      <c r="AM711">
        <v>10.44</v>
      </c>
      <c r="AN711" t="s">
        <v>125</v>
      </c>
      <c r="AO711" t="s">
        <v>125</v>
      </c>
      <c r="AP711" t="s">
        <v>125</v>
      </c>
      <c r="AQ711" t="s">
        <v>125</v>
      </c>
      <c r="AR711" t="s">
        <v>125</v>
      </c>
      <c r="AS711" t="s">
        <v>125</v>
      </c>
      <c r="AT711" t="s">
        <v>125</v>
      </c>
      <c r="AU711" t="s">
        <v>125</v>
      </c>
      <c r="AV711" t="s">
        <v>125</v>
      </c>
      <c r="AW711" t="s">
        <v>125</v>
      </c>
      <c r="AX711" t="s">
        <v>125</v>
      </c>
      <c r="AY711" t="s">
        <v>125</v>
      </c>
      <c r="AZ711" t="s">
        <v>125</v>
      </c>
      <c r="BA711" t="s">
        <v>125</v>
      </c>
      <c r="BB711" t="s">
        <v>125</v>
      </c>
      <c r="BC711" t="s">
        <v>125</v>
      </c>
      <c r="BD711" t="s">
        <v>125</v>
      </c>
      <c r="BE711" t="s">
        <v>125</v>
      </c>
      <c r="BF711" t="s">
        <v>125</v>
      </c>
      <c r="BG711" t="s">
        <v>125</v>
      </c>
      <c r="BH711">
        <v>0</v>
      </c>
      <c r="BI711">
        <v>0.99032299999999995</v>
      </c>
      <c r="BJ711">
        <v>0.98333300000000001</v>
      </c>
      <c r="BK711">
        <v>0.99473699999999998</v>
      </c>
      <c r="BL711">
        <v>0.99032299999999995</v>
      </c>
      <c r="BM711">
        <v>0.98333300000000001</v>
      </c>
      <c r="BN711">
        <v>0.99473699999999998</v>
      </c>
      <c r="BO711">
        <v>0.96474400000000005</v>
      </c>
      <c r="BP711">
        <v>0.96694199999999997</v>
      </c>
      <c r="BQ711">
        <v>0.96335099999999996</v>
      </c>
      <c r="BR711">
        <v>8.3655999999999994E-2</v>
      </c>
      <c r="BS711">
        <v>43.268783999999997</v>
      </c>
      <c r="BT711">
        <v>50</v>
      </c>
      <c r="BU711">
        <v>0.143182</v>
      </c>
      <c r="BV711">
        <v>31.363636</v>
      </c>
      <c r="BW711">
        <v>50</v>
      </c>
      <c r="BX711">
        <v>0.82677199999999995</v>
      </c>
      <c r="BY711">
        <v>50</v>
      </c>
      <c r="BZ711">
        <v>50</v>
      </c>
      <c r="CA711">
        <v>0.52440900000000001</v>
      </c>
      <c r="CB711">
        <v>34.960630000000002</v>
      </c>
      <c r="CC711">
        <v>50</v>
      </c>
      <c r="CD711">
        <v>0.95548999999999995</v>
      </c>
      <c r="CE711">
        <v>50</v>
      </c>
      <c r="CF711">
        <v>50</v>
      </c>
      <c r="CG711">
        <v>0.96</v>
      </c>
      <c r="CH711">
        <v>100</v>
      </c>
      <c r="CI711">
        <v>100</v>
      </c>
      <c r="CJ711">
        <v>0</v>
      </c>
      <c r="CK711">
        <v>0.91891900000000004</v>
      </c>
      <c r="CL711">
        <v>97.757332000000005</v>
      </c>
      <c r="CM711">
        <v>100</v>
      </c>
      <c r="CN711">
        <v>0.75337799999999999</v>
      </c>
      <c r="CO711">
        <v>100</v>
      </c>
      <c r="CP711">
        <v>100</v>
      </c>
      <c r="CQ711">
        <v>0.50328899999999999</v>
      </c>
      <c r="CR711">
        <v>0.95</v>
      </c>
      <c r="CS711">
        <v>33.552632000000003</v>
      </c>
      <c r="CT711">
        <v>50</v>
      </c>
      <c r="CU711">
        <v>0.62819499999999995</v>
      </c>
      <c r="CV711">
        <v>50</v>
      </c>
      <c r="CW711">
        <v>50</v>
      </c>
      <c r="CX711">
        <v>0.91891900000000004</v>
      </c>
      <c r="CY711">
        <v>0.94</v>
      </c>
      <c r="CZ711">
        <v>2.1080999999999999E-2</v>
      </c>
      <c r="DA711">
        <v>15.314097</v>
      </c>
      <c r="DB711">
        <v>17.400950000000002</v>
      </c>
      <c r="DC711">
        <v>16.332519999999999</v>
      </c>
      <c r="DD711">
        <v>7.9891730000000001</v>
      </c>
      <c r="DE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Q711" t="s">
        <v>126</v>
      </c>
    </row>
    <row r="712" spans="1:121" x14ac:dyDescent="0.15">
      <c r="A712">
        <v>2018</v>
      </c>
      <c r="B712" t="s">
        <v>135</v>
      </c>
      <c r="C712" t="str">
        <f t="shared" si="27"/>
        <v>0940011</v>
      </c>
      <c r="D712" t="s">
        <v>867</v>
      </c>
      <c r="E712" t="str">
        <f>"0940711"</f>
        <v>0940711</v>
      </c>
      <c r="F712" t="s">
        <v>328</v>
      </c>
      <c r="G712" t="s">
        <v>339</v>
      </c>
      <c r="H712">
        <v>4</v>
      </c>
      <c r="J712" t="s">
        <v>331</v>
      </c>
      <c r="K712">
        <v>618.72855200000004</v>
      </c>
      <c r="L712">
        <v>850</v>
      </c>
      <c r="M712">
        <v>72.791594000000003</v>
      </c>
      <c r="N712">
        <v>2</v>
      </c>
      <c r="O712">
        <v>0</v>
      </c>
      <c r="P712">
        <v>72.430339000000004</v>
      </c>
      <c r="Q712">
        <v>48.286892999999999</v>
      </c>
      <c r="R712">
        <v>50</v>
      </c>
      <c r="S712">
        <v>64.067411000000007</v>
      </c>
      <c r="T712">
        <v>75</v>
      </c>
      <c r="U712">
        <v>42.711607000000001</v>
      </c>
      <c r="V712">
        <v>50</v>
      </c>
      <c r="W712">
        <v>68.264376999999996</v>
      </c>
      <c r="X712">
        <v>45.509585000000001</v>
      </c>
      <c r="Y712">
        <v>50</v>
      </c>
      <c r="Z712">
        <v>75</v>
      </c>
      <c r="AA712">
        <v>59.139955999999998</v>
      </c>
      <c r="AB712">
        <v>39.426636999999999</v>
      </c>
      <c r="AC712">
        <v>50</v>
      </c>
      <c r="AD712" t="s">
        <v>125</v>
      </c>
      <c r="AE712" t="s">
        <v>125</v>
      </c>
      <c r="AF712" t="s">
        <v>125</v>
      </c>
      <c r="AG712" t="s">
        <v>125</v>
      </c>
      <c r="AH712" t="s">
        <v>125</v>
      </c>
      <c r="AI712" t="s">
        <v>125</v>
      </c>
      <c r="AJ712" t="s">
        <v>125</v>
      </c>
      <c r="AK712">
        <v>10.93</v>
      </c>
      <c r="AL712">
        <v>15.86</v>
      </c>
      <c r="AM712" t="s">
        <v>125</v>
      </c>
      <c r="AN712">
        <v>0.56113000000000002</v>
      </c>
      <c r="AO712">
        <v>56.113008000000001</v>
      </c>
      <c r="AP712">
        <v>100</v>
      </c>
      <c r="AQ712">
        <v>0.60333099999999995</v>
      </c>
      <c r="AR712">
        <v>60.333070999999997</v>
      </c>
      <c r="AS712">
        <v>100</v>
      </c>
      <c r="AT712">
        <v>0.55466000000000004</v>
      </c>
      <c r="AU712">
        <v>0.56498099999999996</v>
      </c>
      <c r="AV712">
        <v>55.466016000000003</v>
      </c>
      <c r="AW712">
        <v>100</v>
      </c>
      <c r="AX712">
        <v>0.58829399999999998</v>
      </c>
      <c r="AY712">
        <v>0.61228099999999996</v>
      </c>
      <c r="AZ712">
        <v>58.829425000000001</v>
      </c>
      <c r="BA712">
        <v>100</v>
      </c>
      <c r="BB712">
        <v>0.935446</v>
      </c>
      <c r="BC712">
        <v>46.772286999999999</v>
      </c>
      <c r="BD712">
        <v>50</v>
      </c>
      <c r="BE712">
        <v>0.59971799999999997</v>
      </c>
      <c r="BF712">
        <v>29.985904999999999</v>
      </c>
      <c r="BG712">
        <v>50</v>
      </c>
      <c r="BH712">
        <v>0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 t="s">
        <v>125</v>
      </c>
      <c r="BP712" t="s">
        <v>125</v>
      </c>
      <c r="BQ712" t="s">
        <v>125</v>
      </c>
      <c r="BR712">
        <v>2.4615000000000001E-2</v>
      </c>
      <c r="BS712">
        <v>50</v>
      </c>
      <c r="BT712">
        <v>50</v>
      </c>
      <c r="BU712">
        <v>4.9296E-2</v>
      </c>
      <c r="BV712">
        <v>50</v>
      </c>
      <c r="BW712">
        <v>50</v>
      </c>
      <c r="BX712" t="s">
        <v>125</v>
      </c>
      <c r="BY712" t="s">
        <v>125</v>
      </c>
      <c r="BZ712" t="s">
        <v>125</v>
      </c>
      <c r="CA712" t="s">
        <v>125</v>
      </c>
      <c r="CB712" t="s">
        <v>125</v>
      </c>
      <c r="CC712" t="s">
        <v>125</v>
      </c>
      <c r="CD712" t="s">
        <v>125</v>
      </c>
      <c r="CE712" t="s">
        <v>125</v>
      </c>
      <c r="CF712" t="s">
        <v>125</v>
      </c>
      <c r="CG712" t="s">
        <v>125</v>
      </c>
      <c r="CH712" t="s">
        <v>125</v>
      </c>
      <c r="CI712" t="s">
        <v>125</v>
      </c>
      <c r="CJ712" t="s">
        <v>125</v>
      </c>
      <c r="CK712" t="s">
        <v>125</v>
      </c>
      <c r="CL712" t="s">
        <v>125</v>
      </c>
      <c r="CM712" t="s">
        <v>125</v>
      </c>
      <c r="CN712" t="s">
        <v>125</v>
      </c>
      <c r="CO712" t="s">
        <v>125</v>
      </c>
      <c r="CP712" t="s">
        <v>125</v>
      </c>
      <c r="CQ712">
        <v>0.52941199999999999</v>
      </c>
      <c r="CR712">
        <v>0.97142899999999999</v>
      </c>
      <c r="CS712">
        <v>35.294117999999997</v>
      </c>
      <c r="CT712">
        <v>50</v>
      </c>
      <c r="CU712" t="s">
        <v>125</v>
      </c>
      <c r="CV712" t="s">
        <v>125</v>
      </c>
      <c r="CW712" t="s">
        <v>125</v>
      </c>
      <c r="CX712" t="s">
        <v>125</v>
      </c>
      <c r="CY712" t="s">
        <v>125</v>
      </c>
      <c r="CZ712" t="s">
        <v>125</v>
      </c>
      <c r="DA712">
        <v>15.314097</v>
      </c>
      <c r="DB712">
        <v>17.400950000000002</v>
      </c>
      <c r="DC712">
        <v>16.332519999999999</v>
      </c>
      <c r="DD712" t="s">
        <v>125</v>
      </c>
      <c r="DE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Q712" t="s">
        <v>126</v>
      </c>
    </row>
    <row r="713" spans="1:121" x14ac:dyDescent="0.15">
      <c r="A713">
        <v>2018</v>
      </c>
      <c r="B713" t="s">
        <v>237</v>
      </c>
      <c r="C713" t="str">
        <f t="shared" ref="C713:C720" si="28">"0950011"</f>
        <v>0950011</v>
      </c>
      <c r="D713" t="s">
        <v>868</v>
      </c>
      <c r="E713" t="str">
        <f>"0955111"</f>
        <v>0955111</v>
      </c>
      <c r="F713" t="s">
        <v>328</v>
      </c>
      <c r="G713">
        <v>6</v>
      </c>
      <c r="H713">
        <v>8</v>
      </c>
      <c r="I713" t="s">
        <v>336</v>
      </c>
      <c r="J713" t="s">
        <v>331</v>
      </c>
      <c r="K713">
        <v>468.53216600000002</v>
      </c>
      <c r="L713">
        <v>1000</v>
      </c>
      <c r="M713">
        <v>46.853217000000001</v>
      </c>
      <c r="N713">
        <v>4</v>
      </c>
      <c r="O713">
        <v>0</v>
      </c>
      <c r="P713">
        <v>47.500948999999999</v>
      </c>
      <c r="Q713">
        <v>31.667299</v>
      </c>
      <c r="R713">
        <v>50</v>
      </c>
      <c r="S713">
        <v>47.180402000000001</v>
      </c>
      <c r="T713" t="s">
        <v>125</v>
      </c>
      <c r="U713">
        <v>31.453600999999999</v>
      </c>
      <c r="V713">
        <v>50</v>
      </c>
      <c r="W713">
        <v>40.704774</v>
      </c>
      <c r="X713">
        <v>27.136516</v>
      </c>
      <c r="Y713">
        <v>50</v>
      </c>
      <c r="Z713" t="s">
        <v>125</v>
      </c>
      <c r="AA713">
        <v>40.297784999999998</v>
      </c>
      <c r="AB713">
        <v>26.865189999999998</v>
      </c>
      <c r="AC713">
        <v>50</v>
      </c>
      <c r="AD713">
        <v>47.835503000000003</v>
      </c>
      <c r="AE713">
        <v>31.890335</v>
      </c>
      <c r="AF713">
        <v>50</v>
      </c>
      <c r="AG713">
        <v>47.070808</v>
      </c>
      <c r="AH713" t="s">
        <v>125</v>
      </c>
      <c r="AI713">
        <v>31.380538999999999</v>
      </c>
      <c r="AJ713">
        <v>50</v>
      </c>
      <c r="AK713" t="s">
        <v>125</v>
      </c>
      <c r="AL713" t="s">
        <v>125</v>
      </c>
      <c r="AM713" t="s">
        <v>125</v>
      </c>
      <c r="AN713">
        <v>0.42141600000000001</v>
      </c>
      <c r="AO713">
        <v>42.141573999999999</v>
      </c>
      <c r="AP713">
        <v>100</v>
      </c>
      <c r="AQ713">
        <v>0.40146799999999999</v>
      </c>
      <c r="AR713">
        <v>40.146818000000003</v>
      </c>
      <c r="AS713">
        <v>100</v>
      </c>
      <c r="AT713">
        <v>0.41667700000000002</v>
      </c>
      <c r="AU713" t="s">
        <v>125</v>
      </c>
      <c r="AV713">
        <v>41.667709000000002</v>
      </c>
      <c r="AW713">
        <v>100</v>
      </c>
      <c r="AX713">
        <v>0.40237600000000001</v>
      </c>
      <c r="AY713" t="s">
        <v>125</v>
      </c>
      <c r="AZ713">
        <v>40.237605000000002</v>
      </c>
      <c r="BA713">
        <v>100</v>
      </c>
      <c r="BB713">
        <v>0.60468</v>
      </c>
      <c r="BC713">
        <v>30.234003999999999</v>
      </c>
      <c r="BD713">
        <v>50</v>
      </c>
      <c r="BE713">
        <v>0.499031</v>
      </c>
      <c r="BF713">
        <v>24.951530999999999</v>
      </c>
      <c r="BG713">
        <v>50</v>
      </c>
      <c r="BH713">
        <v>0</v>
      </c>
      <c r="BI713">
        <v>0.99</v>
      </c>
      <c r="BJ713">
        <v>0.98972599999999999</v>
      </c>
      <c r="BK713" t="s">
        <v>125</v>
      </c>
      <c r="BL713">
        <v>0.98333300000000001</v>
      </c>
      <c r="BM713">
        <v>0.982877</v>
      </c>
      <c r="BN713" t="s">
        <v>125</v>
      </c>
      <c r="BO713">
        <v>0.96610200000000002</v>
      </c>
      <c r="BP713">
        <v>0.96428599999999998</v>
      </c>
      <c r="BQ713" t="s">
        <v>125</v>
      </c>
      <c r="BR713">
        <v>0.28666700000000001</v>
      </c>
      <c r="BS713">
        <v>2.6666669999999999</v>
      </c>
      <c r="BT713">
        <v>50</v>
      </c>
      <c r="BU713">
        <v>0.28668900000000003</v>
      </c>
      <c r="BV713">
        <v>2.6621160000000001</v>
      </c>
      <c r="BW713">
        <v>50</v>
      </c>
      <c r="BX713" t="s">
        <v>125</v>
      </c>
      <c r="BY713" t="s">
        <v>125</v>
      </c>
      <c r="BZ713" t="s">
        <v>125</v>
      </c>
      <c r="CA713" t="s">
        <v>125</v>
      </c>
      <c r="CB713" t="s">
        <v>125</v>
      </c>
      <c r="CC713" t="s">
        <v>125</v>
      </c>
      <c r="CD713">
        <v>0.84552799999999995</v>
      </c>
      <c r="CE713">
        <v>44.974918000000002</v>
      </c>
      <c r="CF713">
        <v>50</v>
      </c>
      <c r="CG713" t="s">
        <v>125</v>
      </c>
      <c r="CH713" t="s">
        <v>125</v>
      </c>
      <c r="CI713" t="s">
        <v>125</v>
      </c>
      <c r="CJ713" t="s">
        <v>125</v>
      </c>
      <c r="CK713" t="s">
        <v>125</v>
      </c>
      <c r="CL713" t="s">
        <v>125</v>
      </c>
      <c r="CM713" t="s">
        <v>125</v>
      </c>
      <c r="CN713" t="s">
        <v>125</v>
      </c>
      <c r="CO713" t="s">
        <v>125</v>
      </c>
      <c r="CP713" t="s">
        <v>125</v>
      </c>
      <c r="CQ713">
        <v>0.55367200000000005</v>
      </c>
      <c r="CR713">
        <v>0.86341500000000004</v>
      </c>
      <c r="CS713">
        <v>18.455743999999999</v>
      </c>
      <c r="CT713">
        <v>50</v>
      </c>
      <c r="CU713" t="s">
        <v>125</v>
      </c>
      <c r="CV713" t="s">
        <v>125</v>
      </c>
      <c r="CW713" t="s">
        <v>125</v>
      </c>
      <c r="CX713" t="s">
        <v>125</v>
      </c>
      <c r="CY713" t="s">
        <v>125</v>
      </c>
      <c r="CZ713" t="s">
        <v>125</v>
      </c>
      <c r="DA713">
        <v>15.314097</v>
      </c>
      <c r="DB713">
        <v>17.400950000000002</v>
      </c>
      <c r="DC713">
        <v>16.332519999999999</v>
      </c>
      <c r="DD713" t="s">
        <v>125</v>
      </c>
      <c r="DE713">
        <v>0</v>
      </c>
      <c r="DF713" t="s">
        <v>376</v>
      </c>
      <c r="DG713" t="s">
        <v>377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Q713" t="s">
        <v>126</v>
      </c>
    </row>
    <row r="714" spans="1:121" x14ac:dyDescent="0.15">
      <c r="A714">
        <v>2018</v>
      </c>
      <c r="B714" t="s">
        <v>237</v>
      </c>
      <c r="C714" t="str">
        <f t="shared" si="28"/>
        <v>0950011</v>
      </c>
      <c r="D714" t="s">
        <v>869</v>
      </c>
      <c r="E714" t="str">
        <f>"0950311"</f>
        <v>0950311</v>
      </c>
      <c r="F714" t="s">
        <v>328</v>
      </c>
      <c r="G714" t="s">
        <v>329</v>
      </c>
      <c r="H714">
        <v>5</v>
      </c>
      <c r="I714" t="s">
        <v>336</v>
      </c>
      <c r="J714" t="s">
        <v>331</v>
      </c>
      <c r="K714">
        <v>523.909583</v>
      </c>
      <c r="L714">
        <v>950</v>
      </c>
      <c r="M714">
        <v>55.148377000000004</v>
      </c>
      <c r="N714">
        <v>3</v>
      </c>
      <c r="O714">
        <v>0</v>
      </c>
      <c r="P714">
        <v>52.136947999999997</v>
      </c>
      <c r="Q714">
        <v>34.757964999999999</v>
      </c>
      <c r="R714">
        <v>50</v>
      </c>
      <c r="S714">
        <v>51.332957999999998</v>
      </c>
      <c r="T714" t="s">
        <v>125</v>
      </c>
      <c r="U714">
        <v>34.221972000000001</v>
      </c>
      <c r="V714">
        <v>50</v>
      </c>
      <c r="W714">
        <v>48.205841999999997</v>
      </c>
      <c r="X714">
        <v>32.137228</v>
      </c>
      <c r="Y714">
        <v>50</v>
      </c>
      <c r="Z714" t="s">
        <v>125</v>
      </c>
      <c r="AA714">
        <v>47.35528</v>
      </c>
      <c r="AB714">
        <v>31.570187000000001</v>
      </c>
      <c r="AC714">
        <v>50</v>
      </c>
      <c r="AD714">
        <v>47.497084999999998</v>
      </c>
      <c r="AE714">
        <v>31.664722999999999</v>
      </c>
      <c r="AF714">
        <v>50</v>
      </c>
      <c r="AG714">
        <v>47.291128999999998</v>
      </c>
      <c r="AH714" t="s">
        <v>125</v>
      </c>
      <c r="AI714">
        <v>31.527418999999998</v>
      </c>
      <c r="AJ714">
        <v>50</v>
      </c>
      <c r="AK714" t="s">
        <v>125</v>
      </c>
      <c r="AL714" t="s">
        <v>125</v>
      </c>
      <c r="AM714" t="s">
        <v>125</v>
      </c>
      <c r="AN714">
        <v>0.49014799999999997</v>
      </c>
      <c r="AO714">
        <v>49.014814000000001</v>
      </c>
      <c r="AP714">
        <v>100</v>
      </c>
      <c r="AQ714">
        <v>0.52298299999999998</v>
      </c>
      <c r="AR714">
        <v>52.298326000000003</v>
      </c>
      <c r="AS714">
        <v>100</v>
      </c>
      <c r="AT714">
        <v>0.49992799999999998</v>
      </c>
      <c r="AU714" t="s">
        <v>125</v>
      </c>
      <c r="AV714">
        <v>49.992820999999999</v>
      </c>
      <c r="AW714">
        <v>100</v>
      </c>
      <c r="AX714">
        <v>0.52342900000000003</v>
      </c>
      <c r="AY714" t="s">
        <v>125</v>
      </c>
      <c r="AZ714">
        <v>52.342854000000003</v>
      </c>
      <c r="BA714">
        <v>100</v>
      </c>
      <c r="BB714">
        <v>0.53031200000000001</v>
      </c>
      <c r="BC714">
        <v>26.515612000000001</v>
      </c>
      <c r="BD714">
        <v>50</v>
      </c>
      <c r="BE714">
        <v>0.42564800000000003</v>
      </c>
      <c r="BF714">
        <v>21.282425</v>
      </c>
      <c r="BG714">
        <v>50</v>
      </c>
      <c r="BH714">
        <v>0</v>
      </c>
      <c r="BI714">
        <v>1</v>
      </c>
      <c r="BJ714">
        <v>1</v>
      </c>
      <c r="BK714" t="s">
        <v>125</v>
      </c>
      <c r="BL714">
        <v>0.99588500000000002</v>
      </c>
      <c r="BM714">
        <v>0.99568999999999996</v>
      </c>
      <c r="BN714" t="s">
        <v>125</v>
      </c>
      <c r="BO714">
        <v>0.98958299999999999</v>
      </c>
      <c r="BP714">
        <v>0.98924699999999999</v>
      </c>
      <c r="BQ714" t="s">
        <v>125</v>
      </c>
      <c r="BR714">
        <v>0.14069300000000001</v>
      </c>
      <c r="BS714">
        <v>31.861471999999999</v>
      </c>
      <c r="BT714">
        <v>50</v>
      </c>
      <c r="BU714">
        <v>0.14252899999999999</v>
      </c>
      <c r="BV714">
        <v>31.494253</v>
      </c>
      <c r="BW714">
        <v>50</v>
      </c>
      <c r="BX714" t="s">
        <v>125</v>
      </c>
      <c r="BY714" t="s">
        <v>125</v>
      </c>
      <c r="BZ714" t="s">
        <v>125</v>
      </c>
      <c r="CA714" t="s">
        <v>125</v>
      </c>
      <c r="CB714" t="s">
        <v>125</v>
      </c>
      <c r="CC714" t="s">
        <v>125</v>
      </c>
      <c r="CD714" t="s">
        <v>125</v>
      </c>
      <c r="CE714" t="s">
        <v>125</v>
      </c>
      <c r="CF714" t="s">
        <v>125</v>
      </c>
      <c r="CG714" t="s">
        <v>125</v>
      </c>
      <c r="CH714" t="s">
        <v>125</v>
      </c>
      <c r="CI714" t="s">
        <v>125</v>
      </c>
      <c r="CJ714" t="s">
        <v>125</v>
      </c>
      <c r="CK714" t="s">
        <v>125</v>
      </c>
      <c r="CL714" t="s">
        <v>125</v>
      </c>
      <c r="CM714" t="s">
        <v>125</v>
      </c>
      <c r="CN714" t="s">
        <v>125</v>
      </c>
      <c r="CO714" t="s">
        <v>125</v>
      </c>
      <c r="CP714" t="s">
        <v>125</v>
      </c>
      <c r="CQ714">
        <v>0.39682499999999998</v>
      </c>
      <c r="CR714">
        <v>0.85135099999999997</v>
      </c>
      <c r="CS714">
        <v>13.227513</v>
      </c>
      <c r="CT714">
        <v>50</v>
      </c>
      <c r="CU714" t="s">
        <v>125</v>
      </c>
      <c r="CV714" t="s">
        <v>125</v>
      </c>
      <c r="CW714" t="s">
        <v>125</v>
      </c>
      <c r="CX714" t="s">
        <v>125</v>
      </c>
      <c r="CY714" t="s">
        <v>125</v>
      </c>
      <c r="CZ714" t="s">
        <v>125</v>
      </c>
      <c r="DA714">
        <v>15.314097</v>
      </c>
      <c r="DB714">
        <v>17.400950000000002</v>
      </c>
      <c r="DC714">
        <v>16.332519999999999</v>
      </c>
      <c r="DD714" t="s">
        <v>125</v>
      </c>
      <c r="DE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Q714" t="s">
        <v>126</v>
      </c>
    </row>
    <row r="715" spans="1:121" x14ac:dyDescent="0.15">
      <c r="A715">
        <v>2018</v>
      </c>
      <c r="B715" t="s">
        <v>237</v>
      </c>
      <c r="C715" t="str">
        <f t="shared" si="28"/>
        <v>0950011</v>
      </c>
      <c r="D715" t="s">
        <v>870</v>
      </c>
      <c r="E715" t="str">
        <f>"0950611"</f>
        <v>0950611</v>
      </c>
      <c r="F715" t="s">
        <v>328</v>
      </c>
      <c r="G715" t="s">
        <v>329</v>
      </c>
      <c r="H715">
        <v>5</v>
      </c>
      <c r="I715" t="s">
        <v>336</v>
      </c>
      <c r="J715" t="s">
        <v>331</v>
      </c>
      <c r="K715">
        <v>371.61440399999998</v>
      </c>
      <c r="L715">
        <v>850</v>
      </c>
      <c r="M715">
        <v>43.719341999999997</v>
      </c>
      <c r="N715">
        <v>3</v>
      </c>
      <c r="O715">
        <v>0</v>
      </c>
      <c r="P715">
        <v>52.378041000000003</v>
      </c>
      <c r="Q715">
        <v>34.918694000000002</v>
      </c>
      <c r="R715">
        <v>50</v>
      </c>
      <c r="S715">
        <v>52.520077999999998</v>
      </c>
      <c r="T715" t="s">
        <v>125</v>
      </c>
      <c r="U715">
        <v>35.013385</v>
      </c>
      <c r="V715">
        <v>50</v>
      </c>
      <c r="W715">
        <v>44.981186999999998</v>
      </c>
      <c r="X715">
        <v>29.987458</v>
      </c>
      <c r="Y715">
        <v>50</v>
      </c>
      <c r="Z715" t="s">
        <v>125</v>
      </c>
      <c r="AA715">
        <v>45.606962000000003</v>
      </c>
      <c r="AB715">
        <v>30.404641000000002</v>
      </c>
      <c r="AC715">
        <v>50</v>
      </c>
      <c r="AD715" t="s">
        <v>125</v>
      </c>
      <c r="AE715" t="s">
        <v>125</v>
      </c>
      <c r="AF715" t="s">
        <v>125</v>
      </c>
      <c r="AG715" t="s">
        <v>125</v>
      </c>
      <c r="AH715" t="s">
        <v>125</v>
      </c>
      <c r="AI715" t="s">
        <v>125</v>
      </c>
      <c r="AJ715" t="s">
        <v>125</v>
      </c>
      <c r="AK715" t="s">
        <v>125</v>
      </c>
      <c r="AL715" t="s">
        <v>125</v>
      </c>
      <c r="AM715" t="s">
        <v>125</v>
      </c>
      <c r="AN715">
        <v>0.50743799999999994</v>
      </c>
      <c r="AO715">
        <v>50.743780999999998</v>
      </c>
      <c r="AP715">
        <v>100</v>
      </c>
      <c r="AQ715">
        <v>0.36026000000000002</v>
      </c>
      <c r="AR715">
        <v>36.026015999999998</v>
      </c>
      <c r="AS715">
        <v>100</v>
      </c>
      <c r="AT715">
        <v>0.46831499999999998</v>
      </c>
      <c r="AU715" t="s">
        <v>125</v>
      </c>
      <c r="AV715">
        <v>46.831502999999998</v>
      </c>
      <c r="AW715">
        <v>100</v>
      </c>
      <c r="AX715">
        <v>0.34760000000000002</v>
      </c>
      <c r="AY715" t="s">
        <v>125</v>
      </c>
      <c r="AZ715">
        <v>34.759973000000002</v>
      </c>
      <c r="BA715">
        <v>100</v>
      </c>
      <c r="BB715">
        <v>0.224743</v>
      </c>
      <c r="BC715">
        <v>11.237138</v>
      </c>
      <c r="BD715">
        <v>50</v>
      </c>
      <c r="BE715">
        <v>0.24840599999999999</v>
      </c>
      <c r="BF715">
        <v>12.420310000000001</v>
      </c>
      <c r="BG715">
        <v>50</v>
      </c>
      <c r="BH715">
        <v>0</v>
      </c>
      <c r="BI715">
        <v>1</v>
      </c>
      <c r="BJ715">
        <v>1</v>
      </c>
      <c r="BK715" t="s">
        <v>125</v>
      </c>
      <c r="BL715">
        <v>1</v>
      </c>
      <c r="BM715">
        <v>1</v>
      </c>
      <c r="BN715" t="s">
        <v>125</v>
      </c>
      <c r="BO715">
        <v>1</v>
      </c>
      <c r="BP715" t="s">
        <v>125</v>
      </c>
      <c r="BQ715" t="s">
        <v>125</v>
      </c>
      <c r="BR715">
        <v>0.17460300000000001</v>
      </c>
      <c r="BS715">
        <v>25.079364999999999</v>
      </c>
      <c r="BT715">
        <v>50</v>
      </c>
      <c r="BU715">
        <v>0.179039</v>
      </c>
      <c r="BV715">
        <v>24.192139999999998</v>
      </c>
      <c r="BW715">
        <v>50</v>
      </c>
      <c r="BX715" t="s">
        <v>125</v>
      </c>
      <c r="BY715" t="s">
        <v>125</v>
      </c>
      <c r="BZ715" t="s">
        <v>125</v>
      </c>
      <c r="CA715" t="s">
        <v>125</v>
      </c>
      <c r="CB715" t="s">
        <v>125</v>
      </c>
      <c r="CC715" t="s">
        <v>125</v>
      </c>
      <c r="CD715" t="s">
        <v>125</v>
      </c>
      <c r="CE715" t="s">
        <v>125</v>
      </c>
      <c r="CF715" t="s">
        <v>125</v>
      </c>
      <c r="CG715" t="s">
        <v>125</v>
      </c>
      <c r="CH715" t="s">
        <v>125</v>
      </c>
      <c r="CI715" t="s">
        <v>125</v>
      </c>
      <c r="CJ715" t="s">
        <v>125</v>
      </c>
      <c r="CK715" t="s">
        <v>125</v>
      </c>
      <c r="CL715" t="s">
        <v>125</v>
      </c>
      <c r="CM715" t="s">
        <v>125</v>
      </c>
      <c r="CN715" t="s">
        <v>125</v>
      </c>
      <c r="CO715" t="s">
        <v>125</v>
      </c>
      <c r="CP715" t="s">
        <v>125</v>
      </c>
      <c r="CQ715">
        <v>0</v>
      </c>
      <c r="CR715">
        <v>1.3243240000000001</v>
      </c>
      <c r="CS715">
        <v>0</v>
      </c>
      <c r="CT715">
        <v>50</v>
      </c>
      <c r="CU715" t="s">
        <v>125</v>
      </c>
      <c r="CV715" t="s">
        <v>125</v>
      </c>
      <c r="CW715" t="s">
        <v>125</v>
      </c>
      <c r="CX715" t="s">
        <v>125</v>
      </c>
      <c r="CY715" t="s">
        <v>125</v>
      </c>
      <c r="CZ715" t="s">
        <v>125</v>
      </c>
      <c r="DA715">
        <v>15.314097</v>
      </c>
      <c r="DB715">
        <v>17.400950000000002</v>
      </c>
      <c r="DC715">
        <v>16.332519999999999</v>
      </c>
      <c r="DD715" t="s">
        <v>125</v>
      </c>
      <c r="DE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Q715" t="s">
        <v>126</v>
      </c>
    </row>
    <row r="716" spans="1:121" x14ac:dyDescent="0.15">
      <c r="A716">
        <v>2018</v>
      </c>
      <c r="B716" t="s">
        <v>237</v>
      </c>
      <c r="C716" t="str">
        <f t="shared" si="28"/>
        <v>0950011</v>
      </c>
      <c r="D716" t="s">
        <v>871</v>
      </c>
      <c r="E716" t="str">
        <f>"0950911"</f>
        <v>0950911</v>
      </c>
      <c r="F716" t="s">
        <v>328</v>
      </c>
      <c r="G716" t="s">
        <v>339</v>
      </c>
      <c r="H716">
        <v>5</v>
      </c>
      <c r="I716" t="s">
        <v>336</v>
      </c>
      <c r="J716" t="s">
        <v>331</v>
      </c>
      <c r="K716">
        <v>639.30557299999998</v>
      </c>
      <c r="L716">
        <v>950</v>
      </c>
      <c r="M716">
        <v>67.295323999999994</v>
      </c>
      <c r="N716">
        <v>3</v>
      </c>
      <c r="O716">
        <v>0</v>
      </c>
      <c r="P716">
        <v>64.770146999999994</v>
      </c>
      <c r="Q716">
        <v>43.180098000000001</v>
      </c>
      <c r="R716">
        <v>50</v>
      </c>
      <c r="S716">
        <v>62.485056999999998</v>
      </c>
      <c r="T716">
        <v>75</v>
      </c>
      <c r="U716">
        <v>41.656705000000002</v>
      </c>
      <c r="V716">
        <v>50</v>
      </c>
      <c r="W716">
        <v>56.954959000000002</v>
      </c>
      <c r="X716">
        <v>37.969973000000003</v>
      </c>
      <c r="Y716">
        <v>50</v>
      </c>
      <c r="Z716">
        <v>69.738485999999995</v>
      </c>
      <c r="AA716">
        <v>54.564996000000001</v>
      </c>
      <c r="AB716">
        <v>36.376663999999998</v>
      </c>
      <c r="AC716">
        <v>50</v>
      </c>
      <c r="AD716">
        <v>62.003945000000002</v>
      </c>
      <c r="AE716">
        <v>41.335963</v>
      </c>
      <c r="AF716">
        <v>50</v>
      </c>
      <c r="AG716">
        <v>60.156368000000001</v>
      </c>
      <c r="AH716" t="s">
        <v>125</v>
      </c>
      <c r="AI716">
        <v>40.104244999999999</v>
      </c>
      <c r="AJ716">
        <v>50</v>
      </c>
      <c r="AK716">
        <v>12.51</v>
      </c>
      <c r="AL716">
        <v>15.17</v>
      </c>
      <c r="AM716" t="s">
        <v>125</v>
      </c>
      <c r="AN716">
        <v>0.65018299999999996</v>
      </c>
      <c r="AO716">
        <v>65.018286000000003</v>
      </c>
      <c r="AP716">
        <v>100</v>
      </c>
      <c r="AQ716">
        <v>0.65765499999999999</v>
      </c>
      <c r="AR716">
        <v>65.765544000000006</v>
      </c>
      <c r="AS716">
        <v>100</v>
      </c>
      <c r="AT716">
        <v>0.62270400000000004</v>
      </c>
      <c r="AU716">
        <v>0.81615800000000005</v>
      </c>
      <c r="AV716">
        <v>62.270359999999997</v>
      </c>
      <c r="AW716">
        <v>100</v>
      </c>
      <c r="AX716">
        <v>0.626108</v>
      </c>
      <c r="AY716">
        <v>0.85614500000000004</v>
      </c>
      <c r="AZ716">
        <v>62.610750000000003</v>
      </c>
      <c r="BA716">
        <v>100</v>
      </c>
      <c r="BB716">
        <v>0.73706199999999999</v>
      </c>
      <c r="BC716">
        <v>36.853099999999998</v>
      </c>
      <c r="BD716">
        <v>50</v>
      </c>
      <c r="BE716">
        <v>0.46707100000000001</v>
      </c>
      <c r="BF716">
        <v>23.353555</v>
      </c>
      <c r="BG716">
        <v>50</v>
      </c>
      <c r="BH716">
        <v>0</v>
      </c>
      <c r="BI716">
        <v>0.99290800000000001</v>
      </c>
      <c r="BJ716">
        <v>0.99159699999999995</v>
      </c>
      <c r="BK716">
        <v>1</v>
      </c>
      <c r="BL716">
        <v>0.98936199999999996</v>
      </c>
      <c r="BM716">
        <v>0.98739500000000002</v>
      </c>
      <c r="BN716">
        <v>1</v>
      </c>
      <c r="BO716">
        <v>0.98936199999999996</v>
      </c>
      <c r="BP716">
        <v>0.98734200000000005</v>
      </c>
      <c r="BQ716" t="s">
        <v>125</v>
      </c>
      <c r="BR716">
        <v>9.5148999999999997E-2</v>
      </c>
      <c r="BS716">
        <v>40.970148999999999</v>
      </c>
      <c r="BT716">
        <v>50</v>
      </c>
      <c r="BU716">
        <v>0.10798099999999999</v>
      </c>
      <c r="BV716">
        <v>38.403756000000001</v>
      </c>
      <c r="BW716">
        <v>50</v>
      </c>
      <c r="BX716" t="s">
        <v>125</v>
      </c>
      <c r="BY716" t="s">
        <v>125</v>
      </c>
      <c r="BZ716" t="s">
        <v>125</v>
      </c>
      <c r="CA716" t="s">
        <v>125</v>
      </c>
      <c r="CB716" t="s">
        <v>125</v>
      </c>
      <c r="CC716" t="s">
        <v>125</v>
      </c>
      <c r="CD716" t="s">
        <v>125</v>
      </c>
      <c r="CE716" t="s">
        <v>125</v>
      </c>
      <c r="CF716" t="s">
        <v>125</v>
      </c>
      <c r="CG716" t="s">
        <v>125</v>
      </c>
      <c r="CH716" t="s">
        <v>125</v>
      </c>
      <c r="CI716" t="s">
        <v>125</v>
      </c>
      <c r="CJ716" t="s">
        <v>125</v>
      </c>
      <c r="CK716" t="s">
        <v>125</v>
      </c>
      <c r="CL716" t="s">
        <v>125</v>
      </c>
      <c r="CM716" t="s">
        <v>125</v>
      </c>
      <c r="CN716" t="s">
        <v>125</v>
      </c>
      <c r="CO716" t="s">
        <v>125</v>
      </c>
      <c r="CP716" t="s">
        <v>125</v>
      </c>
      <c r="CQ716">
        <v>5.1546000000000002E-2</v>
      </c>
      <c r="CR716">
        <v>1.0104169999999999</v>
      </c>
      <c r="CS716">
        <v>3.436426</v>
      </c>
      <c r="CT716">
        <v>50</v>
      </c>
      <c r="CU716" t="s">
        <v>125</v>
      </c>
      <c r="CV716" t="s">
        <v>125</v>
      </c>
      <c r="CW716" t="s">
        <v>125</v>
      </c>
      <c r="CX716" t="s">
        <v>125</v>
      </c>
      <c r="CY716" t="s">
        <v>125</v>
      </c>
      <c r="CZ716" t="s">
        <v>125</v>
      </c>
      <c r="DA716">
        <v>15.314097</v>
      </c>
      <c r="DB716">
        <v>17.400950000000002</v>
      </c>
      <c r="DC716">
        <v>16.332519999999999</v>
      </c>
      <c r="DD716" t="s">
        <v>125</v>
      </c>
      <c r="DE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Q716" t="s">
        <v>126</v>
      </c>
    </row>
    <row r="717" spans="1:121" x14ac:dyDescent="0.15">
      <c r="A717">
        <v>2018</v>
      </c>
      <c r="B717" t="s">
        <v>237</v>
      </c>
      <c r="C717" t="str">
        <f t="shared" si="28"/>
        <v>0950011</v>
      </c>
      <c r="D717" t="s">
        <v>872</v>
      </c>
      <c r="E717" t="str">
        <f>"0956111"</f>
        <v>0956111</v>
      </c>
      <c r="F717" t="s">
        <v>328</v>
      </c>
      <c r="G717">
        <v>9</v>
      </c>
      <c r="H717">
        <v>12</v>
      </c>
      <c r="I717" t="s">
        <v>336</v>
      </c>
      <c r="J717" t="s">
        <v>331</v>
      </c>
      <c r="K717">
        <v>810.93578600000001</v>
      </c>
      <c r="L717">
        <v>1550</v>
      </c>
      <c r="M717">
        <v>52.318438</v>
      </c>
      <c r="N717">
        <v>4</v>
      </c>
      <c r="O717">
        <v>0</v>
      </c>
      <c r="P717">
        <v>38.107498</v>
      </c>
      <c r="Q717">
        <v>76.214995000000002</v>
      </c>
      <c r="R717">
        <v>150</v>
      </c>
      <c r="S717">
        <v>37.115535999999999</v>
      </c>
      <c r="T717" t="s">
        <v>125</v>
      </c>
      <c r="U717">
        <v>74.231071999999998</v>
      </c>
      <c r="V717">
        <v>150</v>
      </c>
      <c r="W717">
        <v>35.131436000000001</v>
      </c>
      <c r="X717">
        <v>70.262872999999999</v>
      </c>
      <c r="Y717">
        <v>150</v>
      </c>
      <c r="Z717" t="s">
        <v>125</v>
      </c>
      <c r="AA717">
        <v>34.087021</v>
      </c>
      <c r="AB717">
        <v>68.174041000000003</v>
      </c>
      <c r="AC717">
        <v>150</v>
      </c>
      <c r="AD717">
        <v>33.585231999999998</v>
      </c>
      <c r="AE717">
        <v>44.780309000000003</v>
      </c>
      <c r="AF717">
        <v>100</v>
      </c>
      <c r="AG717">
        <v>33.277594000000001</v>
      </c>
      <c r="AH717" t="s">
        <v>125</v>
      </c>
      <c r="AI717">
        <v>44.370125000000002</v>
      </c>
      <c r="AJ717">
        <v>100</v>
      </c>
      <c r="AK717" t="s">
        <v>125</v>
      </c>
      <c r="AL717" t="s">
        <v>125</v>
      </c>
      <c r="AM717" t="s">
        <v>125</v>
      </c>
      <c r="AN717" t="s">
        <v>125</v>
      </c>
      <c r="AO717" t="s">
        <v>125</v>
      </c>
      <c r="AP717" t="s">
        <v>125</v>
      </c>
      <c r="AQ717" t="s">
        <v>125</v>
      </c>
      <c r="AR717" t="s">
        <v>125</v>
      </c>
      <c r="AS717" t="s">
        <v>125</v>
      </c>
      <c r="AT717" t="s">
        <v>125</v>
      </c>
      <c r="AU717" t="s">
        <v>125</v>
      </c>
      <c r="AV717" t="s">
        <v>125</v>
      </c>
      <c r="AW717" t="s">
        <v>125</v>
      </c>
      <c r="AX717" t="s">
        <v>125</v>
      </c>
      <c r="AY717" t="s">
        <v>125</v>
      </c>
      <c r="AZ717" t="s">
        <v>125</v>
      </c>
      <c r="BA717" t="s">
        <v>125</v>
      </c>
      <c r="BB717">
        <v>0.46881200000000001</v>
      </c>
      <c r="BC717">
        <v>23.440601000000001</v>
      </c>
      <c r="BD717">
        <v>50</v>
      </c>
      <c r="BE717">
        <v>0.48184500000000002</v>
      </c>
      <c r="BF717">
        <v>24.092268000000001</v>
      </c>
      <c r="BG717">
        <v>50</v>
      </c>
      <c r="BH717">
        <v>1</v>
      </c>
      <c r="BI717">
        <v>0.94444399999999995</v>
      </c>
      <c r="BJ717">
        <v>0.93984999999999996</v>
      </c>
      <c r="BK717" t="s">
        <v>125</v>
      </c>
      <c r="BL717">
        <v>0.94444399999999995</v>
      </c>
      <c r="BM717">
        <v>0.93984999999999996</v>
      </c>
      <c r="BN717" t="s">
        <v>125</v>
      </c>
      <c r="BO717">
        <v>0.96428599999999998</v>
      </c>
      <c r="BP717">
        <v>0.96123999999999998</v>
      </c>
      <c r="BQ717" t="s">
        <v>125</v>
      </c>
      <c r="BR717">
        <v>0.27457100000000001</v>
      </c>
      <c r="BS717">
        <v>5.0858030000000003</v>
      </c>
      <c r="BT717">
        <v>50</v>
      </c>
      <c r="BU717">
        <v>0.27557799999999999</v>
      </c>
      <c r="BV717">
        <v>4.8844880000000002</v>
      </c>
      <c r="BW717">
        <v>50</v>
      </c>
      <c r="BX717">
        <v>0.69551300000000005</v>
      </c>
      <c r="BY717">
        <v>46.367521000000004</v>
      </c>
      <c r="BZ717">
        <v>50</v>
      </c>
      <c r="CA717">
        <v>0.15384600000000001</v>
      </c>
      <c r="CB717">
        <v>10.256410000000001</v>
      </c>
      <c r="CC717">
        <v>50</v>
      </c>
      <c r="CD717">
        <v>0.70857099999999995</v>
      </c>
      <c r="CE717">
        <v>37.689970000000002</v>
      </c>
      <c r="CF717">
        <v>50</v>
      </c>
      <c r="CG717">
        <v>0.74846599999999996</v>
      </c>
      <c r="CH717">
        <v>79.624070000000003</v>
      </c>
      <c r="CI717">
        <v>100</v>
      </c>
      <c r="CJ717">
        <v>1</v>
      </c>
      <c r="CK717">
        <v>0.80219799999999997</v>
      </c>
      <c r="CL717">
        <v>85.340192000000002</v>
      </c>
      <c r="CM717">
        <v>100</v>
      </c>
      <c r="CN717">
        <v>0.48091600000000001</v>
      </c>
      <c r="CO717">
        <v>64.122136999999995</v>
      </c>
      <c r="CP717">
        <v>100</v>
      </c>
      <c r="CQ717">
        <v>0.335366</v>
      </c>
      <c r="CR717">
        <v>1.044586</v>
      </c>
      <c r="CS717">
        <v>22.357724000000001</v>
      </c>
      <c r="CT717">
        <v>50</v>
      </c>
      <c r="CU717">
        <v>0.35569400000000001</v>
      </c>
      <c r="CV717">
        <v>29.641186000000001</v>
      </c>
      <c r="CW717">
        <v>50</v>
      </c>
      <c r="CX717">
        <v>0.80219799999999997</v>
      </c>
      <c r="CY717">
        <v>0.92</v>
      </c>
      <c r="CZ717">
        <v>0.117802</v>
      </c>
      <c r="DA717">
        <v>15.314097</v>
      </c>
      <c r="DB717">
        <v>17.400950000000002</v>
      </c>
      <c r="DC717">
        <v>16.332519999999999</v>
      </c>
      <c r="DD717">
        <v>7.9891730000000001</v>
      </c>
      <c r="DE717">
        <v>1</v>
      </c>
      <c r="DF717" t="s">
        <v>385</v>
      </c>
      <c r="DG717" t="s">
        <v>386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Q717" t="s">
        <v>126</v>
      </c>
    </row>
    <row r="718" spans="1:121" x14ac:dyDescent="0.15">
      <c r="A718">
        <v>2018</v>
      </c>
      <c r="B718" t="s">
        <v>237</v>
      </c>
      <c r="C718" t="str">
        <f t="shared" si="28"/>
        <v>0950011</v>
      </c>
      <c r="D718" t="s">
        <v>873</v>
      </c>
      <c r="E718" t="str">
        <f>"0951411"</f>
        <v>0951411</v>
      </c>
      <c r="F718" t="s">
        <v>328</v>
      </c>
      <c r="G718">
        <v>6</v>
      </c>
      <c r="H718">
        <v>9</v>
      </c>
      <c r="I718" t="s">
        <v>336</v>
      </c>
      <c r="J718" t="s">
        <v>331</v>
      </c>
      <c r="K718">
        <v>530.32132799999999</v>
      </c>
      <c r="L718">
        <v>950</v>
      </c>
      <c r="M718">
        <v>55.823298000000001</v>
      </c>
      <c r="N718">
        <v>3</v>
      </c>
      <c r="O718">
        <v>1</v>
      </c>
      <c r="P718">
        <v>55.142843999999997</v>
      </c>
      <c r="Q718">
        <v>36.761896</v>
      </c>
      <c r="R718">
        <v>50</v>
      </c>
      <c r="S718">
        <v>51.600428000000001</v>
      </c>
      <c r="T718">
        <v>72.222352999999998</v>
      </c>
      <c r="U718">
        <v>34.400284999999997</v>
      </c>
      <c r="V718">
        <v>50</v>
      </c>
      <c r="W718">
        <v>45.108116000000003</v>
      </c>
      <c r="X718">
        <v>30.072077</v>
      </c>
      <c r="Y718">
        <v>50</v>
      </c>
      <c r="Z718">
        <v>59.067874000000003</v>
      </c>
      <c r="AA718">
        <v>42.212758999999998</v>
      </c>
      <c r="AB718">
        <v>28.141839000000001</v>
      </c>
      <c r="AC718">
        <v>50</v>
      </c>
      <c r="AD718">
        <v>53.695171999999999</v>
      </c>
      <c r="AE718">
        <v>35.796782</v>
      </c>
      <c r="AF718">
        <v>50</v>
      </c>
      <c r="AG718">
        <v>51.036206999999997</v>
      </c>
      <c r="AH718" t="s">
        <v>125</v>
      </c>
      <c r="AI718">
        <v>34.024138000000001</v>
      </c>
      <c r="AJ718">
        <v>50</v>
      </c>
      <c r="AK718">
        <v>20.62</v>
      </c>
      <c r="AL718">
        <v>16.850000000000001</v>
      </c>
      <c r="AM718" t="s">
        <v>125</v>
      </c>
      <c r="AN718">
        <v>0.46731800000000001</v>
      </c>
      <c r="AO718">
        <v>46.731827000000003</v>
      </c>
      <c r="AP718">
        <v>100</v>
      </c>
      <c r="AQ718">
        <v>0.394478</v>
      </c>
      <c r="AR718">
        <v>39.447764999999997</v>
      </c>
      <c r="AS718">
        <v>100</v>
      </c>
      <c r="AT718">
        <v>0.465254</v>
      </c>
      <c r="AU718">
        <v>0.47733500000000001</v>
      </c>
      <c r="AV718">
        <v>46.525376999999999</v>
      </c>
      <c r="AW718">
        <v>100</v>
      </c>
      <c r="AX718">
        <v>0.37567899999999999</v>
      </c>
      <c r="AY718">
        <v>0.48499100000000001</v>
      </c>
      <c r="AZ718">
        <v>37.567872000000001</v>
      </c>
      <c r="BA718">
        <v>100</v>
      </c>
      <c r="BB718" t="s">
        <v>125</v>
      </c>
      <c r="BC718" t="s">
        <v>125</v>
      </c>
      <c r="BD718" t="s">
        <v>125</v>
      </c>
      <c r="BE718" t="s">
        <v>125</v>
      </c>
      <c r="BF718" t="s">
        <v>125</v>
      </c>
      <c r="BG718" t="s">
        <v>125</v>
      </c>
      <c r="BH718">
        <v>0</v>
      </c>
      <c r="BI718">
        <v>0.97647099999999998</v>
      </c>
      <c r="BJ718">
        <v>0.971831</v>
      </c>
      <c r="BK718">
        <v>1</v>
      </c>
      <c r="BL718">
        <v>0.97647099999999998</v>
      </c>
      <c r="BM718">
        <v>0.971831</v>
      </c>
      <c r="BN718">
        <v>1</v>
      </c>
      <c r="BO718">
        <v>0.980769</v>
      </c>
      <c r="BP718">
        <v>0.97619</v>
      </c>
      <c r="BQ718" t="s">
        <v>125</v>
      </c>
      <c r="BR718">
        <v>0.14361699999999999</v>
      </c>
      <c r="BS718">
        <v>31.276596000000001</v>
      </c>
      <c r="BT718">
        <v>50</v>
      </c>
      <c r="BU718">
        <v>0.15625</v>
      </c>
      <c r="BV718">
        <v>28.75</v>
      </c>
      <c r="BW718">
        <v>50</v>
      </c>
      <c r="BX718" t="s">
        <v>125</v>
      </c>
      <c r="BY718" t="s">
        <v>125</v>
      </c>
      <c r="BZ718" t="s">
        <v>125</v>
      </c>
      <c r="CA718" t="s">
        <v>125</v>
      </c>
      <c r="CB718" t="s">
        <v>125</v>
      </c>
      <c r="CC718" t="s">
        <v>125</v>
      </c>
      <c r="CD718">
        <v>0.92982500000000001</v>
      </c>
      <c r="CE718">
        <v>49.458753000000002</v>
      </c>
      <c r="CF718">
        <v>50</v>
      </c>
      <c r="CG718" t="s">
        <v>125</v>
      </c>
      <c r="CH718" t="s">
        <v>125</v>
      </c>
      <c r="CI718" t="s">
        <v>125</v>
      </c>
      <c r="CJ718" t="s">
        <v>125</v>
      </c>
      <c r="CK718" t="s">
        <v>125</v>
      </c>
      <c r="CL718" t="s">
        <v>125</v>
      </c>
      <c r="CM718" t="s">
        <v>125</v>
      </c>
      <c r="CN718" t="s">
        <v>125</v>
      </c>
      <c r="CO718" t="s">
        <v>125</v>
      </c>
      <c r="CP718" t="s">
        <v>125</v>
      </c>
      <c r="CQ718">
        <v>8.1966999999999998E-2</v>
      </c>
      <c r="CR718">
        <v>0.54954999999999998</v>
      </c>
      <c r="CS718">
        <v>1.36612</v>
      </c>
      <c r="CT718">
        <v>50</v>
      </c>
      <c r="CU718">
        <v>0.95238100000000003</v>
      </c>
      <c r="CV718">
        <v>50</v>
      </c>
      <c r="CW718">
        <v>50</v>
      </c>
      <c r="CX718" t="s">
        <v>125</v>
      </c>
      <c r="CY718" t="s">
        <v>125</v>
      </c>
      <c r="CZ718" t="s">
        <v>125</v>
      </c>
      <c r="DA718">
        <v>15.314097</v>
      </c>
      <c r="DB718">
        <v>17.400950000000002</v>
      </c>
      <c r="DC718">
        <v>16.332519999999999</v>
      </c>
      <c r="DD718" t="s">
        <v>125</v>
      </c>
      <c r="DE718">
        <v>1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Q718" t="s">
        <v>126</v>
      </c>
    </row>
    <row r="719" spans="1:121" x14ac:dyDescent="0.15">
      <c r="A719">
        <v>2018</v>
      </c>
      <c r="B719" t="s">
        <v>237</v>
      </c>
      <c r="C719" t="str">
        <f t="shared" si="28"/>
        <v>0950011</v>
      </c>
      <c r="D719" t="s">
        <v>874</v>
      </c>
      <c r="E719" t="str">
        <f>"0951311"</f>
        <v>0951311</v>
      </c>
      <c r="F719" t="s">
        <v>328</v>
      </c>
      <c r="G719">
        <v>6</v>
      </c>
      <c r="H719">
        <v>12</v>
      </c>
      <c r="J719" t="s">
        <v>331</v>
      </c>
      <c r="K719">
        <v>846.91648299999997</v>
      </c>
      <c r="L719">
        <v>1350</v>
      </c>
      <c r="M719">
        <v>62.734554000000003</v>
      </c>
      <c r="N719">
        <v>3</v>
      </c>
      <c r="O719">
        <v>0</v>
      </c>
      <c r="P719">
        <v>54.339830999999997</v>
      </c>
      <c r="Q719">
        <v>36.226554</v>
      </c>
      <c r="R719">
        <v>50</v>
      </c>
      <c r="S719">
        <v>51.155476999999998</v>
      </c>
      <c r="T719">
        <v>65.459795999999997</v>
      </c>
      <c r="U719">
        <v>34.103650999999999</v>
      </c>
      <c r="V719">
        <v>50</v>
      </c>
      <c r="W719">
        <v>50.253492999999999</v>
      </c>
      <c r="X719">
        <v>33.502329000000003</v>
      </c>
      <c r="Y719">
        <v>50</v>
      </c>
      <c r="Z719">
        <v>62.280338</v>
      </c>
      <c r="AA719">
        <v>46.809441999999997</v>
      </c>
      <c r="AB719">
        <v>31.206295000000001</v>
      </c>
      <c r="AC719">
        <v>50</v>
      </c>
      <c r="AD719">
        <v>56.133913999999997</v>
      </c>
      <c r="AE719">
        <v>37.422609000000001</v>
      </c>
      <c r="AF719">
        <v>50</v>
      </c>
      <c r="AG719">
        <v>51.570376000000003</v>
      </c>
      <c r="AH719">
        <v>65.883289000000005</v>
      </c>
      <c r="AI719">
        <v>34.380251000000001</v>
      </c>
      <c r="AJ719">
        <v>50</v>
      </c>
      <c r="AK719">
        <v>14.3</v>
      </c>
      <c r="AL719">
        <v>15.47</v>
      </c>
      <c r="AM719">
        <v>14.31</v>
      </c>
      <c r="AN719">
        <v>0.43817800000000001</v>
      </c>
      <c r="AO719">
        <v>43.817827000000001</v>
      </c>
      <c r="AP719">
        <v>100</v>
      </c>
      <c r="AQ719">
        <v>0.37618200000000002</v>
      </c>
      <c r="AR719">
        <v>37.618225000000002</v>
      </c>
      <c r="AS719">
        <v>100</v>
      </c>
      <c r="AT719">
        <v>0.44997599999999999</v>
      </c>
      <c r="AU719">
        <v>0.37697900000000001</v>
      </c>
      <c r="AV719">
        <v>44.997568000000001</v>
      </c>
      <c r="AW719">
        <v>100</v>
      </c>
      <c r="AX719">
        <v>0.353242</v>
      </c>
      <c r="AY719">
        <v>0.49518600000000002</v>
      </c>
      <c r="AZ719">
        <v>35.324168999999998</v>
      </c>
      <c r="BA719">
        <v>100</v>
      </c>
      <c r="BB719">
        <v>0.31415999999999999</v>
      </c>
      <c r="BC719">
        <v>15.707984</v>
      </c>
      <c r="BD719">
        <v>50</v>
      </c>
      <c r="BE719">
        <v>0.35563800000000001</v>
      </c>
      <c r="BF719">
        <v>17.781908999999999</v>
      </c>
      <c r="BG719">
        <v>50</v>
      </c>
      <c r="BH719">
        <v>0</v>
      </c>
      <c r="BI719">
        <v>0.98639500000000002</v>
      </c>
      <c r="BJ719">
        <v>0.98253299999999999</v>
      </c>
      <c r="BK719">
        <v>1</v>
      </c>
      <c r="BL719">
        <v>0.98644100000000001</v>
      </c>
      <c r="BM719">
        <v>0.98260899999999995</v>
      </c>
      <c r="BN719">
        <v>1</v>
      </c>
      <c r="BO719">
        <v>0.99300699999999997</v>
      </c>
      <c r="BP719">
        <v>0.98969099999999999</v>
      </c>
      <c r="BQ719">
        <v>1</v>
      </c>
      <c r="BR719">
        <v>9.0090000000000003E-2</v>
      </c>
      <c r="BS719">
        <v>41.981982000000002</v>
      </c>
      <c r="BT719">
        <v>50</v>
      </c>
      <c r="BU719">
        <v>9.8765000000000006E-2</v>
      </c>
      <c r="BV719">
        <v>40.246913999999997</v>
      </c>
      <c r="BW719">
        <v>50</v>
      </c>
      <c r="BX719">
        <v>0.856209</v>
      </c>
      <c r="BY719">
        <v>50</v>
      </c>
      <c r="BZ719">
        <v>50</v>
      </c>
      <c r="CA719">
        <v>0.45097999999999999</v>
      </c>
      <c r="CB719">
        <v>30.065359000000001</v>
      </c>
      <c r="CC719">
        <v>50</v>
      </c>
      <c r="CD719">
        <v>0.86666699999999997</v>
      </c>
      <c r="CE719">
        <v>46.099291000000001</v>
      </c>
      <c r="CF719">
        <v>50</v>
      </c>
      <c r="CG719">
        <v>0.94680900000000001</v>
      </c>
      <c r="CH719">
        <v>100</v>
      </c>
      <c r="CI719">
        <v>100</v>
      </c>
      <c r="CJ719" t="s">
        <v>125</v>
      </c>
      <c r="CK719" t="s">
        <v>125</v>
      </c>
      <c r="CL719" t="s">
        <v>125</v>
      </c>
      <c r="CM719" t="s">
        <v>125</v>
      </c>
      <c r="CN719">
        <v>0.74725299999999995</v>
      </c>
      <c r="CO719">
        <v>99.633700000000005</v>
      </c>
      <c r="CP719">
        <v>100</v>
      </c>
      <c r="CQ719">
        <v>0.375527</v>
      </c>
      <c r="CR719">
        <v>0.983402</v>
      </c>
      <c r="CS719">
        <v>25.035162</v>
      </c>
      <c r="CT719">
        <v>50</v>
      </c>
      <c r="CU719">
        <v>0.141176</v>
      </c>
      <c r="CV719">
        <v>11.764706</v>
      </c>
      <c r="CW719">
        <v>50</v>
      </c>
      <c r="CX719" t="s">
        <v>125</v>
      </c>
      <c r="CY719" t="s">
        <v>125</v>
      </c>
      <c r="CZ719" t="s">
        <v>125</v>
      </c>
      <c r="DA719">
        <v>15.314097</v>
      </c>
      <c r="DB719">
        <v>17.400950000000002</v>
      </c>
      <c r="DC719">
        <v>16.332519999999999</v>
      </c>
      <c r="DD719" t="s">
        <v>125</v>
      </c>
      <c r="DE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Q719" t="s">
        <v>126</v>
      </c>
    </row>
    <row r="720" spans="1:121" x14ac:dyDescent="0.15">
      <c r="A720">
        <v>2018</v>
      </c>
      <c r="B720" t="s">
        <v>237</v>
      </c>
      <c r="C720" t="str">
        <f t="shared" si="28"/>
        <v>0950011</v>
      </c>
      <c r="D720" t="s">
        <v>875</v>
      </c>
      <c r="E720" t="str">
        <f>"0950811"</f>
        <v>0950811</v>
      </c>
      <c r="F720" t="s">
        <v>328</v>
      </c>
      <c r="G720" t="s">
        <v>339</v>
      </c>
      <c r="H720">
        <v>5</v>
      </c>
      <c r="I720" t="s">
        <v>336</v>
      </c>
      <c r="J720" t="s">
        <v>331</v>
      </c>
      <c r="K720">
        <v>727.01890300000002</v>
      </c>
      <c r="L720">
        <v>950</v>
      </c>
      <c r="M720">
        <v>76.528306000000001</v>
      </c>
      <c r="N720">
        <v>2</v>
      </c>
      <c r="O720">
        <v>0</v>
      </c>
      <c r="P720">
        <v>70.004902000000001</v>
      </c>
      <c r="Q720">
        <v>46.669935000000002</v>
      </c>
      <c r="R720">
        <v>50</v>
      </c>
      <c r="S720">
        <v>67.039728999999994</v>
      </c>
      <c r="T720">
        <v>75</v>
      </c>
      <c r="U720">
        <v>44.693153000000002</v>
      </c>
      <c r="V720">
        <v>50</v>
      </c>
      <c r="W720">
        <v>64.837680000000006</v>
      </c>
      <c r="X720">
        <v>43.225119999999997</v>
      </c>
      <c r="Y720">
        <v>50</v>
      </c>
      <c r="Z720">
        <v>75</v>
      </c>
      <c r="AA720">
        <v>61.598365999999999</v>
      </c>
      <c r="AB720">
        <v>41.065578000000002</v>
      </c>
      <c r="AC720">
        <v>50</v>
      </c>
      <c r="AD720">
        <v>62.868172000000001</v>
      </c>
      <c r="AE720">
        <v>41.912115</v>
      </c>
      <c r="AF720">
        <v>50</v>
      </c>
      <c r="AG720">
        <v>60.110976999999998</v>
      </c>
      <c r="AH720" t="s">
        <v>125</v>
      </c>
      <c r="AI720">
        <v>40.073985</v>
      </c>
      <c r="AJ720">
        <v>50</v>
      </c>
      <c r="AK720">
        <v>7.96</v>
      </c>
      <c r="AL720">
        <v>13.4</v>
      </c>
      <c r="AM720" t="s">
        <v>125</v>
      </c>
      <c r="AN720">
        <v>0.72871799999999998</v>
      </c>
      <c r="AO720">
        <v>72.871838999999994</v>
      </c>
      <c r="AP720">
        <v>100</v>
      </c>
      <c r="AQ720">
        <v>0.71434200000000003</v>
      </c>
      <c r="AR720">
        <v>71.434218999999999</v>
      </c>
      <c r="AS720">
        <v>100</v>
      </c>
      <c r="AT720">
        <v>0.72877999999999998</v>
      </c>
      <c r="AU720">
        <v>0.728321</v>
      </c>
      <c r="AV720">
        <v>72.878026000000006</v>
      </c>
      <c r="AW720">
        <v>100</v>
      </c>
      <c r="AX720">
        <v>0.68566199999999999</v>
      </c>
      <c r="AY720">
        <v>0.89734899999999995</v>
      </c>
      <c r="AZ720">
        <v>68.566203000000002</v>
      </c>
      <c r="BA720">
        <v>100</v>
      </c>
      <c r="BB720">
        <v>0.58231200000000005</v>
      </c>
      <c r="BC720">
        <v>29.115621000000001</v>
      </c>
      <c r="BD720">
        <v>50</v>
      </c>
      <c r="BE720">
        <v>0.36560900000000002</v>
      </c>
      <c r="BF720">
        <v>18.280431</v>
      </c>
      <c r="BG720">
        <v>50</v>
      </c>
      <c r="BH720">
        <v>0</v>
      </c>
      <c r="BI720">
        <v>1</v>
      </c>
      <c r="BJ720">
        <v>1</v>
      </c>
      <c r="BK720">
        <v>1</v>
      </c>
      <c r="BL720">
        <v>0.99591799999999997</v>
      </c>
      <c r="BM720">
        <v>0.99516899999999997</v>
      </c>
      <c r="BN720">
        <v>1</v>
      </c>
      <c r="BO720">
        <v>1</v>
      </c>
      <c r="BP720">
        <v>1</v>
      </c>
      <c r="BQ720" t="s">
        <v>125</v>
      </c>
      <c r="BR720">
        <v>4.9603000000000001E-2</v>
      </c>
      <c r="BS720">
        <v>50</v>
      </c>
      <c r="BT720">
        <v>50</v>
      </c>
      <c r="BU720">
        <v>5.7591999999999997E-2</v>
      </c>
      <c r="BV720">
        <v>48.481675000000003</v>
      </c>
      <c r="BW720">
        <v>50</v>
      </c>
      <c r="BX720" t="s">
        <v>125</v>
      </c>
      <c r="BY720" t="s">
        <v>125</v>
      </c>
      <c r="BZ720" t="s">
        <v>125</v>
      </c>
      <c r="CA720" t="s">
        <v>125</v>
      </c>
      <c r="CB720" t="s">
        <v>125</v>
      </c>
      <c r="CC720" t="s">
        <v>125</v>
      </c>
      <c r="CD720" t="s">
        <v>125</v>
      </c>
      <c r="CE720" t="s">
        <v>125</v>
      </c>
      <c r="CF720" t="s">
        <v>125</v>
      </c>
      <c r="CG720" t="s">
        <v>125</v>
      </c>
      <c r="CH720" t="s">
        <v>125</v>
      </c>
      <c r="CI720" t="s">
        <v>125</v>
      </c>
      <c r="CJ720" t="s">
        <v>125</v>
      </c>
      <c r="CK720" t="s">
        <v>125</v>
      </c>
      <c r="CL720" t="s">
        <v>125</v>
      </c>
      <c r="CM720" t="s">
        <v>125</v>
      </c>
      <c r="CN720" t="s">
        <v>125</v>
      </c>
      <c r="CO720" t="s">
        <v>125</v>
      </c>
      <c r="CP720" t="s">
        <v>125</v>
      </c>
      <c r="CQ720">
        <v>0.56626500000000002</v>
      </c>
      <c r="CR720">
        <v>0.97647099999999998</v>
      </c>
      <c r="CS720">
        <v>37.751004000000002</v>
      </c>
      <c r="CT720">
        <v>50</v>
      </c>
      <c r="CU720" t="s">
        <v>125</v>
      </c>
      <c r="CV720" t="s">
        <v>125</v>
      </c>
      <c r="CW720" t="s">
        <v>125</v>
      </c>
      <c r="CX720" t="s">
        <v>125</v>
      </c>
      <c r="CY720" t="s">
        <v>125</v>
      </c>
      <c r="CZ720" t="s">
        <v>125</v>
      </c>
      <c r="DA720">
        <v>15.314097</v>
      </c>
      <c r="DB720">
        <v>17.400950000000002</v>
      </c>
      <c r="DC720">
        <v>16.332519999999999</v>
      </c>
      <c r="DD720" t="s">
        <v>125</v>
      </c>
      <c r="DE720">
        <v>0</v>
      </c>
      <c r="DH720" t="s">
        <v>332</v>
      </c>
      <c r="DI720" t="s">
        <v>524</v>
      </c>
      <c r="DJ720">
        <v>0</v>
      </c>
      <c r="DK720">
        <v>0</v>
      </c>
      <c r="DL720">
        <v>0</v>
      </c>
      <c r="DM720">
        <v>1</v>
      </c>
      <c r="DN720">
        <v>0</v>
      </c>
      <c r="DO720">
        <v>0</v>
      </c>
      <c r="DQ720" t="s">
        <v>126</v>
      </c>
    </row>
    <row r="721" spans="1:121" x14ac:dyDescent="0.15">
      <c r="A721">
        <v>2018</v>
      </c>
      <c r="B721" t="s">
        <v>208</v>
      </c>
      <c r="C721" t="str">
        <f>"0960011"</f>
        <v>0960011</v>
      </c>
      <c r="D721" t="s">
        <v>876</v>
      </c>
      <c r="E721" t="str">
        <f>"0960511"</f>
        <v>0960511</v>
      </c>
      <c r="F721" t="s">
        <v>328</v>
      </c>
      <c r="G721" t="s">
        <v>329</v>
      </c>
      <c r="H721">
        <v>2</v>
      </c>
      <c r="I721" t="s">
        <v>330</v>
      </c>
      <c r="J721" t="s">
        <v>331</v>
      </c>
      <c r="K721">
        <v>97.179486999999995</v>
      </c>
      <c r="L721">
        <v>100</v>
      </c>
      <c r="M721">
        <v>97.179486999999995</v>
      </c>
      <c r="N721" t="s">
        <v>125</v>
      </c>
      <c r="O721" t="s">
        <v>125</v>
      </c>
      <c r="P721" t="s">
        <v>125</v>
      </c>
      <c r="Q721" t="s">
        <v>125</v>
      </c>
      <c r="R721" t="s">
        <v>125</v>
      </c>
      <c r="S721" t="s">
        <v>125</v>
      </c>
      <c r="T721" t="s">
        <v>125</v>
      </c>
      <c r="U721" t="s">
        <v>125</v>
      </c>
      <c r="V721" t="s">
        <v>125</v>
      </c>
      <c r="W721" t="s">
        <v>125</v>
      </c>
      <c r="X721" t="s">
        <v>125</v>
      </c>
      <c r="Y721" t="s">
        <v>125</v>
      </c>
      <c r="Z721" t="s">
        <v>125</v>
      </c>
      <c r="AA721" t="s">
        <v>125</v>
      </c>
      <c r="AB721" t="s">
        <v>125</v>
      </c>
      <c r="AC721" t="s">
        <v>125</v>
      </c>
      <c r="AD721" t="s">
        <v>125</v>
      </c>
      <c r="AE721" t="s">
        <v>125</v>
      </c>
      <c r="AF721" t="s">
        <v>125</v>
      </c>
      <c r="AG721" t="s">
        <v>125</v>
      </c>
      <c r="AH721" t="s">
        <v>125</v>
      </c>
      <c r="AI721" t="s">
        <v>125</v>
      </c>
      <c r="AJ721" t="s">
        <v>125</v>
      </c>
      <c r="AK721" t="s">
        <v>125</v>
      </c>
      <c r="AL721" t="s">
        <v>125</v>
      </c>
      <c r="AM721" t="s">
        <v>125</v>
      </c>
      <c r="AN721" t="s">
        <v>125</v>
      </c>
      <c r="AO721" t="s">
        <v>125</v>
      </c>
      <c r="AP721" t="s">
        <v>125</v>
      </c>
      <c r="AQ721" t="s">
        <v>125</v>
      </c>
      <c r="AR721" t="s">
        <v>125</v>
      </c>
      <c r="AS721" t="s">
        <v>125</v>
      </c>
      <c r="AT721" t="s">
        <v>125</v>
      </c>
      <c r="AU721" t="s">
        <v>125</v>
      </c>
      <c r="AV721" t="s">
        <v>125</v>
      </c>
      <c r="AW721" t="s">
        <v>125</v>
      </c>
      <c r="AX721" t="s">
        <v>125</v>
      </c>
      <c r="AY721" t="s">
        <v>125</v>
      </c>
      <c r="AZ721" t="s">
        <v>125</v>
      </c>
      <c r="BA721" t="s">
        <v>125</v>
      </c>
      <c r="BB721" t="s">
        <v>125</v>
      </c>
      <c r="BC721" t="s">
        <v>125</v>
      </c>
      <c r="BD721" t="s">
        <v>125</v>
      </c>
      <c r="BE721" t="s">
        <v>125</v>
      </c>
      <c r="BF721" t="s">
        <v>125</v>
      </c>
      <c r="BG721" t="s">
        <v>125</v>
      </c>
      <c r="BH721" t="s">
        <v>125</v>
      </c>
      <c r="BI721" t="s">
        <v>125</v>
      </c>
      <c r="BJ721" t="s">
        <v>125</v>
      </c>
      <c r="BK721" t="s">
        <v>125</v>
      </c>
      <c r="BL721" t="s">
        <v>125</v>
      </c>
      <c r="BM721" t="s">
        <v>125</v>
      </c>
      <c r="BN721" t="s">
        <v>125</v>
      </c>
      <c r="BO721" t="s">
        <v>125</v>
      </c>
      <c r="BP721" t="s">
        <v>125</v>
      </c>
      <c r="BQ721" t="s">
        <v>125</v>
      </c>
      <c r="BR721">
        <v>3.2543999999999997E-2</v>
      </c>
      <c r="BS721">
        <v>50</v>
      </c>
      <c r="BT721">
        <v>50</v>
      </c>
      <c r="BU721">
        <v>6.4102999999999993E-2</v>
      </c>
      <c r="BV721">
        <v>47.179487000000002</v>
      </c>
      <c r="BW721">
        <v>50</v>
      </c>
      <c r="BX721" t="s">
        <v>125</v>
      </c>
      <c r="BY721" t="s">
        <v>125</v>
      </c>
      <c r="BZ721" t="s">
        <v>125</v>
      </c>
      <c r="CA721" t="s">
        <v>125</v>
      </c>
      <c r="CB721" t="s">
        <v>125</v>
      </c>
      <c r="CC721" t="s">
        <v>125</v>
      </c>
      <c r="CD721" t="s">
        <v>125</v>
      </c>
      <c r="CE721" t="s">
        <v>125</v>
      </c>
      <c r="CF721" t="s">
        <v>125</v>
      </c>
      <c r="CG721" t="s">
        <v>125</v>
      </c>
      <c r="CH721" t="s">
        <v>125</v>
      </c>
      <c r="CI721" t="s">
        <v>125</v>
      </c>
      <c r="CJ721" t="s">
        <v>125</v>
      </c>
      <c r="CK721" t="s">
        <v>125</v>
      </c>
      <c r="CL721" t="s">
        <v>125</v>
      </c>
      <c r="CM721" t="s">
        <v>125</v>
      </c>
      <c r="CN721" t="s">
        <v>125</v>
      </c>
      <c r="CO721" t="s">
        <v>125</v>
      </c>
      <c r="CP721" t="s">
        <v>125</v>
      </c>
      <c r="CQ721" t="s">
        <v>125</v>
      </c>
      <c r="CR721" t="s">
        <v>125</v>
      </c>
      <c r="CS721" t="s">
        <v>125</v>
      </c>
      <c r="CT721" t="s">
        <v>125</v>
      </c>
      <c r="CU721" t="s">
        <v>125</v>
      </c>
      <c r="CV721" t="s">
        <v>125</v>
      </c>
      <c r="CW721" t="s">
        <v>125</v>
      </c>
      <c r="CX721" t="s">
        <v>125</v>
      </c>
      <c r="CY721" t="s">
        <v>125</v>
      </c>
      <c r="CZ721" t="s">
        <v>125</v>
      </c>
      <c r="DA721" t="s">
        <v>125</v>
      </c>
      <c r="DB721" t="s">
        <v>125</v>
      </c>
      <c r="DC721" t="s">
        <v>125</v>
      </c>
      <c r="DD721" t="s">
        <v>125</v>
      </c>
      <c r="DE721" t="s">
        <v>125</v>
      </c>
      <c r="DJ721" t="s">
        <v>125</v>
      </c>
      <c r="DK721" t="s">
        <v>125</v>
      </c>
      <c r="DL721" t="s">
        <v>125</v>
      </c>
      <c r="DM721" t="s">
        <v>125</v>
      </c>
      <c r="DN721" t="s">
        <v>125</v>
      </c>
      <c r="DO721" t="s">
        <v>125</v>
      </c>
      <c r="DQ721" t="s">
        <v>126</v>
      </c>
    </row>
    <row r="722" spans="1:121" x14ac:dyDescent="0.15">
      <c r="A722">
        <v>2018</v>
      </c>
      <c r="B722" t="s">
        <v>208</v>
      </c>
      <c r="C722" t="str">
        <f>"0960011"</f>
        <v>0960011</v>
      </c>
      <c r="D722" t="s">
        <v>877</v>
      </c>
      <c r="E722" t="str">
        <f>"0966111"</f>
        <v>0966111</v>
      </c>
      <c r="F722" t="s">
        <v>328</v>
      </c>
      <c r="G722">
        <v>9</v>
      </c>
      <c r="H722">
        <v>12</v>
      </c>
      <c r="J722" t="s">
        <v>331</v>
      </c>
      <c r="K722">
        <v>1214.534938</v>
      </c>
      <c r="L722">
        <v>1550</v>
      </c>
      <c r="M722">
        <v>78.357093000000006</v>
      </c>
      <c r="N722">
        <v>3</v>
      </c>
      <c r="O722">
        <v>0</v>
      </c>
      <c r="P722">
        <v>60.949289999999998</v>
      </c>
      <c r="Q722">
        <v>121.89858099999999</v>
      </c>
      <c r="R722">
        <v>150</v>
      </c>
      <c r="S722">
        <v>54.183225999999998</v>
      </c>
      <c r="T722">
        <v>64.192012000000005</v>
      </c>
      <c r="U722">
        <v>108.36645300000001</v>
      </c>
      <c r="V722">
        <v>150</v>
      </c>
      <c r="W722">
        <v>60.661821000000003</v>
      </c>
      <c r="X722">
        <v>121.32364099999999</v>
      </c>
      <c r="Y722">
        <v>150</v>
      </c>
      <c r="Z722">
        <v>64.225806000000006</v>
      </c>
      <c r="AA722">
        <v>53.225427000000003</v>
      </c>
      <c r="AB722">
        <v>106.450855</v>
      </c>
      <c r="AC722">
        <v>150</v>
      </c>
      <c r="AD722">
        <v>62.725309000000003</v>
      </c>
      <c r="AE722">
        <v>83.633745000000005</v>
      </c>
      <c r="AF722">
        <v>100</v>
      </c>
      <c r="AG722">
        <v>52.745489999999997</v>
      </c>
      <c r="AH722">
        <v>67.668583999999996</v>
      </c>
      <c r="AI722">
        <v>70.32732</v>
      </c>
      <c r="AJ722">
        <v>100</v>
      </c>
      <c r="AK722">
        <v>10</v>
      </c>
      <c r="AL722">
        <v>11</v>
      </c>
      <c r="AM722">
        <v>14.92</v>
      </c>
      <c r="AN722" t="s">
        <v>125</v>
      </c>
      <c r="AO722" t="s">
        <v>125</v>
      </c>
      <c r="AP722" t="s">
        <v>125</v>
      </c>
      <c r="AQ722" t="s">
        <v>125</v>
      </c>
      <c r="AR722" t="s">
        <v>125</v>
      </c>
      <c r="AS722" t="s">
        <v>125</v>
      </c>
      <c r="AT722" t="s">
        <v>125</v>
      </c>
      <c r="AU722" t="s">
        <v>125</v>
      </c>
      <c r="AV722" t="s">
        <v>125</v>
      </c>
      <c r="AW722" t="s">
        <v>125</v>
      </c>
      <c r="AX722" t="s">
        <v>125</v>
      </c>
      <c r="AY722" t="s">
        <v>125</v>
      </c>
      <c r="AZ722" t="s">
        <v>125</v>
      </c>
      <c r="BA722" t="s">
        <v>125</v>
      </c>
      <c r="BB722">
        <v>0.45168599999999998</v>
      </c>
      <c r="BC722">
        <v>22.584306000000002</v>
      </c>
      <c r="BD722">
        <v>50</v>
      </c>
      <c r="BE722">
        <v>0.72878500000000002</v>
      </c>
      <c r="BF722">
        <v>36.439230000000002</v>
      </c>
      <c r="BG722">
        <v>50</v>
      </c>
      <c r="BH722">
        <v>1</v>
      </c>
      <c r="BI722">
        <v>0.97916700000000001</v>
      </c>
      <c r="BJ722">
        <v>0.94067800000000001</v>
      </c>
      <c r="BK722">
        <v>1</v>
      </c>
      <c r="BL722">
        <v>0.97916700000000001</v>
      </c>
      <c r="BM722">
        <v>0.94067800000000001</v>
      </c>
      <c r="BN722">
        <v>1</v>
      </c>
      <c r="BO722">
        <v>0.97023800000000004</v>
      </c>
      <c r="BP722">
        <v>0.94067800000000001</v>
      </c>
      <c r="BQ722">
        <v>0.98623899999999998</v>
      </c>
      <c r="BR722">
        <v>9.7933999999999993E-2</v>
      </c>
      <c r="BS722">
        <v>40.413159999999998</v>
      </c>
      <c r="BT722">
        <v>50</v>
      </c>
      <c r="BU722">
        <v>0.18584100000000001</v>
      </c>
      <c r="BV722">
        <v>22.831858</v>
      </c>
      <c r="BW722">
        <v>50</v>
      </c>
      <c r="BX722">
        <v>0.95866499999999999</v>
      </c>
      <c r="BY722">
        <v>50</v>
      </c>
      <c r="BZ722">
        <v>50</v>
      </c>
      <c r="CA722">
        <v>0.54690000000000005</v>
      </c>
      <c r="CB722">
        <v>36.459989</v>
      </c>
      <c r="CC722">
        <v>50</v>
      </c>
      <c r="CD722">
        <v>0.93333299999999997</v>
      </c>
      <c r="CE722">
        <v>49.645389999999999</v>
      </c>
      <c r="CF722">
        <v>50</v>
      </c>
      <c r="CG722">
        <v>0.92592600000000003</v>
      </c>
      <c r="CH722">
        <v>98.502758</v>
      </c>
      <c r="CI722">
        <v>100</v>
      </c>
      <c r="CJ722">
        <v>1</v>
      </c>
      <c r="CK722">
        <v>0.85057499999999997</v>
      </c>
      <c r="CL722">
        <v>90.486671999999999</v>
      </c>
      <c r="CM722">
        <v>100</v>
      </c>
      <c r="CN722">
        <v>0.82674800000000004</v>
      </c>
      <c r="CO722">
        <v>100</v>
      </c>
      <c r="CP722">
        <v>100</v>
      </c>
      <c r="CQ722">
        <v>0.44625399999999998</v>
      </c>
      <c r="CR722">
        <v>0.89504399999999995</v>
      </c>
      <c r="CS722">
        <v>14.875135999999999</v>
      </c>
      <c r="CT722">
        <v>50</v>
      </c>
      <c r="CU722">
        <v>0.48354999999999998</v>
      </c>
      <c r="CV722">
        <v>40.295842999999998</v>
      </c>
      <c r="CW722">
        <v>50</v>
      </c>
      <c r="CX722">
        <v>0.85057499999999997</v>
      </c>
      <c r="CY722">
        <v>0.94</v>
      </c>
      <c r="CZ722">
        <v>8.9425000000000004E-2</v>
      </c>
      <c r="DA722">
        <v>15.314097</v>
      </c>
      <c r="DB722">
        <v>17.400950000000002</v>
      </c>
      <c r="DC722">
        <v>16.332519999999999</v>
      </c>
      <c r="DD722">
        <v>7.9891730000000001</v>
      </c>
      <c r="DE722">
        <v>1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Q722" t="s">
        <v>126</v>
      </c>
    </row>
    <row r="723" spans="1:121" x14ac:dyDescent="0.15">
      <c r="A723">
        <v>2018</v>
      </c>
      <c r="B723" t="s">
        <v>208</v>
      </c>
      <c r="C723" t="str">
        <f>"0960011"</f>
        <v>0960011</v>
      </c>
      <c r="D723" t="s">
        <v>878</v>
      </c>
      <c r="E723" t="str">
        <f>"0960811"</f>
        <v>0960811</v>
      </c>
      <c r="F723" t="s">
        <v>328</v>
      </c>
      <c r="G723" t="s">
        <v>329</v>
      </c>
      <c r="H723">
        <v>2</v>
      </c>
      <c r="J723" t="s">
        <v>331</v>
      </c>
      <c r="K723">
        <v>94.905659999999997</v>
      </c>
      <c r="L723">
        <v>100</v>
      </c>
      <c r="M723">
        <v>94.905659999999997</v>
      </c>
      <c r="N723" t="s">
        <v>125</v>
      </c>
      <c r="O723" t="s">
        <v>125</v>
      </c>
      <c r="P723" t="s">
        <v>125</v>
      </c>
      <c r="Q723" t="s">
        <v>125</v>
      </c>
      <c r="R723" t="s">
        <v>125</v>
      </c>
      <c r="S723" t="s">
        <v>125</v>
      </c>
      <c r="T723" t="s">
        <v>125</v>
      </c>
      <c r="U723" t="s">
        <v>125</v>
      </c>
      <c r="V723" t="s">
        <v>125</v>
      </c>
      <c r="W723" t="s">
        <v>125</v>
      </c>
      <c r="X723" t="s">
        <v>125</v>
      </c>
      <c r="Y723" t="s">
        <v>125</v>
      </c>
      <c r="Z723" t="s">
        <v>125</v>
      </c>
      <c r="AA723" t="s">
        <v>125</v>
      </c>
      <c r="AB723" t="s">
        <v>125</v>
      </c>
      <c r="AC723" t="s">
        <v>125</v>
      </c>
      <c r="AD723" t="s">
        <v>125</v>
      </c>
      <c r="AE723" t="s">
        <v>125</v>
      </c>
      <c r="AF723" t="s">
        <v>125</v>
      </c>
      <c r="AG723" t="s">
        <v>125</v>
      </c>
      <c r="AH723" t="s">
        <v>125</v>
      </c>
      <c r="AI723" t="s">
        <v>125</v>
      </c>
      <c r="AJ723" t="s">
        <v>125</v>
      </c>
      <c r="AK723" t="s">
        <v>125</v>
      </c>
      <c r="AL723" t="s">
        <v>125</v>
      </c>
      <c r="AM723" t="s">
        <v>125</v>
      </c>
      <c r="AN723" t="s">
        <v>125</v>
      </c>
      <c r="AO723" t="s">
        <v>125</v>
      </c>
      <c r="AP723" t="s">
        <v>125</v>
      </c>
      <c r="AQ723" t="s">
        <v>125</v>
      </c>
      <c r="AR723" t="s">
        <v>125</v>
      </c>
      <c r="AS723" t="s">
        <v>125</v>
      </c>
      <c r="AT723" t="s">
        <v>125</v>
      </c>
      <c r="AU723" t="s">
        <v>125</v>
      </c>
      <c r="AV723" t="s">
        <v>125</v>
      </c>
      <c r="AW723" t="s">
        <v>125</v>
      </c>
      <c r="AX723" t="s">
        <v>125</v>
      </c>
      <c r="AY723" t="s">
        <v>125</v>
      </c>
      <c r="AZ723" t="s">
        <v>125</v>
      </c>
      <c r="BA723" t="s">
        <v>125</v>
      </c>
      <c r="BB723" t="s">
        <v>125</v>
      </c>
      <c r="BC723" t="s">
        <v>125</v>
      </c>
      <c r="BD723" t="s">
        <v>125</v>
      </c>
      <c r="BE723" t="s">
        <v>125</v>
      </c>
      <c r="BF723" t="s">
        <v>125</v>
      </c>
      <c r="BG723" t="s">
        <v>125</v>
      </c>
      <c r="BH723" t="s">
        <v>125</v>
      </c>
      <c r="BI723" t="s">
        <v>125</v>
      </c>
      <c r="BJ723" t="s">
        <v>125</v>
      </c>
      <c r="BK723" t="s">
        <v>125</v>
      </c>
      <c r="BL723" t="s">
        <v>125</v>
      </c>
      <c r="BM723" t="s">
        <v>125</v>
      </c>
      <c r="BN723" t="s">
        <v>125</v>
      </c>
      <c r="BO723" t="s">
        <v>125</v>
      </c>
      <c r="BP723" t="s">
        <v>125</v>
      </c>
      <c r="BQ723" t="s">
        <v>125</v>
      </c>
      <c r="BR723">
        <v>3.6854999999999999E-2</v>
      </c>
      <c r="BS723">
        <v>50</v>
      </c>
      <c r="BT723">
        <v>50</v>
      </c>
      <c r="BU723">
        <v>7.5471999999999997E-2</v>
      </c>
      <c r="BV723">
        <v>44.905659999999997</v>
      </c>
      <c r="BW723">
        <v>50</v>
      </c>
      <c r="BX723" t="s">
        <v>125</v>
      </c>
      <c r="BY723" t="s">
        <v>125</v>
      </c>
      <c r="BZ723" t="s">
        <v>125</v>
      </c>
      <c r="CA723" t="s">
        <v>125</v>
      </c>
      <c r="CB723" t="s">
        <v>125</v>
      </c>
      <c r="CC723" t="s">
        <v>125</v>
      </c>
      <c r="CD723" t="s">
        <v>125</v>
      </c>
      <c r="CE723" t="s">
        <v>125</v>
      </c>
      <c r="CF723" t="s">
        <v>125</v>
      </c>
      <c r="CG723" t="s">
        <v>125</v>
      </c>
      <c r="CH723" t="s">
        <v>125</v>
      </c>
      <c r="CI723" t="s">
        <v>125</v>
      </c>
      <c r="CJ723" t="s">
        <v>125</v>
      </c>
      <c r="CK723" t="s">
        <v>125</v>
      </c>
      <c r="CL723" t="s">
        <v>125</v>
      </c>
      <c r="CM723" t="s">
        <v>125</v>
      </c>
      <c r="CN723" t="s">
        <v>125</v>
      </c>
      <c r="CO723" t="s">
        <v>125</v>
      </c>
      <c r="CP723" t="s">
        <v>125</v>
      </c>
      <c r="CQ723" t="s">
        <v>125</v>
      </c>
      <c r="CR723" t="s">
        <v>125</v>
      </c>
      <c r="CS723" t="s">
        <v>125</v>
      </c>
      <c r="CT723" t="s">
        <v>125</v>
      </c>
      <c r="CU723" t="s">
        <v>125</v>
      </c>
      <c r="CV723" t="s">
        <v>125</v>
      </c>
      <c r="CW723" t="s">
        <v>125</v>
      </c>
      <c r="CX723" t="s">
        <v>125</v>
      </c>
      <c r="CY723" t="s">
        <v>125</v>
      </c>
      <c r="CZ723" t="s">
        <v>125</v>
      </c>
      <c r="DA723" t="s">
        <v>125</v>
      </c>
      <c r="DB723" t="s">
        <v>125</v>
      </c>
      <c r="DC723" t="s">
        <v>125</v>
      </c>
      <c r="DD723" t="s">
        <v>125</v>
      </c>
      <c r="DE723" t="s">
        <v>125</v>
      </c>
      <c r="DJ723" t="s">
        <v>125</v>
      </c>
      <c r="DK723" t="s">
        <v>125</v>
      </c>
      <c r="DL723" t="s">
        <v>125</v>
      </c>
      <c r="DM723" t="s">
        <v>125</v>
      </c>
      <c r="DN723" t="s">
        <v>125</v>
      </c>
      <c r="DO723" t="s">
        <v>125</v>
      </c>
      <c r="DQ723" t="s">
        <v>126</v>
      </c>
    </row>
    <row r="724" spans="1:121" x14ac:dyDescent="0.15">
      <c r="A724">
        <v>2018</v>
      </c>
      <c r="B724" t="s">
        <v>208</v>
      </c>
      <c r="C724" t="str">
        <f>"0960011"</f>
        <v>0960011</v>
      </c>
      <c r="D724" t="s">
        <v>879</v>
      </c>
      <c r="E724" t="str">
        <f>"0960911"</f>
        <v>0960911</v>
      </c>
      <c r="F724" t="s">
        <v>328</v>
      </c>
      <c r="G724">
        <v>3</v>
      </c>
      <c r="H724">
        <v>5</v>
      </c>
      <c r="I724" t="s">
        <v>330</v>
      </c>
      <c r="J724" t="s">
        <v>331</v>
      </c>
      <c r="K724">
        <v>727.04973600000005</v>
      </c>
      <c r="L724">
        <v>950</v>
      </c>
      <c r="M724">
        <v>76.531550999999993</v>
      </c>
      <c r="N724">
        <v>2</v>
      </c>
      <c r="O724">
        <v>0</v>
      </c>
      <c r="P724">
        <v>68.478378000000006</v>
      </c>
      <c r="Q724">
        <v>45.652251999999997</v>
      </c>
      <c r="R724">
        <v>50</v>
      </c>
      <c r="S724">
        <v>61.143605000000001</v>
      </c>
      <c r="T724">
        <v>75</v>
      </c>
      <c r="U724">
        <v>40.762402999999999</v>
      </c>
      <c r="V724">
        <v>50</v>
      </c>
      <c r="W724">
        <v>67.116523000000001</v>
      </c>
      <c r="X724">
        <v>44.744349</v>
      </c>
      <c r="Y724">
        <v>50</v>
      </c>
      <c r="Z724">
        <v>73.872086999999993</v>
      </c>
      <c r="AA724">
        <v>59.926285</v>
      </c>
      <c r="AB724">
        <v>39.950856999999999</v>
      </c>
      <c r="AC724">
        <v>50</v>
      </c>
      <c r="AD724">
        <v>69.999301000000003</v>
      </c>
      <c r="AE724">
        <v>46.666201000000001</v>
      </c>
      <c r="AF724">
        <v>50</v>
      </c>
      <c r="AG724">
        <v>64.159908000000001</v>
      </c>
      <c r="AH724">
        <v>75</v>
      </c>
      <c r="AI724">
        <v>42.773271999999999</v>
      </c>
      <c r="AJ724">
        <v>50</v>
      </c>
      <c r="AK724">
        <v>13.85</v>
      </c>
      <c r="AL724">
        <v>13.94</v>
      </c>
      <c r="AM724">
        <v>10.84</v>
      </c>
      <c r="AN724">
        <v>0.60662000000000005</v>
      </c>
      <c r="AO724">
        <v>60.661982000000002</v>
      </c>
      <c r="AP724">
        <v>100</v>
      </c>
      <c r="AQ724">
        <v>0.74734100000000003</v>
      </c>
      <c r="AR724">
        <v>74.734149000000002</v>
      </c>
      <c r="AS724">
        <v>100</v>
      </c>
      <c r="AT724">
        <v>0.55960299999999996</v>
      </c>
      <c r="AU724">
        <v>0.64820500000000003</v>
      </c>
      <c r="AV724">
        <v>55.960303000000003</v>
      </c>
      <c r="AW724">
        <v>100</v>
      </c>
      <c r="AX724">
        <v>0.744896</v>
      </c>
      <c r="AY724">
        <v>0.74951800000000002</v>
      </c>
      <c r="AZ724">
        <v>74.489648000000003</v>
      </c>
      <c r="BA724">
        <v>100</v>
      </c>
      <c r="BB724">
        <v>0.641428</v>
      </c>
      <c r="BC724">
        <v>32.071399</v>
      </c>
      <c r="BD724">
        <v>50</v>
      </c>
      <c r="BE724">
        <v>0.67966599999999999</v>
      </c>
      <c r="BF724">
        <v>33.983297</v>
      </c>
      <c r="BG724">
        <v>50</v>
      </c>
      <c r="BH724">
        <v>0</v>
      </c>
      <c r="BI724">
        <v>0.99004999999999999</v>
      </c>
      <c r="BJ724">
        <v>0.98984799999999995</v>
      </c>
      <c r="BK724">
        <v>0.99024400000000001</v>
      </c>
      <c r="BL724">
        <v>0.98007500000000003</v>
      </c>
      <c r="BM724">
        <v>0.98223400000000005</v>
      </c>
      <c r="BN724">
        <v>0.97799499999999995</v>
      </c>
      <c r="BO724">
        <v>0.98947399999999996</v>
      </c>
      <c r="BP724">
        <v>0.99310299999999996</v>
      </c>
      <c r="BQ724">
        <v>0.98571399999999998</v>
      </c>
      <c r="BR724">
        <v>3.4913E-2</v>
      </c>
      <c r="BS724">
        <v>50</v>
      </c>
      <c r="BT724">
        <v>50</v>
      </c>
      <c r="BU724">
        <v>5.0802E-2</v>
      </c>
      <c r="BV724">
        <v>49.839571999999997</v>
      </c>
      <c r="BW724">
        <v>50</v>
      </c>
      <c r="BX724" t="s">
        <v>125</v>
      </c>
      <c r="BY724" t="s">
        <v>125</v>
      </c>
      <c r="BZ724" t="s">
        <v>125</v>
      </c>
      <c r="CA724" t="s">
        <v>125</v>
      </c>
      <c r="CB724" t="s">
        <v>125</v>
      </c>
      <c r="CC724" t="s">
        <v>125</v>
      </c>
      <c r="CD724" t="s">
        <v>125</v>
      </c>
      <c r="CE724" t="s">
        <v>125</v>
      </c>
      <c r="CF724" t="s">
        <v>125</v>
      </c>
      <c r="CG724" t="s">
        <v>125</v>
      </c>
      <c r="CH724" t="s">
        <v>125</v>
      </c>
      <c r="CI724" t="s">
        <v>125</v>
      </c>
      <c r="CJ724" t="s">
        <v>125</v>
      </c>
      <c r="CK724" t="s">
        <v>125</v>
      </c>
      <c r="CL724" t="s">
        <v>125</v>
      </c>
      <c r="CM724" t="s">
        <v>125</v>
      </c>
      <c r="CN724" t="s">
        <v>125</v>
      </c>
      <c r="CO724" t="s">
        <v>125</v>
      </c>
      <c r="CP724" t="s">
        <v>125</v>
      </c>
      <c r="CQ724">
        <v>0.521401</v>
      </c>
      <c r="CR724">
        <v>0.98091600000000001</v>
      </c>
      <c r="CS724">
        <v>34.760052000000002</v>
      </c>
      <c r="CT724">
        <v>50</v>
      </c>
      <c r="CU724" t="s">
        <v>125</v>
      </c>
      <c r="CV724" t="s">
        <v>125</v>
      </c>
      <c r="CW724" t="s">
        <v>125</v>
      </c>
      <c r="CX724" t="s">
        <v>125</v>
      </c>
      <c r="CY724" t="s">
        <v>125</v>
      </c>
      <c r="CZ724" t="s">
        <v>125</v>
      </c>
      <c r="DA724">
        <v>15.314097</v>
      </c>
      <c r="DB724">
        <v>17.400950000000002</v>
      </c>
      <c r="DC724">
        <v>16.332519999999999</v>
      </c>
      <c r="DD724" t="s">
        <v>125</v>
      </c>
      <c r="DE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Q724" t="s">
        <v>126</v>
      </c>
    </row>
    <row r="725" spans="1:121" x14ac:dyDescent="0.15">
      <c r="A725">
        <v>2018</v>
      </c>
      <c r="B725" t="s">
        <v>208</v>
      </c>
      <c r="C725" t="str">
        <f>"0960011"</f>
        <v>0960011</v>
      </c>
      <c r="D725" t="s">
        <v>880</v>
      </c>
      <c r="E725" t="str">
        <f>"0965211"</f>
        <v>0965211</v>
      </c>
      <c r="F725" t="s">
        <v>328</v>
      </c>
      <c r="G725">
        <v>6</v>
      </c>
      <c r="H725">
        <v>8</v>
      </c>
      <c r="J725" t="s">
        <v>331</v>
      </c>
      <c r="K725">
        <v>699.57282099999998</v>
      </c>
      <c r="L725">
        <v>1000</v>
      </c>
      <c r="M725">
        <v>69.957282000000006</v>
      </c>
      <c r="N725">
        <v>3</v>
      </c>
      <c r="O725">
        <v>0</v>
      </c>
      <c r="P725">
        <v>69.668098999999998</v>
      </c>
      <c r="Q725">
        <v>46.445399000000002</v>
      </c>
      <c r="R725">
        <v>50</v>
      </c>
      <c r="S725">
        <v>62.136139</v>
      </c>
      <c r="T725">
        <v>75</v>
      </c>
      <c r="U725">
        <v>41.424092000000002</v>
      </c>
      <c r="V725">
        <v>50</v>
      </c>
      <c r="W725">
        <v>64.822950000000006</v>
      </c>
      <c r="X725">
        <v>43.215299999999999</v>
      </c>
      <c r="Y725">
        <v>50</v>
      </c>
      <c r="Z725">
        <v>71.173437000000007</v>
      </c>
      <c r="AA725">
        <v>55.873041000000001</v>
      </c>
      <c r="AB725">
        <v>37.248694</v>
      </c>
      <c r="AC725">
        <v>50</v>
      </c>
      <c r="AD725">
        <v>69.260614000000004</v>
      </c>
      <c r="AE725">
        <v>46.173743000000002</v>
      </c>
      <c r="AF725">
        <v>50</v>
      </c>
      <c r="AG725">
        <v>59.683494000000003</v>
      </c>
      <c r="AH725">
        <v>75</v>
      </c>
      <c r="AI725">
        <v>39.788995999999997</v>
      </c>
      <c r="AJ725">
        <v>50</v>
      </c>
      <c r="AK725">
        <v>12.86</v>
      </c>
      <c r="AL725">
        <v>15.3</v>
      </c>
      <c r="AM725">
        <v>15.31</v>
      </c>
      <c r="AN725">
        <v>0.518706</v>
      </c>
      <c r="AO725">
        <v>51.870631000000003</v>
      </c>
      <c r="AP725">
        <v>100</v>
      </c>
      <c r="AQ725">
        <v>0.57161200000000001</v>
      </c>
      <c r="AR725">
        <v>57.161192</v>
      </c>
      <c r="AS725">
        <v>100</v>
      </c>
      <c r="AT725">
        <v>0.52935900000000002</v>
      </c>
      <c r="AU725">
        <v>0.511382</v>
      </c>
      <c r="AV725">
        <v>52.935865</v>
      </c>
      <c r="AW725">
        <v>100</v>
      </c>
      <c r="AX725">
        <v>0.52497000000000005</v>
      </c>
      <c r="AY725">
        <v>0.60348400000000002</v>
      </c>
      <c r="AZ725">
        <v>52.496951000000003</v>
      </c>
      <c r="BA725">
        <v>100</v>
      </c>
      <c r="BB725">
        <v>0.71049200000000001</v>
      </c>
      <c r="BC725">
        <v>35.524579000000003</v>
      </c>
      <c r="BD725">
        <v>50</v>
      </c>
      <c r="BE725">
        <v>0.68545400000000001</v>
      </c>
      <c r="BF725">
        <v>34.272722999999999</v>
      </c>
      <c r="BG725">
        <v>50</v>
      </c>
      <c r="BH725">
        <v>0</v>
      </c>
      <c r="BI725">
        <v>0.96751299999999996</v>
      </c>
      <c r="BJ725">
        <v>0.97142899999999999</v>
      </c>
      <c r="BK725">
        <v>0.96460199999999996</v>
      </c>
      <c r="BL725">
        <v>0.96751299999999996</v>
      </c>
      <c r="BM725">
        <v>0.96666700000000005</v>
      </c>
      <c r="BN725">
        <v>0.96814199999999995</v>
      </c>
      <c r="BO725">
        <v>0.98546500000000004</v>
      </c>
      <c r="BP725">
        <v>0.99248099999999995</v>
      </c>
      <c r="BQ725">
        <v>0.981043</v>
      </c>
      <c r="BR725">
        <v>7.4111999999999997E-2</v>
      </c>
      <c r="BS725">
        <v>45.177664999999998</v>
      </c>
      <c r="BT725">
        <v>50</v>
      </c>
      <c r="BU725">
        <v>0.113527</v>
      </c>
      <c r="BV725">
        <v>37.294685999999999</v>
      </c>
      <c r="BW725">
        <v>50</v>
      </c>
      <c r="BX725" t="s">
        <v>125</v>
      </c>
      <c r="BY725" t="s">
        <v>125</v>
      </c>
      <c r="BZ725" t="s">
        <v>125</v>
      </c>
      <c r="CA725" t="s">
        <v>125</v>
      </c>
      <c r="CB725" t="s">
        <v>125</v>
      </c>
      <c r="CC725" t="s">
        <v>125</v>
      </c>
      <c r="CD725">
        <v>0.961538</v>
      </c>
      <c r="CE725">
        <v>50</v>
      </c>
      <c r="CF725">
        <v>50</v>
      </c>
      <c r="CG725" t="s">
        <v>125</v>
      </c>
      <c r="CH725" t="s">
        <v>125</v>
      </c>
      <c r="CI725" t="s">
        <v>125</v>
      </c>
      <c r="CJ725" t="s">
        <v>125</v>
      </c>
      <c r="CK725" t="s">
        <v>125</v>
      </c>
      <c r="CL725" t="s">
        <v>125</v>
      </c>
      <c r="CM725" t="s">
        <v>125</v>
      </c>
      <c r="CN725" t="s">
        <v>125</v>
      </c>
      <c r="CO725" t="s">
        <v>125</v>
      </c>
      <c r="CP725" t="s">
        <v>125</v>
      </c>
      <c r="CQ725">
        <v>0.42813499999999999</v>
      </c>
      <c r="CR725">
        <v>0.98345899999999997</v>
      </c>
      <c r="CS725">
        <v>28.542304000000001</v>
      </c>
      <c r="CT725">
        <v>50</v>
      </c>
      <c r="CU725" t="s">
        <v>125</v>
      </c>
      <c r="CV725" t="s">
        <v>125</v>
      </c>
      <c r="CW725" t="s">
        <v>125</v>
      </c>
      <c r="CX725" t="s">
        <v>125</v>
      </c>
      <c r="CY725" t="s">
        <v>125</v>
      </c>
      <c r="CZ725" t="s">
        <v>125</v>
      </c>
      <c r="DA725">
        <v>15.314097</v>
      </c>
      <c r="DB725">
        <v>17.400950000000002</v>
      </c>
      <c r="DC725">
        <v>16.332519999999999</v>
      </c>
      <c r="DD725" t="s">
        <v>125</v>
      </c>
      <c r="DE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Q725" t="s">
        <v>126</v>
      </c>
    </row>
    <row r="726" spans="1:121" x14ac:dyDescent="0.15">
      <c r="A726">
        <v>2018</v>
      </c>
      <c r="B726" t="s">
        <v>225</v>
      </c>
      <c r="C726" t="str">
        <f t="shared" ref="C726:C732" si="29">"0970011"</f>
        <v>0970011</v>
      </c>
      <c r="D726" t="s">
        <v>881</v>
      </c>
      <c r="E726" t="str">
        <f>"0970111"</f>
        <v>0970111</v>
      </c>
      <c r="F726" t="s">
        <v>328</v>
      </c>
      <c r="G726" t="s">
        <v>339</v>
      </c>
      <c r="H726">
        <v>4</v>
      </c>
      <c r="J726" t="s">
        <v>331</v>
      </c>
      <c r="K726">
        <v>468.70544100000001</v>
      </c>
      <c r="L726">
        <v>550</v>
      </c>
      <c r="M726">
        <v>85.219171000000003</v>
      </c>
      <c r="N726">
        <v>1</v>
      </c>
      <c r="O726">
        <v>0</v>
      </c>
      <c r="P726">
        <v>80.253611000000006</v>
      </c>
      <c r="Q726">
        <v>50</v>
      </c>
      <c r="R726">
        <v>50</v>
      </c>
      <c r="S726">
        <v>68.198498000000001</v>
      </c>
      <c r="T726">
        <v>75</v>
      </c>
      <c r="U726">
        <v>45.465665000000001</v>
      </c>
      <c r="V726">
        <v>50</v>
      </c>
      <c r="W726">
        <v>76.628404000000003</v>
      </c>
      <c r="X726">
        <v>50</v>
      </c>
      <c r="Y726">
        <v>50</v>
      </c>
      <c r="Z726">
        <v>75</v>
      </c>
      <c r="AA726">
        <v>68.229934</v>
      </c>
      <c r="AB726">
        <v>45.486623000000002</v>
      </c>
      <c r="AC726">
        <v>50</v>
      </c>
      <c r="AD726" t="s">
        <v>125</v>
      </c>
      <c r="AE726" t="s">
        <v>125</v>
      </c>
      <c r="AF726" t="s">
        <v>125</v>
      </c>
      <c r="AG726" t="s">
        <v>125</v>
      </c>
      <c r="AH726" t="s">
        <v>125</v>
      </c>
      <c r="AI726" t="s">
        <v>125</v>
      </c>
      <c r="AJ726" t="s">
        <v>125</v>
      </c>
      <c r="AK726">
        <v>6.8</v>
      </c>
      <c r="AL726">
        <v>6.77</v>
      </c>
      <c r="AM726" t="s">
        <v>125</v>
      </c>
      <c r="AN726">
        <v>0.63505599999999995</v>
      </c>
      <c r="AO726">
        <v>63.505626999999997</v>
      </c>
      <c r="AP726">
        <v>100</v>
      </c>
      <c r="AQ726">
        <v>0.77507300000000001</v>
      </c>
      <c r="AR726">
        <v>77.507288000000003</v>
      </c>
      <c r="AS726">
        <v>100</v>
      </c>
      <c r="AT726" t="s">
        <v>125</v>
      </c>
      <c r="AU726">
        <v>0.67356300000000002</v>
      </c>
      <c r="AV726" t="s">
        <v>125</v>
      </c>
      <c r="AW726" t="s">
        <v>125</v>
      </c>
      <c r="AX726" t="s">
        <v>125</v>
      </c>
      <c r="AY726">
        <v>0.768509</v>
      </c>
      <c r="AZ726" t="s">
        <v>125</v>
      </c>
      <c r="BA726" t="s">
        <v>125</v>
      </c>
      <c r="BB726" t="s">
        <v>125</v>
      </c>
      <c r="BC726" t="s">
        <v>125</v>
      </c>
      <c r="BD726" t="s">
        <v>125</v>
      </c>
      <c r="BE726" t="s">
        <v>125</v>
      </c>
      <c r="BF726" t="s">
        <v>125</v>
      </c>
      <c r="BG726" t="s">
        <v>125</v>
      </c>
      <c r="BH726">
        <v>0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 t="s">
        <v>125</v>
      </c>
      <c r="BP726" t="s">
        <v>125</v>
      </c>
      <c r="BQ726" t="s">
        <v>125</v>
      </c>
      <c r="BR726">
        <v>4.5455000000000002E-2</v>
      </c>
      <c r="BS726">
        <v>50</v>
      </c>
      <c r="BT726">
        <v>50</v>
      </c>
      <c r="BU726">
        <v>9.2105000000000006E-2</v>
      </c>
      <c r="BV726">
        <v>41.578946999999999</v>
      </c>
      <c r="BW726">
        <v>50</v>
      </c>
      <c r="BX726" t="s">
        <v>125</v>
      </c>
      <c r="BY726" t="s">
        <v>125</v>
      </c>
      <c r="BZ726" t="s">
        <v>125</v>
      </c>
      <c r="CA726" t="s">
        <v>125</v>
      </c>
      <c r="CB726" t="s">
        <v>125</v>
      </c>
      <c r="CC726" t="s">
        <v>125</v>
      </c>
      <c r="CD726" t="s">
        <v>125</v>
      </c>
      <c r="CE726" t="s">
        <v>125</v>
      </c>
      <c r="CF726" t="s">
        <v>125</v>
      </c>
      <c r="CG726" t="s">
        <v>125</v>
      </c>
      <c r="CH726" t="s">
        <v>125</v>
      </c>
      <c r="CI726" t="s">
        <v>125</v>
      </c>
      <c r="CJ726" t="s">
        <v>125</v>
      </c>
      <c r="CK726" t="s">
        <v>125</v>
      </c>
      <c r="CL726" t="s">
        <v>125</v>
      </c>
      <c r="CM726" t="s">
        <v>125</v>
      </c>
      <c r="CN726" t="s">
        <v>125</v>
      </c>
      <c r="CO726" t="s">
        <v>125</v>
      </c>
      <c r="CP726" t="s">
        <v>125</v>
      </c>
      <c r="CQ726">
        <v>0.67741899999999999</v>
      </c>
      <c r="CR726">
        <v>0.98412699999999997</v>
      </c>
      <c r="CS726">
        <v>45.161290000000001</v>
      </c>
      <c r="CT726">
        <v>50</v>
      </c>
      <c r="CU726" t="s">
        <v>125</v>
      </c>
      <c r="CV726" t="s">
        <v>125</v>
      </c>
      <c r="CW726" t="s">
        <v>125</v>
      </c>
      <c r="CX726" t="s">
        <v>125</v>
      </c>
      <c r="CY726" t="s">
        <v>125</v>
      </c>
      <c r="CZ726" t="s">
        <v>125</v>
      </c>
      <c r="DA726">
        <v>15.314097</v>
      </c>
      <c r="DB726">
        <v>17.400950000000002</v>
      </c>
      <c r="DC726">
        <v>16.332519999999999</v>
      </c>
      <c r="DD726" t="s">
        <v>125</v>
      </c>
      <c r="DE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Q726" t="s">
        <v>126</v>
      </c>
    </row>
    <row r="727" spans="1:121" x14ac:dyDescent="0.15">
      <c r="A727">
        <v>2018</v>
      </c>
      <c r="B727" t="s">
        <v>225</v>
      </c>
      <c r="C727" t="str">
        <f t="shared" si="29"/>
        <v>0970011</v>
      </c>
      <c r="D727" t="s">
        <v>882</v>
      </c>
      <c r="E727" t="str">
        <f>"0970411"</f>
        <v>0970411</v>
      </c>
      <c r="F727" t="s">
        <v>328</v>
      </c>
      <c r="G727" t="s">
        <v>339</v>
      </c>
      <c r="H727">
        <v>4</v>
      </c>
      <c r="J727" t="s">
        <v>331</v>
      </c>
      <c r="K727">
        <v>459.15189900000001</v>
      </c>
      <c r="L727">
        <v>550</v>
      </c>
      <c r="M727">
        <v>83.482163</v>
      </c>
      <c r="N727">
        <v>2</v>
      </c>
      <c r="O727">
        <v>0</v>
      </c>
      <c r="P727">
        <v>80.099616999999995</v>
      </c>
      <c r="Q727">
        <v>50</v>
      </c>
      <c r="R727">
        <v>50</v>
      </c>
      <c r="S727">
        <v>69.161045999999999</v>
      </c>
      <c r="T727">
        <v>75</v>
      </c>
      <c r="U727">
        <v>46.107363999999997</v>
      </c>
      <c r="V727">
        <v>50</v>
      </c>
      <c r="W727">
        <v>74.611716000000001</v>
      </c>
      <c r="X727">
        <v>49.741143999999998</v>
      </c>
      <c r="Y727">
        <v>50</v>
      </c>
      <c r="Z727">
        <v>75</v>
      </c>
      <c r="AA727">
        <v>65.996170000000006</v>
      </c>
      <c r="AB727">
        <v>43.997447000000001</v>
      </c>
      <c r="AC727">
        <v>50</v>
      </c>
      <c r="AD727" t="s">
        <v>125</v>
      </c>
      <c r="AE727" t="s">
        <v>125</v>
      </c>
      <c r="AF727" t="s">
        <v>125</v>
      </c>
      <c r="AG727" t="s">
        <v>125</v>
      </c>
      <c r="AH727" t="s">
        <v>125</v>
      </c>
      <c r="AI727" t="s">
        <v>125</v>
      </c>
      <c r="AJ727" t="s">
        <v>125</v>
      </c>
      <c r="AK727">
        <v>5.83</v>
      </c>
      <c r="AL727">
        <v>9</v>
      </c>
      <c r="AM727" t="s">
        <v>125</v>
      </c>
      <c r="AN727">
        <v>0.79921600000000004</v>
      </c>
      <c r="AO727">
        <v>79.921644000000001</v>
      </c>
      <c r="AP727">
        <v>100</v>
      </c>
      <c r="AQ727">
        <v>0.71775599999999995</v>
      </c>
      <c r="AR727">
        <v>71.775604999999999</v>
      </c>
      <c r="AS727">
        <v>100</v>
      </c>
      <c r="AT727" t="s">
        <v>125</v>
      </c>
      <c r="AU727">
        <v>0.82314799999999999</v>
      </c>
      <c r="AV727" t="s">
        <v>125</v>
      </c>
      <c r="AW727" t="s">
        <v>125</v>
      </c>
      <c r="AX727" t="s">
        <v>125</v>
      </c>
      <c r="AY727">
        <v>0.70500600000000002</v>
      </c>
      <c r="AZ727" t="s">
        <v>125</v>
      </c>
      <c r="BA727" t="s">
        <v>125</v>
      </c>
      <c r="BB727" t="s">
        <v>125</v>
      </c>
      <c r="BC727" t="s">
        <v>125</v>
      </c>
      <c r="BD727" t="s">
        <v>125</v>
      </c>
      <c r="BE727" t="s">
        <v>125</v>
      </c>
      <c r="BF727" t="s">
        <v>125</v>
      </c>
      <c r="BG727" t="s">
        <v>125</v>
      </c>
      <c r="BH727">
        <v>0</v>
      </c>
      <c r="BI727">
        <v>0.99137900000000001</v>
      </c>
      <c r="BJ727">
        <v>0.97058800000000001</v>
      </c>
      <c r="BK727">
        <v>1</v>
      </c>
      <c r="BL727">
        <v>0.99137900000000001</v>
      </c>
      <c r="BM727">
        <v>0.97058800000000001</v>
      </c>
      <c r="BN727">
        <v>1</v>
      </c>
      <c r="BO727" t="s">
        <v>125</v>
      </c>
      <c r="BP727" t="s">
        <v>125</v>
      </c>
      <c r="BQ727" t="s">
        <v>125</v>
      </c>
      <c r="BR727">
        <v>4.2403000000000003E-2</v>
      </c>
      <c r="BS727">
        <v>50</v>
      </c>
      <c r="BT727">
        <v>50</v>
      </c>
      <c r="BU727">
        <v>8.6957000000000007E-2</v>
      </c>
      <c r="BV727">
        <v>42.608696000000002</v>
      </c>
      <c r="BW727">
        <v>50</v>
      </c>
      <c r="BX727" t="s">
        <v>125</v>
      </c>
      <c r="BY727" t="s">
        <v>125</v>
      </c>
      <c r="BZ727" t="s">
        <v>125</v>
      </c>
      <c r="CA727" t="s">
        <v>125</v>
      </c>
      <c r="CB727" t="s">
        <v>125</v>
      </c>
      <c r="CC727" t="s">
        <v>125</v>
      </c>
      <c r="CD727" t="s">
        <v>125</v>
      </c>
      <c r="CE727" t="s">
        <v>125</v>
      </c>
      <c r="CF727" t="s">
        <v>125</v>
      </c>
      <c r="CG727" t="s">
        <v>125</v>
      </c>
      <c r="CH727" t="s">
        <v>125</v>
      </c>
      <c r="CI727" t="s">
        <v>125</v>
      </c>
      <c r="CJ727" t="s">
        <v>125</v>
      </c>
      <c r="CK727" t="s">
        <v>125</v>
      </c>
      <c r="CL727" t="s">
        <v>125</v>
      </c>
      <c r="CM727" t="s">
        <v>125</v>
      </c>
      <c r="CN727" t="s">
        <v>125</v>
      </c>
      <c r="CO727" t="s">
        <v>125</v>
      </c>
      <c r="CP727" t="s">
        <v>125</v>
      </c>
      <c r="CQ727">
        <v>0.80851099999999998</v>
      </c>
      <c r="CR727">
        <v>0.87036999999999998</v>
      </c>
      <c r="CS727">
        <v>25</v>
      </c>
      <c r="CT727">
        <v>50</v>
      </c>
      <c r="CU727" t="s">
        <v>125</v>
      </c>
      <c r="CV727" t="s">
        <v>125</v>
      </c>
      <c r="CW727" t="s">
        <v>125</v>
      </c>
      <c r="CX727" t="s">
        <v>125</v>
      </c>
      <c r="CY727" t="s">
        <v>125</v>
      </c>
      <c r="CZ727" t="s">
        <v>125</v>
      </c>
      <c r="DA727">
        <v>15.314097</v>
      </c>
      <c r="DB727">
        <v>17.400950000000002</v>
      </c>
      <c r="DC727">
        <v>16.332519999999999</v>
      </c>
      <c r="DD727" t="s">
        <v>125</v>
      </c>
      <c r="DE727">
        <v>0</v>
      </c>
      <c r="DH727" t="s">
        <v>332</v>
      </c>
      <c r="DI727" t="s">
        <v>501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0</v>
      </c>
      <c r="DQ727" t="s">
        <v>126</v>
      </c>
    </row>
    <row r="728" spans="1:121" x14ac:dyDescent="0.15">
      <c r="A728">
        <v>2018</v>
      </c>
      <c r="B728" t="s">
        <v>225</v>
      </c>
      <c r="C728" t="str">
        <f t="shared" si="29"/>
        <v>0970011</v>
      </c>
      <c r="D728" t="s">
        <v>883</v>
      </c>
      <c r="E728" t="str">
        <f>"0970311"</f>
        <v>0970311</v>
      </c>
      <c r="F728" t="s">
        <v>328</v>
      </c>
      <c r="G728" t="s">
        <v>339</v>
      </c>
      <c r="H728">
        <v>4</v>
      </c>
      <c r="I728" t="s">
        <v>330</v>
      </c>
      <c r="J728" t="s">
        <v>331</v>
      </c>
      <c r="K728">
        <v>446.28501799999998</v>
      </c>
      <c r="L728">
        <v>550</v>
      </c>
      <c r="M728">
        <v>81.142730999999998</v>
      </c>
      <c r="N728">
        <v>2</v>
      </c>
      <c r="O728">
        <v>0</v>
      </c>
      <c r="P728">
        <v>79.439824999999999</v>
      </c>
      <c r="Q728">
        <v>50</v>
      </c>
      <c r="R728">
        <v>50</v>
      </c>
      <c r="S728">
        <v>68.745171999999997</v>
      </c>
      <c r="T728">
        <v>75</v>
      </c>
      <c r="U728">
        <v>45.830114999999999</v>
      </c>
      <c r="V728">
        <v>50</v>
      </c>
      <c r="W728">
        <v>76.866461999999999</v>
      </c>
      <c r="X728">
        <v>50</v>
      </c>
      <c r="Y728">
        <v>50</v>
      </c>
      <c r="Z728">
        <v>75</v>
      </c>
      <c r="AA728">
        <v>66.902569999999997</v>
      </c>
      <c r="AB728">
        <v>44.601712999999997</v>
      </c>
      <c r="AC728">
        <v>50</v>
      </c>
      <c r="AD728" t="s">
        <v>125</v>
      </c>
      <c r="AE728" t="s">
        <v>125</v>
      </c>
      <c r="AF728" t="s">
        <v>125</v>
      </c>
      <c r="AG728" t="s">
        <v>125</v>
      </c>
      <c r="AH728" t="s">
        <v>125</v>
      </c>
      <c r="AI728" t="s">
        <v>125</v>
      </c>
      <c r="AJ728" t="s">
        <v>125</v>
      </c>
      <c r="AK728">
        <v>6.25</v>
      </c>
      <c r="AL728">
        <v>8.09</v>
      </c>
      <c r="AM728" t="s">
        <v>125</v>
      </c>
      <c r="AN728">
        <v>0.61783699999999997</v>
      </c>
      <c r="AO728">
        <v>61.783665999999997</v>
      </c>
      <c r="AP728">
        <v>100</v>
      </c>
      <c r="AQ728">
        <v>0.60314199999999996</v>
      </c>
      <c r="AR728">
        <v>60.314250000000001</v>
      </c>
      <c r="AS728">
        <v>100</v>
      </c>
      <c r="AT728" t="s">
        <v>125</v>
      </c>
      <c r="AU728">
        <v>0.61747799999999997</v>
      </c>
      <c r="AV728" t="s">
        <v>125</v>
      </c>
      <c r="AW728" t="s">
        <v>125</v>
      </c>
      <c r="AX728" t="s">
        <v>125</v>
      </c>
      <c r="AY728">
        <v>0.58649200000000001</v>
      </c>
      <c r="AZ728" t="s">
        <v>125</v>
      </c>
      <c r="BA728" t="s">
        <v>125</v>
      </c>
      <c r="BB728" t="s">
        <v>125</v>
      </c>
      <c r="BC728" t="s">
        <v>125</v>
      </c>
      <c r="BD728" t="s">
        <v>125</v>
      </c>
      <c r="BE728" t="s">
        <v>125</v>
      </c>
      <c r="BF728" t="s">
        <v>125</v>
      </c>
      <c r="BG728" t="s">
        <v>125</v>
      </c>
      <c r="BH728">
        <v>0</v>
      </c>
      <c r="BI728">
        <v>0.993506</v>
      </c>
      <c r="BJ728">
        <v>0.97499999999999998</v>
      </c>
      <c r="BK728">
        <v>1</v>
      </c>
      <c r="BL728">
        <v>0.993506</v>
      </c>
      <c r="BM728">
        <v>0.97499999999999998</v>
      </c>
      <c r="BN728">
        <v>1</v>
      </c>
      <c r="BO728" t="s">
        <v>125</v>
      </c>
      <c r="BP728" t="s">
        <v>125</v>
      </c>
      <c r="BQ728" t="s">
        <v>125</v>
      </c>
      <c r="BR728">
        <v>2.521E-2</v>
      </c>
      <c r="BS728">
        <v>50</v>
      </c>
      <c r="BT728">
        <v>50</v>
      </c>
      <c r="BU728">
        <v>4.6511999999999998E-2</v>
      </c>
      <c r="BV728">
        <v>50</v>
      </c>
      <c r="BW728">
        <v>50</v>
      </c>
      <c r="BX728" t="s">
        <v>125</v>
      </c>
      <c r="BY728" t="s">
        <v>125</v>
      </c>
      <c r="BZ728" t="s">
        <v>125</v>
      </c>
      <c r="CA728" t="s">
        <v>125</v>
      </c>
      <c r="CB728" t="s">
        <v>125</v>
      </c>
      <c r="CC728" t="s">
        <v>125</v>
      </c>
      <c r="CD728" t="s">
        <v>125</v>
      </c>
      <c r="CE728" t="s">
        <v>125</v>
      </c>
      <c r="CF728" t="s">
        <v>125</v>
      </c>
      <c r="CG728" t="s">
        <v>125</v>
      </c>
      <c r="CH728" t="s">
        <v>125</v>
      </c>
      <c r="CI728" t="s">
        <v>125</v>
      </c>
      <c r="CJ728" t="s">
        <v>125</v>
      </c>
      <c r="CK728" t="s">
        <v>125</v>
      </c>
      <c r="CL728" t="s">
        <v>125</v>
      </c>
      <c r="CM728" t="s">
        <v>125</v>
      </c>
      <c r="CN728" t="s">
        <v>125</v>
      </c>
      <c r="CO728" t="s">
        <v>125</v>
      </c>
      <c r="CP728" t="s">
        <v>125</v>
      </c>
      <c r="CQ728">
        <v>0.50632900000000003</v>
      </c>
      <c r="CR728">
        <v>0.94047599999999998</v>
      </c>
      <c r="CS728">
        <v>33.755274</v>
      </c>
      <c r="CT728">
        <v>50</v>
      </c>
      <c r="CU728" t="s">
        <v>125</v>
      </c>
      <c r="CV728" t="s">
        <v>125</v>
      </c>
      <c r="CW728" t="s">
        <v>125</v>
      </c>
      <c r="CX728" t="s">
        <v>125</v>
      </c>
      <c r="CY728" t="s">
        <v>125</v>
      </c>
      <c r="CZ728" t="s">
        <v>125</v>
      </c>
      <c r="DA728">
        <v>15.314097</v>
      </c>
      <c r="DB728">
        <v>17.400950000000002</v>
      </c>
      <c r="DC728">
        <v>16.332519999999999</v>
      </c>
      <c r="DD728" t="s">
        <v>125</v>
      </c>
      <c r="DE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Q728" t="s">
        <v>126</v>
      </c>
    </row>
    <row r="729" spans="1:121" x14ac:dyDescent="0.15">
      <c r="A729">
        <v>2018</v>
      </c>
      <c r="B729" t="s">
        <v>225</v>
      </c>
      <c r="C729" t="str">
        <f t="shared" si="29"/>
        <v>0970011</v>
      </c>
      <c r="D729" t="s">
        <v>884</v>
      </c>
      <c r="E729" t="str">
        <f>"0976111"</f>
        <v>0976111</v>
      </c>
      <c r="F729" t="s">
        <v>328</v>
      </c>
      <c r="G729">
        <v>9</v>
      </c>
      <c r="H729">
        <v>12</v>
      </c>
      <c r="J729" t="s">
        <v>331</v>
      </c>
      <c r="K729">
        <v>1247.2790809999999</v>
      </c>
      <c r="L729">
        <v>1450</v>
      </c>
      <c r="M729">
        <v>86.019246999999993</v>
      </c>
      <c r="N729">
        <v>2</v>
      </c>
      <c r="O729">
        <v>1</v>
      </c>
      <c r="P729">
        <v>67.923867999999999</v>
      </c>
      <c r="Q729">
        <v>135.847737</v>
      </c>
      <c r="R729">
        <v>150</v>
      </c>
      <c r="S729">
        <v>53.335897000000003</v>
      </c>
      <c r="T729">
        <v>70.712744999999998</v>
      </c>
      <c r="U729">
        <v>106.671795</v>
      </c>
      <c r="V729">
        <v>150</v>
      </c>
      <c r="W729">
        <v>68.952949000000004</v>
      </c>
      <c r="X729">
        <v>137.90589800000001</v>
      </c>
      <c r="Y729">
        <v>150</v>
      </c>
      <c r="Z729">
        <v>71.958332999999996</v>
      </c>
      <c r="AA729">
        <v>53.232478999999998</v>
      </c>
      <c r="AB729">
        <v>106.464957</v>
      </c>
      <c r="AC729">
        <v>150</v>
      </c>
      <c r="AD729">
        <v>64.474382000000006</v>
      </c>
      <c r="AE729">
        <v>85.965843000000007</v>
      </c>
      <c r="AF729">
        <v>100</v>
      </c>
      <c r="AG729">
        <v>54.862074</v>
      </c>
      <c r="AH729">
        <v>66.350657999999996</v>
      </c>
      <c r="AI729">
        <v>73.149432000000004</v>
      </c>
      <c r="AJ729">
        <v>100</v>
      </c>
      <c r="AK729">
        <v>17.37</v>
      </c>
      <c r="AL729">
        <v>18.72</v>
      </c>
      <c r="AM729">
        <v>11.48</v>
      </c>
      <c r="AN729" t="s">
        <v>125</v>
      </c>
      <c r="AO729" t="s">
        <v>125</v>
      </c>
      <c r="AP729" t="s">
        <v>125</v>
      </c>
      <c r="AQ729" t="s">
        <v>125</v>
      </c>
      <c r="AR729" t="s">
        <v>125</v>
      </c>
      <c r="AS729" t="s">
        <v>125</v>
      </c>
      <c r="AT729" t="s">
        <v>125</v>
      </c>
      <c r="AU729" t="s">
        <v>125</v>
      </c>
      <c r="AV729" t="s">
        <v>125</v>
      </c>
      <c r="AW729" t="s">
        <v>125</v>
      </c>
      <c r="AX729" t="s">
        <v>125</v>
      </c>
      <c r="AY729" t="s">
        <v>125</v>
      </c>
      <c r="AZ729" t="s">
        <v>125</v>
      </c>
      <c r="BA729" t="s">
        <v>125</v>
      </c>
      <c r="BB729" t="s">
        <v>125</v>
      </c>
      <c r="BC729" t="s">
        <v>125</v>
      </c>
      <c r="BD729" t="s">
        <v>125</v>
      </c>
      <c r="BE729" t="s">
        <v>125</v>
      </c>
      <c r="BF729" t="s">
        <v>125</v>
      </c>
      <c r="BG729" t="s">
        <v>125</v>
      </c>
      <c r="BH729">
        <v>1</v>
      </c>
      <c r="BI729">
        <v>0.96453900000000004</v>
      </c>
      <c r="BJ729">
        <v>0.93055600000000005</v>
      </c>
      <c r="BK729">
        <v>0.97150999999999998</v>
      </c>
      <c r="BL729">
        <v>0.96453900000000004</v>
      </c>
      <c r="BM729">
        <v>0.93055600000000005</v>
      </c>
      <c r="BN729">
        <v>0.97150999999999998</v>
      </c>
      <c r="BO729">
        <v>0.95260699999999998</v>
      </c>
      <c r="BP729">
        <v>0.94444399999999995</v>
      </c>
      <c r="BQ729">
        <v>0.95428599999999997</v>
      </c>
      <c r="BR729">
        <v>5.1315E-2</v>
      </c>
      <c r="BS729">
        <v>49.737011000000003</v>
      </c>
      <c r="BT729">
        <v>50</v>
      </c>
      <c r="BU729">
        <v>0.11262800000000001</v>
      </c>
      <c r="BV729">
        <v>37.474403000000002</v>
      </c>
      <c r="BW729">
        <v>50</v>
      </c>
      <c r="BX729">
        <v>0.96305399999999997</v>
      </c>
      <c r="BY729">
        <v>50</v>
      </c>
      <c r="BZ729">
        <v>50</v>
      </c>
      <c r="CA729">
        <v>0.697044</v>
      </c>
      <c r="CB729">
        <v>46.469622000000001</v>
      </c>
      <c r="CC729">
        <v>50</v>
      </c>
      <c r="CD729">
        <v>0.95890399999999998</v>
      </c>
      <c r="CE729">
        <v>50</v>
      </c>
      <c r="CF729">
        <v>50</v>
      </c>
      <c r="CG729">
        <v>0.97836500000000004</v>
      </c>
      <c r="CH729">
        <v>100</v>
      </c>
      <c r="CI729">
        <v>100</v>
      </c>
      <c r="CJ729">
        <v>0</v>
      </c>
      <c r="CK729">
        <v>0.93333299999999997</v>
      </c>
      <c r="CL729">
        <v>99.290779999999998</v>
      </c>
      <c r="CM729">
        <v>100</v>
      </c>
      <c r="CN729">
        <v>0.86682800000000004</v>
      </c>
      <c r="CO729">
        <v>100</v>
      </c>
      <c r="CP729">
        <v>100</v>
      </c>
      <c r="CQ729">
        <v>0.62041900000000005</v>
      </c>
      <c r="CR729">
        <v>1</v>
      </c>
      <c r="CS729">
        <v>41.361257000000002</v>
      </c>
      <c r="CT729">
        <v>50</v>
      </c>
      <c r="CU729">
        <v>0.32328400000000002</v>
      </c>
      <c r="CV729">
        <v>26.940346000000002</v>
      </c>
      <c r="CW729">
        <v>50</v>
      </c>
      <c r="CX729">
        <v>0.93333299999999997</v>
      </c>
      <c r="CY729">
        <v>0.94</v>
      </c>
      <c r="CZ729">
        <v>6.6670000000000002E-3</v>
      </c>
      <c r="DA729">
        <v>15.314097</v>
      </c>
      <c r="DB729">
        <v>17.400950000000002</v>
      </c>
      <c r="DC729">
        <v>16.332519999999999</v>
      </c>
      <c r="DD729">
        <v>7.9891730000000001</v>
      </c>
      <c r="DE729">
        <v>1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Q729" t="s">
        <v>126</v>
      </c>
    </row>
    <row r="730" spans="1:121" x14ac:dyDescent="0.15">
      <c r="A730">
        <v>2018</v>
      </c>
      <c r="B730" t="s">
        <v>225</v>
      </c>
      <c r="C730" t="str">
        <f t="shared" si="29"/>
        <v>0970011</v>
      </c>
      <c r="D730" t="s">
        <v>885</v>
      </c>
      <c r="E730" t="str">
        <f>"0975111"</f>
        <v>0975111</v>
      </c>
      <c r="F730" t="s">
        <v>328</v>
      </c>
      <c r="G730">
        <v>7</v>
      </c>
      <c r="H730">
        <v>8</v>
      </c>
      <c r="J730" t="s">
        <v>331</v>
      </c>
      <c r="K730">
        <v>682.69909099999995</v>
      </c>
      <c r="L730">
        <v>900</v>
      </c>
      <c r="M730">
        <v>75.855455000000006</v>
      </c>
      <c r="N730">
        <v>3</v>
      </c>
      <c r="O730">
        <v>1</v>
      </c>
      <c r="P730">
        <v>78.003881000000007</v>
      </c>
      <c r="Q730">
        <v>50</v>
      </c>
      <c r="R730">
        <v>50</v>
      </c>
      <c r="S730">
        <v>62.035424999999996</v>
      </c>
      <c r="T730">
        <v>75</v>
      </c>
      <c r="U730">
        <v>41.356949999999998</v>
      </c>
      <c r="V730">
        <v>50</v>
      </c>
      <c r="W730">
        <v>75.638199</v>
      </c>
      <c r="X730">
        <v>50</v>
      </c>
      <c r="Y730">
        <v>50</v>
      </c>
      <c r="Z730">
        <v>75</v>
      </c>
      <c r="AA730">
        <v>56.195051999999997</v>
      </c>
      <c r="AB730">
        <v>37.463368000000003</v>
      </c>
      <c r="AC730">
        <v>50</v>
      </c>
      <c r="AD730">
        <v>73.179803000000007</v>
      </c>
      <c r="AE730">
        <v>48.786535000000001</v>
      </c>
      <c r="AF730">
        <v>50</v>
      </c>
      <c r="AG730">
        <v>57.870457000000002</v>
      </c>
      <c r="AH730">
        <v>75</v>
      </c>
      <c r="AI730">
        <v>38.580303999999998</v>
      </c>
      <c r="AJ730">
        <v>50</v>
      </c>
      <c r="AK730">
        <v>12.96</v>
      </c>
      <c r="AL730">
        <v>18.8</v>
      </c>
      <c r="AM730">
        <v>17.12</v>
      </c>
      <c r="AN730">
        <v>0.65165399999999996</v>
      </c>
      <c r="AO730">
        <v>65.165407000000002</v>
      </c>
      <c r="AP730">
        <v>100</v>
      </c>
      <c r="AQ730">
        <v>0.69154199999999999</v>
      </c>
      <c r="AR730">
        <v>69.154155000000003</v>
      </c>
      <c r="AS730">
        <v>100</v>
      </c>
      <c r="AT730">
        <v>0.54769800000000002</v>
      </c>
      <c r="AU730">
        <v>0.679118</v>
      </c>
      <c r="AV730">
        <v>54.769758000000003</v>
      </c>
      <c r="AW730">
        <v>100</v>
      </c>
      <c r="AX730">
        <v>0.51961900000000005</v>
      </c>
      <c r="AY730">
        <v>0.736537</v>
      </c>
      <c r="AZ730">
        <v>51.961872999999997</v>
      </c>
      <c r="BA730">
        <v>100</v>
      </c>
      <c r="BB730" t="s">
        <v>125</v>
      </c>
      <c r="BC730" t="s">
        <v>125</v>
      </c>
      <c r="BD730" t="s">
        <v>125</v>
      </c>
      <c r="BE730" t="s">
        <v>125</v>
      </c>
      <c r="BF730" t="s">
        <v>125</v>
      </c>
      <c r="BG730" t="s">
        <v>125</v>
      </c>
      <c r="BH730">
        <v>1</v>
      </c>
      <c r="BI730">
        <v>0.98973599999999995</v>
      </c>
      <c r="BJ730">
        <v>0.96688700000000005</v>
      </c>
      <c r="BK730">
        <v>0.99623399999999995</v>
      </c>
      <c r="BL730">
        <v>0.98973599999999995</v>
      </c>
      <c r="BM730">
        <v>0.96688700000000005</v>
      </c>
      <c r="BN730">
        <v>0.99623399999999995</v>
      </c>
      <c r="BO730">
        <v>0.98250700000000002</v>
      </c>
      <c r="BP730">
        <v>0.93670900000000001</v>
      </c>
      <c r="BQ730">
        <v>0.99621199999999999</v>
      </c>
      <c r="BR730">
        <v>4.9779999999999998E-2</v>
      </c>
      <c r="BS730">
        <v>50</v>
      </c>
      <c r="BT730">
        <v>50</v>
      </c>
      <c r="BU730">
        <v>0.112583</v>
      </c>
      <c r="BV730">
        <v>37.483443999999999</v>
      </c>
      <c r="BW730">
        <v>50</v>
      </c>
      <c r="BX730" t="s">
        <v>125</v>
      </c>
      <c r="BY730" t="s">
        <v>125</v>
      </c>
      <c r="BZ730" t="s">
        <v>125</v>
      </c>
      <c r="CA730" t="s">
        <v>125</v>
      </c>
      <c r="CB730" t="s">
        <v>125</v>
      </c>
      <c r="CC730" t="s">
        <v>125</v>
      </c>
      <c r="CD730">
        <v>0.97681200000000001</v>
      </c>
      <c r="CE730">
        <v>50</v>
      </c>
      <c r="CF730">
        <v>50</v>
      </c>
      <c r="CG730" t="s">
        <v>125</v>
      </c>
      <c r="CH730" t="s">
        <v>125</v>
      </c>
      <c r="CI730" t="s">
        <v>125</v>
      </c>
      <c r="CJ730" t="s">
        <v>125</v>
      </c>
      <c r="CK730" t="s">
        <v>125</v>
      </c>
      <c r="CL730" t="s">
        <v>125</v>
      </c>
      <c r="CM730" t="s">
        <v>125</v>
      </c>
      <c r="CN730" t="s">
        <v>125</v>
      </c>
      <c r="CO730" t="s">
        <v>125</v>
      </c>
      <c r="CP730" t="s">
        <v>125</v>
      </c>
      <c r="CQ730">
        <v>0.56965900000000003</v>
      </c>
      <c r="CR730">
        <v>0.94169099999999994</v>
      </c>
      <c r="CS730">
        <v>37.977296000000003</v>
      </c>
      <c r="CT730">
        <v>50</v>
      </c>
      <c r="CU730" t="s">
        <v>125</v>
      </c>
      <c r="CV730" t="s">
        <v>125</v>
      </c>
      <c r="CW730" t="s">
        <v>125</v>
      </c>
      <c r="CX730" t="s">
        <v>125</v>
      </c>
      <c r="CY730" t="s">
        <v>125</v>
      </c>
      <c r="CZ730" t="s">
        <v>125</v>
      </c>
      <c r="DA730">
        <v>15.314097</v>
      </c>
      <c r="DB730">
        <v>17.400950000000002</v>
      </c>
      <c r="DC730">
        <v>16.332519999999999</v>
      </c>
      <c r="DD730" t="s">
        <v>125</v>
      </c>
      <c r="DE730">
        <v>1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Q730" t="s">
        <v>126</v>
      </c>
    </row>
    <row r="731" spans="1:121" x14ac:dyDescent="0.15">
      <c r="A731">
        <v>2018</v>
      </c>
      <c r="B731" t="s">
        <v>225</v>
      </c>
      <c r="C731" t="str">
        <f t="shared" si="29"/>
        <v>0970011</v>
      </c>
      <c r="D731" t="s">
        <v>886</v>
      </c>
      <c r="E731" t="str">
        <f>"0970511"</f>
        <v>0970511</v>
      </c>
      <c r="F731" t="s">
        <v>328</v>
      </c>
      <c r="G731">
        <v>5</v>
      </c>
      <c r="H731">
        <v>6</v>
      </c>
      <c r="J731" t="s">
        <v>331</v>
      </c>
      <c r="K731">
        <v>668.15441999999996</v>
      </c>
      <c r="L731">
        <v>850</v>
      </c>
      <c r="M731">
        <v>78.606402000000003</v>
      </c>
      <c r="N731">
        <v>3</v>
      </c>
      <c r="O731">
        <v>1</v>
      </c>
      <c r="P731">
        <v>76.880791000000002</v>
      </c>
      <c r="Q731">
        <v>50</v>
      </c>
      <c r="R731">
        <v>50</v>
      </c>
      <c r="S731">
        <v>62.426065999999999</v>
      </c>
      <c r="T731">
        <v>75</v>
      </c>
      <c r="U731">
        <v>41.617378000000002</v>
      </c>
      <c r="V731">
        <v>50</v>
      </c>
      <c r="W731">
        <v>73.157480000000007</v>
      </c>
      <c r="X731">
        <v>48.771653999999998</v>
      </c>
      <c r="Y731">
        <v>50</v>
      </c>
      <c r="Z731">
        <v>75</v>
      </c>
      <c r="AA731">
        <v>56.540759999999999</v>
      </c>
      <c r="AB731">
        <v>37.693840000000002</v>
      </c>
      <c r="AC731">
        <v>50</v>
      </c>
      <c r="AD731">
        <v>74.126458</v>
      </c>
      <c r="AE731">
        <v>49.417639000000001</v>
      </c>
      <c r="AF731">
        <v>50</v>
      </c>
      <c r="AG731">
        <v>60.135361000000003</v>
      </c>
      <c r="AH731">
        <v>75</v>
      </c>
      <c r="AI731">
        <v>40.090240999999999</v>
      </c>
      <c r="AJ731">
        <v>50</v>
      </c>
      <c r="AK731">
        <v>12.57</v>
      </c>
      <c r="AL731">
        <v>18.45</v>
      </c>
      <c r="AM731">
        <v>14.86</v>
      </c>
      <c r="AN731">
        <v>0.65964900000000004</v>
      </c>
      <c r="AO731">
        <v>65.964878999999996</v>
      </c>
      <c r="AP731">
        <v>100</v>
      </c>
      <c r="AQ731">
        <v>0.70544399999999996</v>
      </c>
      <c r="AR731">
        <v>70.544379000000006</v>
      </c>
      <c r="AS731">
        <v>100</v>
      </c>
      <c r="AT731">
        <v>0.59492999999999996</v>
      </c>
      <c r="AU731">
        <v>0.68102799999999997</v>
      </c>
      <c r="AV731">
        <v>59.493029999999997</v>
      </c>
      <c r="AW731">
        <v>100</v>
      </c>
      <c r="AX731">
        <v>0.55882100000000001</v>
      </c>
      <c r="AY731">
        <v>0.75354900000000002</v>
      </c>
      <c r="AZ731">
        <v>55.882136000000003</v>
      </c>
      <c r="BA731">
        <v>100</v>
      </c>
      <c r="BB731" t="s">
        <v>125</v>
      </c>
      <c r="BC731" t="s">
        <v>125</v>
      </c>
      <c r="BD731" t="s">
        <v>125</v>
      </c>
      <c r="BE731" t="s">
        <v>125</v>
      </c>
      <c r="BF731" t="s">
        <v>125</v>
      </c>
      <c r="BG731" t="s">
        <v>125</v>
      </c>
      <c r="BH731">
        <v>0</v>
      </c>
      <c r="BI731">
        <v>0.99680999999999997</v>
      </c>
      <c r="BJ731">
        <v>1</v>
      </c>
      <c r="BK731">
        <v>0.99568000000000001</v>
      </c>
      <c r="BL731">
        <v>0.99680999999999997</v>
      </c>
      <c r="BM731">
        <v>1</v>
      </c>
      <c r="BN731">
        <v>0.99568000000000001</v>
      </c>
      <c r="BO731">
        <v>1</v>
      </c>
      <c r="BP731">
        <v>1</v>
      </c>
      <c r="BQ731">
        <v>1</v>
      </c>
      <c r="BR731">
        <v>2.24E-2</v>
      </c>
      <c r="BS731">
        <v>50</v>
      </c>
      <c r="BT731">
        <v>50</v>
      </c>
      <c r="BU731">
        <v>5.6604000000000002E-2</v>
      </c>
      <c r="BV731">
        <v>48.679245000000002</v>
      </c>
      <c r="BW731">
        <v>50</v>
      </c>
      <c r="BX731" t="s">
        <v>125</v>
      </c>
      <c r="BY731" t="s">
        <v>125</v>
      </c>
      <c r="BZ731" t="s">
        <v>125</v>
      </c>
      <c r="CA731" t="s">
        <v>125</v>
      </c>
      <c r="CB731" t="s">
        <v>125</v>
      </c>
      <c r="CC731" t="s">
        <v>125</v>
      </c>
      <c r="CD731" t="s">
        <v>125</v>
      </c>
      <c r="CE731" t="s">
        <v>125</v>
      </c>
      <c r="CF731" t="s">
        <v>125</v>
      </c>
      <c r="CG731" t="s">
        <v>125</v>
      </c>
      <c r="CH731" t="s">
        <v>125</v>
      </c>
      <c r="CI731" t="s">
        <v>125</v>
      </c>
      <c r="CJ731" t="s">
        <v>125</v>
      </c>
      <c r="CK731" t="s">
        <v>125</v>
      </c>
      <c r="CL731" t="s">
        <v>125</v>
      </c>
      <c r="CM731" t="s">
        <v>125</v>
      </c>
      <c r="CN731" t="s">
        <v>125</v>
      </c>
      <c r="CO731" t="s">
        <v>125</v>
      </c>
      <c r="CP731" t="s">
        <v>125</v>
      </c>
      <c r="CQ731">
        <v>0.836364</v>
      </c>
      <c r="CR731">
        <v>0.96491199999999999</v>
      </c>
      <c r="CS731">
        <v>50</v>
      </c>
      <c r="CT731">
        <v>50</v>
      </c>
      <c r="CU731" t="s">
        <v>125</v>
      </c>
      <c r="CV731" t="s">
        <v>125</v>
      </c>
      <c r="CW731" t="s">
        <v>125</v>
      </c>
      <c r="CX731" t="s">
        <v>125</v>
      </c>
      <c r="CY731" t="s">
        <v>125</v>
      </c>
      <c r="CZ731" t="s">
        <v>125</v>
      </c>
      <c r="DA731">
        <v>15.314097</v>
      </c>
      <c r="DB731">
        <v>17.400950000000002</v>
      </c>
      <c r="DC731">
        <v>16.332519999999999</v>
      </c>
      <c r="DD731" t="s">
        <v>125</v>
      </c>
      <c r="DE731">
        <v>1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Q731" t="s">
        <v>126</v>
      </c>
    </row>
    <row r="732" spans="1:121" x14ac:dyDescent="0.15">
      <c r="A732">
        <v>2018</v>
      </c>
      <c r="B732" t="s">
        <v>225</v>
      </c>
      <c r="C732" t="str">
        <f t="shared" si="29"/>
        <v>0970011</v>
      </c>
      <c r="D732" t="s">
        <v>887</v>
      </c>
      <c r="E732" t="str">
        <f>"0970211"</f>
        <v>0970211</v>
      </c>
      <c r="F732" t="s">
        <v>328</v>
      </c>
      <c r="G732" t="s">
        <v>339</v>
      </c>
      <c r="H732">
        <v>4</v>
      </c>
      <c r="J732" t="s">
        <v>331</v>
      </c>
      <c r="K732">
        <v>453.45594999999997</v>
      </c>
      <c r="L732">
        <v>550</v>
      </c>
      <c r="M732">
        <v>82.446535999999995</v>
      </c>
      <c r="N732">
        <v>2</v>
      </c>
      <c r="O732">
        <v>0</v>
      </c>
      <c r="P732">
        <v>79.350250000000003</v>
      </c>
      <c r="Q732">
        <v>50</v>
      </c>
      <c r="R732">
        <v>50</v>
      </c>
      <c r="S732">
        <v>65.213222000000002</v>
      </c>
      <c r="T732">
        <v>75</v>
      </c>
      <c r="U732">
        <v>43.475481000000002</v>
      </c>
      <c r="V732">
        <v>50</v>
      </c>
      <c r="W732">
        <v>78.092834999999994</v>
      </c>
      <c r="X732">
        <v>50</v>
      </c>
      <c r="Y732">
        <v>50</v>
      </c>
      <c r="Z732">
        <v>75</v>
      </c>
      <c r="AA732">
        <v>62.591501000000001</v>
      </c>
      <c r="AB732">
        <v>41.727666999999997</v>
      </c>
      <c r="AC732">
        <v>50</v>
      </c>
      <c r="AD732" t="s">
        <v>125</v>
      </c>
      <c r="AE732" t="s">
        <v>125</v>
      </c>
      <c r="AF732" t="s">
        <v>125</v>
      </c>
      <c r="AG732" t="s">
        <v>125</v>
      </c>
      <c r="AH732" t="s">
        <v>125</v>
      </c>
      <c r="AI732" t="s">
        <v>125</v>
      </c>
      <c r="AJ732" t="s">
        <v>125</v>
      </c>
      <c r="AK732">
        <v>9.7799999999999994</v>
      </c>
      <c r="AL732">
        <v>12.4</v>
      </c>
      <c r="AM732" t="s">
        <v>125</v>
      </c>
      <c r="AN732">
        <v>0.59990699999999997</v>
      </c>
      <c r="AO732">
        <v>59.990701999999999</v>
      </c>
      <c r="AP732">
        <v>100</v>
      </c>
      <c r="AQ732">
        <v>0.71617399999999998</v>
      </c>
      <c r="AR732">
        <v>71.617362</v>
      </c>
      <c r="AS732">
        <v>100</v>
      </c>
      <c r="AT732" t="s">
        <v>125</v>
      </c>
      <c r="AU732">
        <v>0.57468600000000003</v>
      </c>
      <c r="AV732" t="s">
        <v>125</v>
      </c>
      <c r="AW732" t="s">
        <v>125</v>
      </c>
      <c r="AX732" t="s">
        <v>125</v>
      </c>
      <c r="AY732">
        <v>0.76349400000000001</v>
      </c>
      <c r="AZ732" t="s">
        <v>125</v>
      </c>
      <c r="BA732" t="s">
        <v>125</v>
      </c>
      <c r="BB732" t="s">
        <v>125</v>
      </c>
      <c r="BC732" t="s">
        <v>125</v>
      </c>
      <c r="BD732" t="s">
        <v>125</v>
      </c>
      <c r="BE732" t="s">
        <v>125</v>
      </c>
      <c r="BF732" t="s">
        <v>125</v>
      </c>
      <c r="BG732" t="s">
        <v>125</v>
      </c>
      <c r="BH732">
        <v>0</v>
      </c>
      <c r="BI732">
        <v>0.99363100000000004</v>
      </c>
      <c r="BJ732">
        <v>0.96969700000000003</v>
      </c>
      <c r="BK732">
        <v>1</v>
      </c>
      <c r="BL732">
        <v>0.99363100000000004</v>
      </c>
      <c r="BM732">
        <v>0.96969700000000003</v>
      </c>
      <c r="BN732">
        <v>1</v>
      </c>
      <c r="BO732" t="s">
        <v>125</v>
      </c>
      <c r="BP732" t="s">
        <v>125</v>
      </c>
      <c r="BQ732" t="s">
        <v>125</v>
      </c>
      <c r="BR732">
        <v>3.7533999999999998E-2</v>
      </c>
      <c r="BS732">
        <v>50</v>
      </c>
      <c r="BT732">
        <v>50</v>
      </c>
      <c r="BU732">
        <v>7.2916999999999996E-2</v>
      </c>
      <c r="BV732">
        <v>45.416666999999997</v>
      </c>
      <c r="BW732">
        <v>50</v>
      </c>
      <c r="BX732" t="s">
        <v>125</v>
      </c>
      <c r="BY732" t="s">
        <v>125</v>
      </c>
      <c r="BZ732" t="s">
        <v>125</v>
      </c>
      <c r="CA732" t="s">
        <v>125</v>
      </c>
      <c r="CB732" t="s">
        <v>125</v>
      </c>
      <c r="CC732" t="s">
        <v>125</v>
      </c>
      <c r="CD732" t="s">
        <v>125</v>
      </c>
      <c r="CE732" t="s">
        <v>125</v>
      </c>
      <c r="CF732" t="s">
        <v>125</v>
      </c>
      <c r="CG732" t="s">
        <v>125</v>
      </c>
      <c r="CH732" t="s">
        <v>125</v>
      </c>
      <c r="CI732" t="s">
        <v>125</v>
      </c>
      <c r="CJ732" t="s">
        <v>125</v>
      </c>
      <c r="CK732" t="s">
        <v>125</v>
      </c>
      <c r="CL732" t="s">
        <v>125</v>
      </c>
      <c r="CM732" t="s">
        <v>125</v>
      </c>
      <c r="CN732" t="s">
        <v>125</v>
      </c>
      <c r="CO732" t="s">
        <v>125</v>
      </c>
      <c r="CP732" t="s">
        <v>125</v>
      </c>
      <c r="CQ732">
        <v>0.618421</v>
      </c>
      <c r="CR732">
        <v>0.98701300000000003</v>
      </c>
      <c r="CS732">
        <v>41.228070000000002</v>
      </c>
      <c r="CT732">
        <v>50</v>
      </c>
      <c r="CU732" t="s">
        <v>125</v>
      </c>
      <c r="CV732" t="s">
        <v>125</v>
      </c>
      <c r="CW732" t="s">
        <v>125</v>
      </c>
      <c r="CX732" t="s">
        <v>125</v>
      </c>
      <c r="CY732" t="s">
        <v>125</v>
      </c>
      <c r="CZ732" t="s">
        <v>125</v>
      </c>
      <c r="DA732">
        <v>15.314097</v>
      </c>
      <c r="DB732">
        <v>17.400950000000002</v>
      </c>
      <c r="DC732">
        <v>16.332519999999999</v>
      </c>
      <c r="DD732" t="s">
        <v>125</v>
      </c>
      <c r="DE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Q732" t="s">
        <v>126</v>
      </c>
    </row>
    <row r="733" spans="1:121" x14ac:dyDescent="0.15">
      <c r="A733">
        <v>2018</v>
      </c>
      <c r="B733" t="s">
        <v>173</v>
      </c>
      <c r="C733" t="str">
        <f>"0980011"</f>
        <v>0980011</v>
      </c>
      <c r="D733" t="s">
        <v>888</v>
      </c>
      <c r="E733" t="str">
        <f>"0980111"</f>
        <v>0980111</v>
      </c>
      <c r="F733" t="s">
        <v>328</v>
      </c>
      <c r="G733" t="s">
        <v>329</v>
      </c>
      <c r="H733">
        <v>6</v>
      </c>
      <c r="I733" t="s">
        <v>330</v>
      </c>
      <c r="J733" t="s">
        <v>331</v>
      </c>
      <c r="K733">
        <v>380.31780800000001</v>
      </c>
      <c r="L733">
        <v>550</v>
      </c>
      <c r="M733">
        <v>69.148691999999997</v>
      </c>
      <c r="N733">
        <v>3</v>
      </c>
      <c r="O733">
        <v>0</v>
      </c>
      <c r="P733">
        <v>73.554938000000007</v>
      </c>
      <c r="Q733">
        <v>49.036625000000001</v>
      </c>
      <c r="R733">
        <v>50</v>
      </c>
      <c r="S733">
        <v>65.635523000000006</v>
      </c>
      <c r="T733">
        <v>75</v>
      </c>
      <c r="U733">
        <v>43.757015000000003</v>
      </c>
      <c r="V733">
        <v>50</v>
      </c>
      <c r="W733">
        <v>68.644097000000002</v>
      </c>
      <c r="X733">
        <v>45.762731000000002</v>
      </c>
      <c r="Y733">
        <v>50</v>
      </c>
      <c r="Z733">
        <v>73.991933000000003</v>
      </c>
      <c r="AA733">
        <v>62.182130000000001</v>
      </c>
      <c r="AB733">
        <v>41.454752999999997</v>
      </c>
      <c r="AC733">
        <v>50</v>
      </c>
      <c r="AD733" t="s">
        <v>125</v>
      </c>
      <c r="AE733" t="s">
        <v>125</v>
      </c>
      <c r="AF733" t="s">
        <v>125</v>
      </c>
      <c r="AG733" t="s">
        <v>125</v>
      </c>
      <c r="AH733" t="s">
        <v>125</v>
      </c>
      <c r="AI733" t="s">
        <v>125</v>
      </c>
      <c r="AJ733" t="s">
        <v>125</v>
      </c>
      <c r="AK733">
        <v>9.36</v>
      </c>
      <c r="AL733">
        <v>11.8</v>
      </c>
      <c r="AM733" t="s">
        <v>125</v>
      </c>
      <c r="AN733">
        <v>0.47083799999999998</v>
      </c>
      <c r="AO733">
        <v>47.083767999999999</v>
      </c>
      <c r="AP733">
        <v>100</v>
      </c>
      <c r="AQ733">
        <v>0.42603799999999997</v>
      </c>
      <c r="AR733">
        <v>42.603777999999998</v>
      </c>
      <c r="AS733">
        <v>100</v>
      </c>
      <c r="AT733" t="s">
        <v>125</v>
      </c>
      <c r="AU733" t="s">
        <v>125</v>
      </c>
      <c r="AV733" t="s">
        <v>125</v>
      </c>
      <c r="AW733" t="s">
        <v>125</v>
      </c>
      <c r="AX733" t="s">
        <v>125</v>
      </c>
      <c r="AY733" t="s">
        <v>125</v>
      </c>
      <c r="AZ733" t="s">
        <v>125</v>
      </c>
      <c r="BA733" t="s">
        <v>125</v>
      </c>
      <c r="BB733" t="s">
        <v>125</v>
      </c>
      <c r="BC733" t="s">
        <v>125</v>
      </c>
      <c r="BD733" t="s">
        <v>125</v>
      </c>
      <c r="BE733" t="s">
        <v>125</v>
      </c>
      <c r="BF733" t="s">
        <v>125</v>
      </c>
      <c r="BG733" t="s">
        <v>125</v>
      </c>
      <c r="BH733">
        <v>0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 t="s">
        <v>125</v>
      </c>
      <c r="BP733" t="s">
        <v>125</v>
      </c>
      <c r="BQ733" t="s">
        <v>125</v>
      </c>
      <c r="BR733">
        <v>8.5365999999999997E-2</v>
      </c>
      <c r="BS733">
        <v>42.926828999999998</v>
      </c>
      <c r="BT733">
        <v>50</v>
      </c>
      <c r="BU733">
        <v>0.12820500000000001</v>
      </c>
      <c r="BV733">
        <v>34.358974000000003</v>
      </c>
      <c r="BW733">
        <v>50</v>
      </c>
      <c r="BX733" t="s">
        <v>125</v>
      </c>
      <c r="BY733" t="s">
        <v>125</v>
      </c>
      <c r="BZ733" t="s">
        <v>125</v>
      </c>
      <c r="CA733" t="s">
        <v>125</v>
      </c>
      <c r="CB733" t="s">
        <v>125</v>
      </c>
      <c r="CC733" t="s">
        <v>125</v>
      </c>
      <c r="CD733" t="s">
        <v>125</v>
      </c>
      <c r="CE733" t="s">
        <v>125</v>
      </c>
      <c r="CF733" t="s">
        <v>125</v>
      </c>
      <c r="CG733" t="s">
        <v>125</v>
      </c>
      <c r="CH733" t="s">
        <v>125</v>
      </c>
      <c r="CI733" t="s">
        <v>125</v>
      </c>
      <c r="CJ733" t="s">
        <v>125</v>
      </c>
      <c r="CK733" t="s">
        <v>125</v>
      </c>
      <c r="CL733" t="s">
        <v>125</v>
      </c>
      <c r="CM733" t="s">
        <v>125</v>
      </c>
      <c r="CN733" t="s">
        <v>125</v>
      </c>
      <c r="CO733" t="s">
        <v>125</v>
      </c>
      <c r="CP733" t="s">
        <v>125</v>
      </c>
      <c r="CQ733">
        <v>0.5</v>
      </c>
      <c r="CR733">
        <v>0.92307700000000004</v>
      </c>
      <c r="CS733">
        <v>33.333333000000003</v>
      </c>
      <c r="CT733">
        <v>50</v>
      </c>
      <c r="CU733" t="s">
        <v>125</v>
      </c>
      <c r="CV733" t="s">
        <v>125</v>
      </c>
      <c r="CW733" t="s">
        <v>125</v>
      </c>
      <c r="CX733" t="s">
        <v>125</v>
      </c>
      <c r="CY733" t="s">
        <v>125</v>
      </c>
      <c r="CZ733" t="s">
        <v>125</v>
      </c>
      <c r="DA733">
        <v>15.314097</v>
      </c>
      <c r="DB733">
        <v>17.400950000000002</v>
      </c>
      <c r="DC733">
        <v>16.332519999999999</v>
      </c>
      <c r="DD733" t="s">
        <v>125</v>
      </c>
      <c r="DE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Q733" t="s">
        <v>126</v>
      </c>
    </row>
    <row r="734" spans="1:121" x14ac:dyDescent="0.15">
      <c r="A734">
        <v>2018</v>
      </c>
      <c r="B734" t="s">
        <v>174</v>
      </c>
      <c r="C734" t="str">
        <f>"0990011"</f>
        <v>0990011</v>
      </c>
      <c r="D734" t="s">
        <v>889</v>
      </c>
      <c r="E734" t="str">
        <f>"0990411"</f>
        <v>0990411</v>
      </c>
      <c r="F734" t="s">
        <v>328</v>
      </c>
      <c r="G734" t="s">
        <v>329</v>
      </c>
      <c r="H734">
        <v>2</v>
      </c>
      <c r="I734" t="s">
        <v>330</v>
      </c>
      <c r="J734" t="s">
        <v>331</v>
      </c>
      <c r="K734">
        <v>95.106382999999994</v>
      </c>
      <c r="L734">
        <v>100</v>
      </c>
      <c r="M734">
        <v>95.106382999999994</v>
      </c>
      <c r="N734" t="s">
        <v>125</v>
      </c>
      <c r="O734" t="s">
        <v>125</v>
      </c>
      <c r="P734" t="s">
        <v>125</v>
      </c>
      <c r="Q734" t="s">
        <v>125</v>
      </c>
      <c r="R734" t="s">
        <v>125</v>
      </c>
      <c r="S734" t="s">
        <v>125</v>
      </c>
      <c r="T734" t="s">
        <v>125</v>
      </c>
      <c r="U734" t="s">
        <v>125</v>
      </c>
      <c r="V734" t="s">
        <v>125</v>
      </c>
      <c r="W734" t="s">
        <v>125</v>
      </c>
      <c r="X734" t="s">
        <v>125</v>
      </c>
      <c r="Y734" t="s">
        <v>125</v>
      </c>
      <c r="Z734" t="s">
        <v>125</v>
      </c>
      <c r="AA734" t="s">
        <v>125</v>
      </c>
      <c r="AB734" t="s">
        <v>125</v>
      </c>
      <c r="AC734" t="s">
        <v>125</v>
      </c>
      <c r="AD734" t="s">
        <v>125</v>
      </c>
      <c r="AE734" t="s">
        <v>125</v>
      </c>
      <c r="AF734" t="s">
        <v>125</v>
      </c>
      <c r="AG734" t="s">
        <v>125</v>
      </c>
      <c r="AH734" t="s">
        <v>125</v>
      </c>
      <c r="AI734" t="s">
        <v>125</v>
      </c>
      <c r="AJ734" t="s">
        <v>125</v>
      </c>
      <c r="AK734" t="s">
        <v>125</v>
      </c>
      <c r="AL734" t="s">
        <v>125</v>
      </c>
      <c r="AM734" t="s">
        <v>125</v>
      </c>
      <c r="AN734" t="s">
        <v>125</v>
      </c>
      <c r="AO734" t="s">
        <v>125</v>
      </c>
      <c r="AP734" t="s">
        <v>125</v>
      </c>
      <c r="AQ734" t="s">
        <v>125</v>
      </c>
      <c r="AR734" t="s">
        <v>125</v>
      </c>
      <c r="AS734" t="s">
        <v>125</v>
      </c>
      <c r="AT734" t="s">
        <v>125</v>
      </c>
      <c r="AU734" t="s">
        <v>125</v>
      </c>
      <c r="AV734" t="s">
        <v>125</v>
      </c>
      <c r="AW734" t="s">
        <v>125</v>
      </c>
      <c r="AX734" t="s">
        <v>125</v>
      </c>
      <c r="AY734" t="s">
        <v>125</v>
      </c>
      <c r="AZ734" t="s">
        <v>125</v>
      </c>
      <c r="BA734" t="s">
        <v>125</v>
      </c>
      <c r="BB734" t="s">
        <v>125</v>
      </c>
      <c r="BC734" t="s">
        <v>125</v>
      </c>
      <c r="BD734" t="s">
        <v>125</v>
      </c>
      <c r="BE734" t="s">
        <v>125</v>
      </c>
      <c r="BF734" t="s">
        <v>125</v>
      </c>
      <c r="BG734" t="s">
        <v>125</v>
      </c>
      <c r="BH734" t="s">
        <v>125</v>
      </c>
      <c r="BI734" t="s">
        <v>125</v>
      </c>
      <c r="BJ734" t="s">
        <v>125</v>
      </c>
      <c r="BK734" t="s">
        <v>125</v>
      </c>
      <c r="BL734" t="s">
        <v>125</v>
      </c>
      <c r="BM734" t="s">
        <v>125</v>
      </c>
      <c r="BN734" t="s">
        <v>125</v>
      </c>
      <c r="BO734" t="s">
        <v>125</v>
      </c>
      <c r="BP734" t="s">
        <v>125</v>
      </c>
      <c r="BQ734" t="s">
        <v>125</v>
      </c>
      <c r="BR734">
        <v>3.2163999999999998E-2</v>
      </c>
      <c r="BS734">
        <v>50</v>
      </c>
      <c r="BT734">
        <v>50</v>
      </c>
      <c r="BU734">
        <v>7.4468000000000006E-2</v>
      </c>
      <c r="BV734">
        <v>45.106383000000001</v>
      </c>
      <c r="BW734">
        <v>50</v>
      </c>
      <c r="BX734" t="s">
        <v>125</v>
      </c>
      <c r="BY734" t="s">
        <v>125</v>
      </c>
      <c r="BZ734" t="s">
        <v>125</v>
      </c>
      <c r="CA734" t="s">
        <v>125</v>
      </c>
      <c r="CB734" t="s">
        <v>125</v>
      </c>
      <c r="CC734" t="s">
        <v>125</v>
      </c>
      <c r="CD734" t="s">
        <v>125</v>
      </c>
      <c r="CE734" t="s">
        <v>125</v>
      </c>
      <c r="CF734" t="s">
        <v>125</v>
      </c>
      <c r="CG734" t="s">
        <v>125</v>
      </c>
      <c r="CH734" t="s">
        <v>125</v>
      </c>
      <c r="CI734" t="s">
        <v>125</v>
      </c>
      <c r="CJ734" t="s">
        <v>125</v>
      </c>
      <c r="CK734" t="s">
        <v>125</v>
      </c>
      <c r="CL734" t="s">
        <v>125</v>
      </c>
      <c r="CM734" t="s">
        <v>125</v>
      </c>
      <c r="CN734" t="s">
        <v>125</v>
      </c>
      <c r="CO734" t="s">
        <v>125</v>
      </c>
      <c r="CP734" t="s">
        <v>125</v>
      </c>
      <c r="CQ734" t="s">
        <v>125</v>
      </c>
      <c r="CR734" t="s">
        <v>125</v>
      </c>
      <c r="CS734" t="s">
        <v>125</v>
      </c>
      <c r="CT734" t="s">
        <v>125</v>
      </c>
      <c r="CU734" t="s">
        <v>125</v>
      </c>
      <c r="CV734" t="s">
        <v>125</v>
      </c>
      <c r="CW734" t="s">
        <v>125</v>
      </c>
      <c r="CX734" t="s">
        <v>125</v>
      </c>
      <c r="CY734" t="s">
        <v>125</v>
      </c>
      <c r="CZ734" t="s">
        <v>125</v>
      </c>
      <c r="DA734" t="s">
        <v>125</v>
      </c>
      <c r="DB734" t="s">
        <v>125</v>
      </c>
      <c r="DC734" t="s">
        <v>125</v>
      </c>
      <c r="DD734" t="s">
        <v>125</v>
      </c>
      <c r="DE734" t="s">
        <v>125</v>
      </c>
      <c r="DJ734" t="s">
        <v>125</v>
      </c>
      <c r="DK734" t="s">
        <v>125</v>
      </c>
      <c r="DL734" t="s">
        <v>125</v>
      </c>
      <c r="DM734" t="s">
        <v>125</v>
      </c>
      <c r="DN734" t="s">
        <v>125</v>
      </c>
      <c r="DO734" t="s">
        <v>125</v>
      </c>
      <c r="DQ734" t="s">
        <v>126</v>
      </c>
    </row>
    <row r="735" spans="1:121" x14ac:dyDescent="0.15">
      <c r="A735">
        <v>2018</v>
      </c>
      <c r="B735" t="s">
        <v>174</v>
      </c>
      <c r="C735" t="str">
        <f>"0990011"</f>
        <v>0990011</v>
      </c>
      <c r="D735" t="s">
        <v>890</v>
      </c>
      <c r="E735" t="str">
        <f>"0996111"</f>
        <v>0996111</v>
      </c>
      <c r="F735" t="s">
        <v>328</v>
      </c>
      <c r="G735">
        <v>9</v>
      </c>
      <c r="H735">
        <v>12</v>
      </c>
      <c r="J735" t="s">
        <v>331</v>
      </c>
      <c r="K735">
        <v>1153.1924879999999</v>
      </c>
      <c r="L735">
        <v>1450</v>
      </c>
      <c r="M735">
        <v>79.530516000000006</v>
      </c>
      <c r="N735">
        <v>3</v>
      </c>
      <c r="O735">
        <v>1</v>
      </c>
      <c r="P735">
        <v>58.294485999999999</v>
      </c>
      <c r="Q735">
        <v>116.588972</v>
      </c>
      <c r="R735">
        <v>150</v>
      </c>
      <c r="S735">
        <v>48.888888999999999</v>
      </c>
      <c r="T735">
        <v>62.635531</v>
      </c>
      <c r="U735">
        <v>97.777777999999998</v>
      </c>
      <c r="V735">
        <v>150</v>
      </c>
      <c r="W735">
        <v>55.941938</v>
      </c>
      <c r="X735">
        <v>111.883876</v>
      </c>
      <c r="Y735">
        <v>150</v>
      </c>
      <c r="Z735">
        <v>60.5</v>
      </c>
      <c r="AA735">
        <v>46.066138000000002</v>
      </c>
      <c r="AB735">
        <v>92.132275000000007</v>
      </c>
      <c r="AC735">
        <v>150</v>
      </c>
      <c r="AD735">
        <v>67.983058999999997</v>
      </c>
      <c r="AE735">
        <v>90.644077999999993</v>
      </c>
      <c r="AF735">
        <v>100</v>
      </c>
      <c r="AG735">
        <v>55.853349000000001</v>
      </c>
      <c r="AH735">
        <v>73.643590000000003</v>
      </c>
      <c r="AI735">
        <v>74.471131999999997</v>
      </c>
      <c r="AJ735">
        <v>100</v>
      </c>
      <c r="AK735">
        <v>13.74</v>
      </c>
      <c r="AL735">
        <v>14.43</v>
      </c>
      <c r="AM735">
        <v>17.79</v>
      </c>
      <c r="AN735" t="s">
        <v>125</v>
      </c>
      <c r="AO735" t="s">
        <v>125</v>
      </c>
      <c r="AP735" t="s">
        <v>125</v>
      </c>
      <c r="AQ735" t="s">
        <v>125</v>
      </c>
      <c r="AR735" t="s">
        <v>125</v>
      </c>
      <c r="AS735" t="s">
        <v>125</v>
      </c>
      <c r="AT735" t="s">
        <v>125</v>
      </c>
      <c r="AU735" t="s">
        <v>125</v>
      </c>
      <c r="AV735" t="s">
        <v>125</v>
      </c>
      <c r="AW735" t="s">
        <v>125</v>
      </c>
      <c r="AX735" t="s">
        <v>125</v>
      </c>
      <c r="AY735" t="s">
        <v>125</v>
      </c>
      <c r="AZ735" t="s">
        <v>125</v>
      </c>
      <c r="BA735" t="s">
        <v>125</v>
      </c>
      <c r="BB735" t="s">
        <v>125</v>
      </c>
      <c r="BC735" t="s">
        <v>125</v>
      </c>
      <c r="BD735" t="s">
        <v>125</v>
      </c>
      <c r="BE735" t="s">
        <v>125</v>
      </c>
      <c r="BF735" t="s">
        <v>125</v>
      </c>
      <c r="BG735" t="s">
        <v>125</v>
      </c>
      <c r="BH735">
        <v>0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0.992537</v>
      </c>
      <c r="BP735">
        <v>1</v>
      </c>
      <c r="BQ735">
        <v>0.98901099999999997</v>
      </c>
      <c r="BR735">
        <v>6.6914000000000001E-2</v>
      </c>
      <c r="BS735">
        <v>46.617100000000001</v>
      </c>
      <c r="BT735">
        <v>50</v>
      </c>
      <c r="BU735">
        <v>0.135294</v>
      </c>
      <c r="BV735">
        <v>32.941175999999999</v>
      </c>
      <c r="BW735">
        <v>50</v>
      </c>
      <c r="BX735">
        <v>0.73664099999999999</v>
      </c>
      <c r="BY735">
        <v>49.109414999999998</v>
      </c>
      <c r="BZ735">
        <v>50</v>
      </c>
      <c r="CA735">
        <v>0.43511499999999997</v>
      </c>
      <c r="CB735">
        <v>29.007633999999999</v>
      </c>
      <c r="CC735">
        <v>50</v>
      </c>
      <c r="CD735">
        <v>0.93233100000000002</v>
      </c>
      <c r="CE735">
        <v>49.592064999999998</v>
      </c>
      <c r="CF735">
        <v>50</v>
      </c>
      <c r="CG735">
        <v>0.95301999999999998</v>
      </c>
      <c r="CH735">
        <v>100</v>
      </c>
      <c r="CI735">
        <v>100</v>
      </c>
      <c r="CJ735">
        <v>1</v>
      </c>
      <c r="CK735">
        <v>0.83673500000000001</v>
      </c>
      <c r="CL735">
        <v>89.014329000000004</v>
      </c>
      <c r="CM735">
        <v>100</v>
      </c>
      <c r="CN735">
        <v>0.86111099999999996</v>
      </c>
      <c r="CO735">
        <v>100</v>
      </c>
      <c r="CP735">
        <v>100</v>
      </c>
      <c r="CQ735">
        <v>0.443662</v>
      </c>
      <c r="CR735">
        <v>0.99300699999999997</v>
      </c>
      <c r="CS735">
        <v>29.577465</v>
      </c>
      <c r="CT735">
        <v>50</v>
      </c>
      <c r="CU735">
        <v>0.52602199999999999</v>
      </c>
      <c r="CV735">
        <v>43.835191999999999</v>
      </c>
      <c r="CW735">
        <v>50</v>
      </c>
      <c r="CX735">
        <v>0.83673500000000001</v>
      </c>
      <c r="CY735">
        <v>0.94</v>
      </c>
      <c r="CZ735">
        <v>0.103265</v>
      </c>
      <c r="DA735">
        <v>15.314097</v>
      </c>
      <c r="DB735">
        <v>17.400950000000002</v>
      </c>
      <c r="DC735">
        <v>16.332519999999999</v>
      </c>
      <c r="DD735">
        <v>7.9891730000000001</v>
      </c>
      <c r="DE735">
        <v>1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Q735" t="s">
        <v>126</v>
      </c>
    </row>
    <row r="736" spans="1:121" x14ac:dyDescent="0.15">
      <c r="A736">
        <v>2018</v>
      </c>
      <c r="B736" t="s">
        <v>174</v>
      </c>
      <c r="C736" t="str">
        <f>"0990011"</f>
        <v>0990011</v>
      </c>
      <c r="D736" t="s">
        <v>891</v>
      </c>
      <c r="E736" t="str">
        <f>"0995111"</f>
        <v>0995111</v>
      </c>
      <c r="F736" t="s">
        <v>328</v>
      </c>
      <c r="G736">
        <v>6</v>
      </c>
      <c r="H736">
        <v>8</v>
      </c>
      <c r="I736" t="s">
        <v>330</v>
      </c>
      <c r="J736" t="s">
        <v>331</v>
      </c>
      <c r="K736">
        <v>628.11192600000004</v>
      </c>
      <c r="L736">
        <v>900</v>
      </c>
      <c r="M736">
        <v>69.790214000000006</v>
      </c>
      <c r="N736">
        <v>3</v>
      </c>
      <c r="O736">
        <v>0</v>
      </c>
      <c r="P736">
        <v>65.490840000000006</v>
      </c>
      <c r="Q736">
        <v>43.660559999999997</v>
      </c>
      <c r="R736">
        <v>50</v>
      </c>
      <c r="S736">
        <v>58.825375999999999</v>
      </c>
      <c r="T736">
        <v>68.912276000000006</v>
      </c>
      <c r="U736">
        <v>39.216918</v>
      </c>
      <c r="V736">
        <v>50</v>
      </c>
      <c r="W736">
        <v>64.492311999999998</v>
      </c>
      <c r="X736">
        <v>42.994874000000003</v>
      </c>
      <c r="Y736">
        <v>50</v>
      </c>
      <c r="Z736">
        <v>69.489367999999999</v>
      </c>
      <c r="AA736">
        <v>54.684654999999999</v>
      </c>
      <c r="AB736">
        <v>36.456437000000001</v>
      </c>
      <c r="AC736">
        <v>50</v>
      </c>
      <c r="AD736">
        <v>67.357690000000005</v>
      </c>
      <c r="AE736">
        <v>44.905127</v>
      </c>
      <c r="AF736">
        <v>50</v>
      </c>
      <c r="AG736">
        <v>59.173678000000002</v>
      </c>
      <c r="AH736">
        <v>71.576252999999994</v>
      </c>
      <c r="AI736">
        <v>39.449119000000003</v>
      </c>
      <c r="AJ736">
        <v>50</v>
      </c>
      <c r="AK736">
        <v>10.08</v>
      </c>
      <c r="AL736">
        <v>14.8</v>
      </c>
      <c r="AM736">
        <v>12.4</v>
      </c>
      <c r="AN736">
        <v>0.46130500000000002</v>
      </c>
      <c r="AO736">
        <v>46.130507000000001</v>
      </c>
      <c r="AP736">
        <v>100</v>
      </c>
      <c r="AQ736">
        <v>0.59025300000000003</v>
      </c>
      <c r="AR736">
        <v>59.025317000000001</v>
      </c>
      <c r="AS736">
        <v>100</v>
      </c>
      <c r="AT736">
        <v>0.46932400000000002</v>
      </c>
      <c r="AU736">
        <v>0.45740199999999998</v>
      </c>
      <c r="AV736">
        <v>46.932400000000001</v>
      </c>
      <c r="AW736">
        <v>100</v>
      </c>
      <c r="AX736">
        <v>0.51137900000000003</v>
      </c>
      <c r="AY736">
        <v>0.62835099999999999</v>
      </c>
      <c r="AZ736">
        <v>51.137928000000002</v>
      </c>
      <c r="BA736">
        <v>100</v>
      </c>
      <c r="BB736" t="s">
        <v>125</v>
      </c>
      <c r="BC736" t="s">
        <v>125</v>
      </c>
      <c r="BD736" t="s">
        <v>125</v>
      </c>
      <c r="BE736" t="s">
        <v>125</v>
      </c>
      <c r="BF736" t="s">
        <v>125</v>
      </c>
      <c r="BG736" t="s">
        <v>125</v>
      </c>
      <c r="BH736">
        <v>0</v>
      </c>
      <c r="BI736">
        <v>0.97578699999999996</v>
      </c>
      <c r="BJ736">
        <v>0.97222200000000003</v>
      </c>
      <c r="BK736">
        <v>0.97769499999999998</v>
      </c>
      <c r="BL736">
        <v>0.97336599999999995</v>
      </c>
      <c r="BM736">
        <v>0.96527799999999997</v>
      </c>
      <c r="BN736">
        <v>0.97769499999999998</v>
      </c>
      <c r="BO736">
        <v>1</v>
      </c>
      <c r="BP736">
        <v>1</v>
      </c>
      <c r="BQ736">
        <v>1</v>
      </c>
      <c r="BR736">
        <v>6.5533999999999995E-2</v>
      </c>
      <c r="BS736">
        <v>46.893203999999997</v>
      </c>
      <c r="BT736">
        <v>50</v>
      </c>
      <c r="BU736">
        <v>0.104895</v>
      </c>
      <c r="BV736">
        <v>39.020978999999997</v>
      </c>
      <c r="BW736">
        <v>50</v>
      </c>
      <c r="BX736" t="s">
        <v>125</v>
      </c>
      <c r="BY736" t="s">
        <v>125</v>
      </c>
      <c r="BZ736" t="s">
        <v>125</v>
      </c>
      <c r="CA736" t="s">
        <v>125</v>
      </c>
      <c r="CB736" t="s">
        <v>125</v>
      </c>
      <c r="CC736" t="s">
        <v>125</v>
      </c>
      <c r="CD736">
        <v>0.94736799999999999</v>
      </c>
      <c r="CE736">
        <v>50</v>
      </c>
      <c r="CF736">
        <v>50</v>
      </c>
      <c r="CG736" t="s">
        <v>125</v>
      </c>
      <c r="CH736" t="s">
        <v>125</v>
      </c>
      <c r="CI736" t="s">
        <v>125</v>
      </c>
      <c r="CJ736" t="s">
        <v>125</v>
      </c>
      <c r="CK736" t="s">
        <v>125</v>
      </c>
      <c r="CL736" t="s">
        <v>125</v>
      </c>
      <c r="CM736" t="s">
        <v>125</v>
      </c>
      <c r="CN736" t="s">
        <v>125</v>
      </c>
      <c r="CO736" t="s">
        <v>125</v>
      </c>
      <c r="CP736" t="s">
        <v>125</v>
      </c>
      <c r="CQ736">
        <v>0.634328</v>
      </c>
      <c r="CR736">
        <v>0.97454499999999999</v>
      </c>
      <c r="CS736">
        <v>42.288556999999997</v>
      </c>
      <c r="CT736">
        <v>50</v>
      </c>
      <c r="CU736" t="s">
        <v>125</v>
      </c>
      <c r="CV736" t="s">
        <v>125</v>
      </c>
      <c r="CW736" t="s">
        <v>125</v>
      </c>
      <c r="CX736" t="s">
        <v>125</v>
      </c>
      <c r="CY736" t="s">
        <v>125</v>
      </c>
      <c r="CZ736" t="s">
        <v>125</v>
      </c>
      <c r="DA736">
        <v>15.314097</v>
      </c>
      <c r="DB736">
        <v>17.400950000000002</v>
      </c>
      <c r="DC736">
        <v>16.332519999999999</v>
      </c>
      <c r="DD736" t="s">
        <v>125</v>
      </c>
      <c r="DE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Q736" t="s">
        <v>126</v>
      </c>
    </row>
    <row r="737" spans="1:121" x14ac:dyDescent="0.15">
      <c r="A737">
        <v>2018</v>
      </c>
      <c r="B737" t="s">
        <v>174</v>
      </c>
      <c r="C737" t="str">
        <f>"0990011"</f>
        <v>0990011</v>
      </c>
      <c r="D737" t="s">
        <v>892</v>
      </c>
      <c r="E737" t="str">
        <f>"0990611"</f>
        <v>0990611</v>
      </c>
      <c r="F737" t="s">
        <v>328</v>
      </c>
      <c r="G737">
        <v>3</v>
      </c>
      <c r="H737">
        <v>5</v>
      </c>
      <c r="I737" t="s">
        <v>330</v>
      </c>
      <c r="J737" t="s">
        <v>331</v>
      </c>
      <c r="K737">
        <v>645.209157</v>
      </c>
      <c r="L737">
        <v>850</v>
      </c>
      <c r="M737">
        <v>75.906959999999998</v>
      </c>
      <c r="N737">
        <v>3</v>
      </c>
      <c r="O737">
        <v>1</v>
      </c>
      <c r="P737">
        <v>70.279814000000002</v>
      </c>
      <c r="Q737">
        <v>46.853209999999997</v>
      </c>
      <c r="R737">
        <v>50</v>
      </c>
      <c r="S737">
        <v>60.849969999999999</v>
      </c>
      <c r="T737">
        <v>75</v>
      </c>
      <c r="U737">
        <v>40.566647000000003</v>
      </c>
      <c r="V737">
        <v>50</v>
      </c>
      <c r="W737">
        <v>68.451697999999993</v>
      </c>
      <c r="X737">
        <v>45.634464999999999</v>
      </c>
      <c r="Y737">
        <v>50</v>
      </c>
      <c r="Z737">
        <v>74.386115000000004</v>
      </c>
      <c r="AA737">
        <v>57.607512</v>
      </c>
      <c r="AB737">
        <v>38.405008000000002</v>
      </c>
      <c r="AC737">
        <v>50</v>
      </c>
      <c r="AD737">
        <v>69.140461999999999</v>
      </c>
      <c r="AE737">
        <v>46.093642000000003</v>
      </c>
      <c r="AF737">
        <v>50</v>
      </c>
      <c r="AG737">
        <v>56.601101</v>
      </c>
      <c r="AH737">
        <v>75</v>
      </c>
      <c r="AI737">
        <v>37.734068000000001</v>
      </c>
      <c r="AJ737">
        <v>50</v>
      </c>
      <c r="AK737">
        <v>14.15</v>
      </c>
      <c r="AL737">
        <v>16.77</v>
      </c>
      <c r="AM737">
        <v>18.39</v>
      </c>
      <c r="AN737">
        <v>0.58908199999999999</v>
      </c>
      <c r="AO737">
        <v>58.908211000000001</v>
      </c>
      <c r="AP737">
        <v>100</v>
      </c>
      <c r="AQ737">
        <v>0.68885700000000005</v>
      </c>
      <c r="AR737">
        <v>68.885660999999999</v>
      </c>
      <c r="AS737">
        <v>100</v>
      </c>
      <c r="AT737">
        <v>0.50509999999999999</v>
      </c>
      <c r="AU737">
        <v>0.634413</v>
      </c>
      <c r="AV737">
        <v>50.509982999999998</v>
      </c>
      <c r="AW737">
        <v>100</v>
      </c>
      <c r="AX737">
        <v>0.68351200000000001</v>
      </c>
      <c r="AY737">
        <v>0.69174199999999997</v>
      </c>
      <c r="AZ737">
        <v>68.351155000000006</v>
      </c>
      <c r="BA737">
        <v>100</v>
      </c>
      <c r="BB737" t="s">
        <v>125</v>
      </c>
      <c r="BC737" t="s">
        <v>125</v>
      </c>
      <c r="BD737" t="s">
        <v>125</v>
      </c>
      <c r="BE737" t="s">
        <v>125</v>
      </c>
      <c r="BF737" t="s">
        <v>125</v>
      </c>
      <c r="BG737" t="s">
        <v>125</v>
      </c>
      <c r="BH737">
        <v>0</v>
      </c>
      <c r="BI737">
        <v>0.99250000000000005</v>
      </c>
      <c r="BJ737">
        <v>0.99295800000000001</v>
      </c>
      <c r="BK737">
        <v>0.99224800000000002</v>
      </c>
      <c r="BL737">
        <v>0.99250000000000005</v>
      </c>
      <c r="BM737">
        <v>0.99295800000000001</v>
      </c>
      <c r="BN737">
        <v>0.99224800000000002</v>
      </c>
      <c r="BO737">
        <v>0.99218799999999996</v>
      </c>
      <c r="BP737">
        <v>0.97619</v>
      </c>
      <c r="BQ737">
        <v>1</v>
      </c>
      <c r="BR737">
        <v>2.2499999999999999E-2</v>
      </c>
      <c r="BS737">
        <v>50</v>
      </c>
      <c r="BT737">
        <v>50</v>
      </c>
      <c r="BU737">
        <v>4.1667000000000003E-2</v>
      </c>
      <c r="BV737">
        <v>50</v>
      </c>
      <c r="BW737">
        <v>50</v>
      </c>
      <c r="BX737" t="s">
        <v>125</v>
      </c>
      <c r="BY737" t="s">
        <v>125</v>
      </c>
      <c r="BZ737" t="s">
        <v>125</v>
      </c>
      <c r="CA737" t="s">
        <v>125</v>
      </c>
      <c r="CB737" t="s">
        <v>125</v>
      </c>
      <c r="CC737" t="s">
        <v>125</v>
      </c>
      <c r="CD737" t="s">
        <v>125</v>
      </c>
      <c r="CE737" t="s">
        <v>125</v>
      </c>
      <c r="CF737" t="s">
        <v>125</v>
      </c>
      <c r="CG737" t="s">
        <v>125</v>
      </c>
      <c r="CH737" t="s">
        <v>125</v>
      </c>
      <c r="CI737" t="s">
        <v>125</v>
      </c>
      <c r="CJ737" t="s">
        <v>125</v>
      </c>
      <c r="CK737" t="s">
        <v>125</v>
      </c>
      <c r="CL737" t="s">
        <v>125</v>
      </c>
      <c r="CM737" t="s">
        <v>125</v>
      </c>
      <c r="CN737" t="s">
        <v>125</v>
      </c>
      <c r="CO737" t="s">
        <v>125</v>
      </c>
      <c r="CP737" t="s">
        <v>125</v>
      </c>
      <c r="CQ737">
        <v>0.649007</v>
      </c>
      <c r="CR737">
        <v>1</v>
      </c>
      <c r="CS737">
        <v>43.267108</v>
      </c>
      <c r="CT737">
        <v>50</v>
      </c>
      <c r="CU737" t="s">
        <v>125</v>
      </c>
      <c r="CV737" t="s">
        <v>125</v>
      </c>
      <c r="CW737" t="s">
        <v>125</v>
      </c>
      <c r="CX737" t="s">
        <v>125</v>
      </c>
      <c r="CY737" t="s">
        <v>125</v>
      </c>
      <c r="CZ737" t="s">
        <v>125</v>
      </c>
      <c r="DA737">
        <v>15.314097</v>
      </c>
      <c r="DB737">
        <v>17.400950000000002</v>
      </c>
      <c r="DC737">
        <v>16.332519999999999</v>
      </c>
      <c r="DD737" t="s">
        <v>125</v>
      </c>
      <c r="DE737">
        <v>1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Q737" t="s">
        <v>126</v>
      </c>
    </row>
    <row r="738" spans="1:121" x14ac:dyDescent="0.15">
      <c r="A738">
        <v>2018</v>
      </c>
      <c r="B738" t="s">
        <v>149</v>
      </c>
      <c r="C738" t="str">
        <f>"1000011"</f>
        <v>1000011</v>
      </c>
      <c r="D738" t="s">
        <v>893</v>
      </c>
      <c r="E738" t="str">
        <f>"1000111"</f>
        <v>1000111</v>
      </c>
      <c r="F738" t="s">
        <v>328</v>
      </c>
      <c r="G738" t="s">
        <v>329</v>
      </c>
      <c r="H738">
        <v>8</v>
      </c>
      <c r="I738" t="s">
        <v>330</v>
      </c>
      <c r="J738" t="s">
        <v>331</v>
      </c>
      <c r="K738">
        <v>702.59510699999998</v>
      </c>
      <c r="L738">
        <v>900</v>
      </c>
      <c r="M738">
        <v>78.066123000000005</v>
      </c>
      <c r="N738">
        <v>3</v>
      </c>
      <c r="O738">
        <v>1</v>
      </c>
      <c r="P738">
        <v>74.047297</v>
      </c>
      <c r="Q738">
        <v>49.364865000000002</v>
      </c>
      <c r="R738">
        <v>50</v>
      </c>
      <c r="S738">
        <v>68.505018000000007</v>
      </c>
      <c r="T738">
        <v>75</v>
      </c>
      <c r="U738">
        <v>45.670012</v>
      </c>
      <c r="V738">
        <v>50</v>
      </c>
      <c r="W738">
        <v>64.920935999999998</v>
      </c>
      <c r="X738">
        <v>43.280624000000003</v>
      </c>
      <c r="Y738">
        <v>50</v>
      </c>
      <c r="Z738">
        <v>74.906994999999995</v>
      </c>
      <c r="AA738">
        <v>57.312508999999999</v>
      </c>
      <c r="AB738">
        <v>38.208339000000002</v>
      </c>
      <c r="AC738">
        <v>50</v>
      </c>
      <c r="AD738">
        <v>71.420689999999993</v>
      </c>
      <c r="AE738">
        <v>47.613793000000001</v>
      </c>
      <c r="AF738">
        <v>50</v>
      </c>
      <c r="AG738">
        <v>65.374707999999998</v>
      </c>
      <c r="AH738">
        <v>75</v>
      </c>
      <c r="AI738">
        <v>43.583137999999998</v>
      </c>
      <c r="AJ738">
        <v>50</v>
      </c>
      <c r="AK738">
        <v>6.49</v>
      </c>
      <c r="AL738">
        <v>17.59</v>
      </c>
      <c r="AM738">
        <v>9.6199999999999992</v>
      </c>
      <c r="AN738">
        <v>0.67014700000000005</v>
      </c>
      <c r="AO738">
        <v>67.014723000000004</v>
      </c>
      <c r="AP738">
        <v>100</v>
      </c>
      <c r="AQ738">
        <v>0.64557699999999996</v>
      </c>
      <c r="AR738">
        <v>64.557658000000004</v>
      </c>
      <c r="AS738">
        <v>100</v>
      </c>
      <c r="AT738">
        <v>0.685863</v>
      </c>
      <c r="AU738">
        <v>0.65334800000000004</v>
      </c>
      <c r="AV738">
        <v>68.586285000000004</v>
      </c>
      <c r="AW738">
        <v>100</v>
      </c>
      <c r="AX738">
        <v>0.59117900000000001</v>
      </c>
      <c r="AY738">
        <v>0.70372599999999996</v>
      </c>
      <c r="AZ738">
        <v>59.117899000000001</v>
      </c>
      <c r="BA738">
        <v>100</v>
      </c>
      <c r="BB738" t="s">
        <v>125</v>
      </c>
      <c r="BC738" t="s">
        <v>125</v>
      </c>
      <c r="BD738" t="s">
        <v>125</v>
      </c>
      <c r="BE738" t="s">
        <v>125</v>
      </c>
      <c r="BF738" t="s">
        <v>125</v>
      </c>
      <c r="BG738" t="s">
        <v>125</v>
      </c>
      <c r="BH738">
        <v>0</v>
      </c>
      <c r="BI738">
        <v>1</v>
      </c>
      <c r="BJ738">
        <v>1</v>
      </c>
      <c r="BK738">
        <v>1</v>
      </c>
      <c r="BL738">
        <v>0.99337699999999995</v>
      </c>
      <c r="BM738">
        <v>1</v>
      </c>
      <c r="BN738">
        <v>0.98461500000000002</v>
      </c>
      <c r="BO738">
        <v>1</v>
      </c>
      <c r="BP738">
        <v>1</v>
      </c>
      <c r="BQ738">
        <v>1</v>
      </c>
      <c r="BR738">
        <v>4.9586999999999999E-2</v>
      </c>
      <c r="BS738">
        <v>50</v>
      </c>
      <c r="BT738">
        <v>50</v>
      </c>
      <c r="BU738">
        <v>7.8571000000000002E-2</v>
      </c>
      <c r="BV738">
        <v>44.285713999999999</v>
      </c>
      <c r="BW738">
        <v>50</v>
      </c>
      <c r="BX738" t="s">
        <v>125</v>
      </c>
      <c r="BY738" t="s">
        <v>125</v>
      </c>
      <c r="BZ738" t="s">
        <v>125</v>
      </c>
      <c r="CA738" t="s">
        <v>125</v>
      </c>
      <c r="CB738" t="s">
        <v>125</v>
      </c>
      <c r="CC738" t="s">
        <v>125</v>
      </c>
      <c r="CD738">
        <v>0.93333299999999997</v>
      </c>
      <c r="CE738">
        <v>49.645389999999999</v>
      </c>
      <c r="CF738">
        <v>50</v>
      </c>
      <c r="CG738" t="s">
        <v>125</v>
      </c>
      <c r="CH738" t="s">
        <v>125</v>
      </c>
      <c r="CI738" t="s">
        <v>125</v>
      </c>
      <c r="CJ738" t="s">
        <v>125</v>
      </c>
      <c r="CK738" t="s">
        <v>125</v>
      </c>
      <c r="CL738" t="s">
        <v>125</v>
      </c>
      <c r="CM738" t="s">
        <v>125</v>
      </c>
      <c r="CN738" t="s">
        <v>125</v>
      </c>
      <c r="CO738" t="s">
        <v>125</v>
      </c>
      <c r="CP738" t="s">
        <v>125</v>
      </c>
      <c r="CQ738">
        <v>0.47499999999999998</v>
      </c>
      <c r="CR738">
        <v>0.97560999999999998</v>
      </c>
      <c r="CS738">
        <v>31.666667</v>
      </c>
      <c r="CT738">
        <v>50</v>
      </c>
      <c r="CU738" t="s">
        <v>125</v>
      </c>
      <c r="CV738" t="s">
        <v>125</v>
      </c>
      <c r="CW738" t="s">
        <v>125</v>
      </c>
      <c r="CX738" t="s">
        <v>125</v>
      </c>
      <c r="CY738" t="s">
        <v>125</v>
      </c>
      <c r="CZ738" t="s">
        <v>125</v>
      </c>
      <c r="DA738">
        <v>15.314097</v>
      </c>
      <c r="DB738">
        <v>17.400950000000002</v>
      </c>
      <c r="DC738">
        <v>16.332519999999999</v>
      </c>
      <c r="DD738" t="s">
        <v>125</v>
      </c>
      <c r="DE738">
        <v>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Q738" t="s">
        <v>126</v>
      </c>
    </row>
    <row r="739" spans="1:121" x14ac:dyDescent="0.15">
      <c r="A739">
        <v>2018</v>
      </c>
      <c r="B739" t="s">
        <v>150</v>
      </c>
      <c r="C739" t="str">
        <f t="shared" ref="C739:C744" si="30">"1010011"</f>
        <v>1010011</v>
      </c>
      <c r="D739" t="s">
        <v>894</v>
      </c>
      <c r="E739" t="str">
        <f>"1010811"</f>
        <v>1010811</v>
      </c>
      <c r="F739" t="s">
        <v>328</v>
      </c>
      <c r="G739" t="s">
        <v>339</v>
      </c>
      <c r="H739">
        <v>5</v>
      </c>
      <c r="I739" t="s">
        <v>336</v>
      </c>
      <c r="J739" t="s">
        <v>331</v>
      </c>
      <c r="K739">
        <v>655.231945</v>
      </c>
      <c r="L739">
        <v>800</v>
      </c>
      <c r="M739">
        <v>81.903993</v>
      </c>
      <c r="N739">
        <v>2</v>
      </c>
      <c r="O739">
        <v>0</v>
      </c>
      <c r="P739">
        <v>74.543986000000004</v>
      </c>
      <c r="Q739">
        <v>49.695990999999999</v>
      </c>
      <c r="R739">
        <v>50</v>
      </c>
      <c r="S739">
        <v>68.153632999999999</v>
      </c>
      <c r="T739">
        <v>75</v>
      </c>
      <c r="U739">
        <v>45.435755999999998</v>
      </c>
      <c r="V739">
        <v>50</v>
      </c>
      <c r="W739">
        <v>72.994647000000001</v>
      </c>
      <c r="X739">
        <v>48.663097999999998</v>
      </c>
      <c r="Y739">
        <v>50</v>
      </c>
      <c r="Z739">
        <v>74.951430000000002</v>
      </c>
      <c r="AA739">
        <v>67.525690999999995</v>
      </c>
      <c r="AB739">
        <v>45.017127000000002</v>
      </c>
      <c r="AC739">
        <v>50</v>
      </c>
      <c r="AD739">
        <v>70.788927000000001</v>
      </c>
      <c r="AE739">
        <v>47.192618000000003</v>
      </c>
      <c r="AF739">
        <v>50</v>
      </c>
      <c r="AG739" t="s">
        <v>125</v>
      </c>
      <c r="AH739">
        <v>74.113338999999996</v>
      </c>
      <c r="AI739" t="s">
        <v>125</v>
      </c>
      <c r="AJ739" t="s">
        <v>125</v>
      </c>
      <c r="AK739">
        <v>6.84</v>
      </c>
      <c r="AL739">
        <v>7.42</v>
      </c>
      <c r="AM739" t="s">
        <v>125</v>
      </c>
      <c r="AN739">
        <v>0.68005099999999996</v>
      </c>
      <c r="AO739">
        <v>68.005137000000005</v>
      </c>
      <c r="AP739">
        <v>100</v>
      </c>
      <c r="AQ739">
        <v>0.90637699999999999</v>
      </c>
      <c r="AR739">
        <v>90.637692999999999</v>
      </c>
      <c r="AS739">
        <v>100</v>
      </c>
      <c r="AT739">
        <v>0.63903100000000002</v>
      </c>
      <c r="AU739">
        <v>0.69573499999999999</v>
      </c>
      <c r="AV739">
        <v>63.903136000000003</v>
      </c>
      <c r="AW739">
        <v>100</v>
      </c>
      <c r="AX739">
        <v>0.875834</v>
      </c>
      <c r="AY739">
        <v>0.91805499999999995</v>
      </c>
      <c r="AZ739">
        <v>87.583402000000007</v>
      </c>
      <c r="BA739">
        <v>100</v>
      </c>
      <c r="BB739" t="s">
        <v>125</v>
      </c>
      <c r="BC739" t="s">
        <v>125</v>
      </c>
      <c r="BD739" t="s">
        <v>125</v>
      </c>
      <c r="BE739" t="s">
        <v>125</v>
      </c>
      <c r="BF739" t="s">
        <v>125</v>
      </c>
      <c r="BG739" t="s">
        <v>125</v>
      </c>
      <c r="BH739">
        <v>0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 t="s">
        <v>125</v>
      </c>
      <c r="BQ739">
        <v>1</v>
      </c>
      <c r="BR739">
        <v>8.0597000000000002E-2</v>
      </c>
      <c r="BS739">
        <v>43.880597000000002</v>
      </c>
      <c r="BT739">
        <v>50</v>
      </c>
      <c r="BU739">
        <v>0.13333300000000001</v>
      </c>
      <c r="BV739">
        <v>33.333333000000003</v>
      </c>
      <c r="BW739">
        <v>50</v>
      </c>
      <c r="BX739" t="s">
        <v>125</v>
      </c>
      <c r="BY739" t="s">
        <v>125</v>
      </c>
      <c r="BZ739" t="s">
        <v>125</v>
      </c>
      <c r="CA739" t="s">
        <v>125</v>
      </c>
      <c r="CB739" t="s">
        <v>125</v>
      </c>
      <c r="CC739" t="s">
        <v>125</v>
      </c>
      <c r="CD739" t="s">
        <v>125</v>
      </c>
      <c r="CE739" t="s">
        <v>125</v>
      </c>
      <c r="CF739" t="s">
        <v>125</v>
      </c>
      <c r="CG739" t="s">
        <v>125</v>
      </c>
      <c r="CH739" t="s">
        <v>125</v>
      </c>
      <c r="CI739" t="s">
        <v>125</v>
      </c>
      <c r="CJ739" t="s">
        <v>125</v>
      </c>
      <c r="CK739" t="s">
        <v>125</v>
      </c>
      <c r="CL739" t="s">
        <v>125</v>
      </c>
      <c r="CM739" t="s">
        <v>125</v>
      </c>
      <c r="CN739" t="s">
        <v>125</v>
      </c>
      <c r="CO739" t="s">
        <v>125</v>
      </c>
      <c r="CP739" t="s">
        <v>125</v>
      </c>
      <c r="CQ739">
        <v>0.47826099999999999</v>
      </c>
      <c r="CR739">
        <v>0.97872300000000001</v>
      </c>
      <c r="CS739">
        <v>31.884058</v>
      </c>
      <c r="CT739">
        <v>50</v>
      </c>
      <c r="CU739" t="s">
        <v>125</v>
      </c>
      <c r="CV739" t="s">
        <v>125</v>
      </c>
      <c r="CW739" t="s">
        <v>125</v>
      </c>
      <c r="CX739" t="s">
        <v>125</v>
      </c>
      <c r="CY739" t="s">
        <v>125</v>
      </c>
      <c r="CZ739" t="s">
        <v>125</v>
      </c>
      <c r="DA739">
        <v>15.314097</v>
      </c>
      <c r="DB739">
        <v>17.400950000000002</v>
      </c>
      <c r="DC739">
        <v>16.332519999999999</v>
      </c>
      <c r="DD739" t="s">
        <v>125</v>
      </c>
      <c r="DE739">
        <v>0</v>
      </c>
      <c r="DH739" t="s">
        <v>332</v>
      </c>
      <c r="DI739" t="s">
        <v>453</v>
      </c>
      <c r="DJ739">
        <v>0</v>
      </c>
      <c r="DK739">
        <v>0</v>
      </c>
      <c r="DL739">
        <v>1</v>
      </c>
      <c r="DM739">
        <v>0</v>
      </c>
      <c r="DN739">
        <v>1</v>
      </c>
      <c r="DO739">
        <v>0</v>
      </c>
      <c r="DQ739" t="s">
        <v>126</v>
      </c>
    </row>
    <row r="740" spans="1:121" x14ac:dyDescent="0.15">
      <c r="A740">
        <v>2018</v>
      </c>
      <c r="B740" t="s">
        <v>150</v>
      </c>
      <c r="C740" t="str">
        <f t="shared" si="30"/>
        <v>1010011</v>
      </c>
      <c r="D740" t="s">
        <v>895</v>
      </c>
      <c r="E740" t="str">
        <f>"1010711"</f>
        <v>1010711</v>
      </c>
      <c r="F740" t="s">
        <v>328</v>
      </c>
      <c r="G740" t="s">
        <v>329</v>
      </c>
      <c r="H740">
        <v>5</v>
      </c>
      <c r="I740" t="s">
        <v>336</v>
      </c>
      <c r="J740" t="s">
        <v>331</v>
      </c>
      <c r="K740">
        <v>709.61144100000001</v>
      </c>
      <c r="L740">
        <v>900</v>
      </c>
      <c r="M740">
        <v>78.845715999999996</v>
      </c>
      <c r="N740">
        <v>2</v>
      </c>
      <c r="O740">
        <v>0</v>
      </c>
      <c r="P740">
        <v>78.937246999999999</v>
      </c>
      <c r="Q740">
        <v>50</v>
      </c>
      <c r="R740">
        <v>50</v>
      </c>
      <c r="S740">
        <v>69.223945999999998</v>
      </c>
      <c r="T740">
        <v>75</v>
      </c>
      <c r="U740">
        <v>46.149296999999997</v>
      </c>
      <c r="V740">
        <v>50</v>
      </c>
      <c r="W740">
        <v>72.254109</v>
      </c>
      <c r="X740">
        <v>48.169406000000002</v>
      </c>
      <c r="Y740">
        <v>50</v>
      </c>
      <c r="Z740">
        <v>75</v>
      </c>
      <c r="AA740">
        <v>63.807865</v>
      </c>
      <c r="AB740">
        <v>42.538576999999997</v>
      </c>
      <c r="AC740">
        <v>50</v>
      </c>
      <c r="AD740">
        <v>66</v>
      </c>
      <c r="AE740">
        <v>44</v>
      </c>
      <c r="AF740">
        <v>50</v>
      </c>
      <c r="AG740" t="s">
        <v>125</v>
      </c>
      <c r="AH740">
        <v>68.639112999999995</v>
      </c>
      <c r="AI740" t="s">
        <v>125</v>
      </c>
      <c r="AJ740" t="s">
        <v>125</v>
      </c>
      <c r="AK740">
        <v>5.77</v>
      </c>
      <c r="AL740">
        <v>11.19</v>
      </c>
      <c r="AM740" t="s">
        <v>125</v>
      </c>
      <c r="AN740">
        <v>0.66443600000000003</v>
      </c>
      <c r="AO740">
        <v>66.443551999999997</v>
      </c>
      <c r="AP740">
        <v>100</v>
      </c>
      <c r="AQ740">
        <v>0.75348700000000002</v>
      </c>
      <c r="AR740">
        <v>75.348731999999998</v>
      </c>
      <c r="AS740">
        <v>100</v>
      </c>
      <c r="AT740">
        <v>0.62639</v>
      </c>
      <c r="AU740">
        <v>0.67925899999999995</v>
      </c>
      <c r="AV740">
        <v>62.638970999999998</v>
      </c>
      <c r="AW740">
        <v>100</v>
      </c>
      <c r="AX740">
        <v>0.75290500000000005</v>
      </c>
      <c r="AY740">
        <v>0.753714</v>
      </c>
      <c r="AZ740">
        <v>75.290541000000005</v>
      </c>
      <c r="BA740">
        <v>100</v>
      </c>
      <c r="BB740">
        <v>0.96973100000000001</v>
      </c>
      <c r="BC740">
        <v>48.486536000000001</v>
      </c>
      <c r="BD740">
        <v>50</v>
      </c>
      <c r="BE740">
        <v>0.61833099999999996</v>
      </c>
      <c r="BF740">
        <v>30.916526999999999</v>
      </c>
      <c r="BG740">
        <v>50</v>
      </c>
      <c r="BH740">
        <v>0</v>
      </c>
      <c r="BI740">
        <v>0.98773</v>
      </c>
      <c r="BJ740">
        <v>0.97916700000000001</v>
      </c>
      <c r="BK740">
        <v>0.99130399999999996</v>
      </c>
      <c r="BL740">
        <v>0.98773</v>
      </c>
      <c r="BM740">
        <v>0.97916700000000001</v>
      </c>
      <c r="BN740">
        <v>0.99130399999999996</v>
      </c>
      <c r="BO740">
        <v>1</v>
      </c>
      <c r="BP740" t="s">
        <v>125</v>
      </c>
      <c r="BQ740">
        <v>1</v>
      </c>
      <c r="BR740">
        <v>4.1419999999999998E-2</v>
      </c>
      <c r="BS740">
        <v>50</v>
      </c>
      <c r="BT740">
        <v>50</v>
      </c>
      <c r="BU740">
        <v>7.2071999999999997E-2</v>
      </c>
      <c r="BV740">
        <v>45.585585999999999</v>
      </c>
      <c r="BW740">
        <v>50</v>
      </c>
      <c r="BX740" t="s">
        <v>125</v>
      </c>
      <c r="BY740" t="s">
        <v>125</v>
      </c>
      <c r="BZ740" t="s">
        <v>125</v>
      </c>
      <c r="CA740" t="s">
        <v>125</v>
      </c>
      <c r="CB740" t="s">
        <v>125</v>
      </c>
      <c r="CC740" t="s">
        <v>125</v>
      </c>
      <c r="CD740" t="s">
        <v>125</v>
      </c>
      <c r="CE740" t="s">
        <v>125</v>
      </c>
      <c r="CF740" t="s">
        <v>125</v>
      </c>
      <c r="CG740" t="s">
        <v>125</v>
      </c>
      <c r="CH740" t="s">
        <v>125</v>
      </c>
      <c r="CI740" t="s">
        <v>125</v>
      </c>
      <c r="CJ740" t="s">
        <v>125</v>
      </c>
      <c r="CK740" t="s">
        <v>125</v>
      </c>
      <c r="CL740" t="s">
        <v>125</v>
      </c>
      <c r="CM740" t="s">
        <v>125</v>
      </c>
      <c r="CN740" t="s">
        <v>125</v>
      </c>
      <c r="CO740" t="s">
        <v>125</v>
      </c>
      <c r="CP740" t="s">
        <v>125</v>
      </c>
      <c r="CQ740">
        <v>0.36065599999999998</v>
      </c>
      <c r="CR740">
        <v>0.96825399999999995</v>
      </c>
      <c r="CS740">
        <v>24.043716</v>
      </c>
      <c r="CT740">
        <v>50</v>
      </c>
      <c r="CU740" t="s">
        <v>125</v>
      </c>
      <c r="CV740" t="s">
        <v>125</v>
      </c>
      <c r="CW740" t="s">
        <v>125</v>
      </c>
      <c r="CX740" t="s">
        <v>125</v>
      </c>
      <c r="CY740" t="s">
        <v>125</v>
      </c>
      <c r="CZ740" t="s">
        <v>125</v>
      </c>
      <c r="DA740">
        <v>15.314097</v>
      </c>
      <c r="DB740">
        <v>17.400950000000002</v>
      </c>
      <c r="DC740">
        <v>16.332519999999999</v>
      </c>
      <c r="DD740" t="s">
        <v>125</v>
      </c>
      <c r="DE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Q740" t="s">
        <v>126</v>
      </c>
    </row>
    <row r="741" spans="1:121" x14ac:dyDescent="0.15">
      <c r="A741">
        <v>2018</v>
      </c>
      <c r="B741" t="s">
        <v>150</v>
      </c>
      <c r="C741" t="str">
        <f t="shared" si="30"/>
        <v>1010011</v>
      </c>
      <c r="D741" t="s">
        <v>896</v>
      </c>
      <c r="E741" t="str">
        <f>"1010211"</f>
        <v>1010211</v>
      </c>
      <c r="F741" t="s">
        <v>328</v>
      </c>
      <c r="G741" t="s">
        <v>339</v>
      </c>
      <c r="H741">
        <v>5</v>
      </c>
      <c r="I741" t="s">
        <v>336</v>
      </c>
      <c r="J741" t="s">
        <v>331</v>
      </c>
      <c r="K741">
        <v>626.95238199999994</v>
      </c>
      <c r="L741">
        <v>850</v>
      </c>
      <c r="M741">
        <v>73.759103999999994</v>
      </c>
      <c r="N741">
        <v>2</v>
      </c>
      <c r="O741">
        <v>0</v>
      </c>
      <c r="P741">
        <v>76.374701999999999</v>
      </c>
      <c r="Q741">
        <v>50</v>
      </c>
      <c r="R741">
        <v>50</v>
      </c>
      <c r="S741">
        <v>67.007772000000003</v>
      </c>
      <c r="T741">
        <v>75</v>
      </c>
      <c r="U741">
        <v>44.671847999999997</v>
      </c>
      <c r="V741">
        <v>50</v>
      </c>
      <c r="W741">
        <v>77.077888999999999</v>
      </c>
      <c r="X741">
        <v>50</v>
      </c>
      <c r="Y741">
        <v>50</v>
      </c>
      <c r="Z741">
        <v>75</v>
      </c>
      <c r="AA741">
        <v>68.446073999999996</v>
      </c>
      <c r="AB741">
        <v>45.630716</v>
      </c>
      <c r="AC741">
        <v>50</v>
      </c>
      <c r="AD741">
        <v>73.522581000000002</v>
      </c>
      <c r="AE741">
        <v>49.015053999999999</v>
      </c>
      <c r="AF741">
        <v>50</v>
      </c>
      <c r="AG741">
        <v>67.901934999999995</v>
      </c>
      <c r="AH741">
        <v>75</v>
      </c>
      <c r="AI741">
        <v>45.267957000000003</v>
      </c>
      <c r="AJ741">
        <v>50</v>
      </c>
      <c r="AK741">
        <v>7.99</v>
      </c>
      <c r="AL741">
        <v>6.55</v>
      </c>
      <c r="AM741">
        <v>7.09</v>
      </c>
      <c r="AN741">
        <v>0.57193000000000005</v>
      </c>
      <c r="AO741">
        <v>57.192990000000002</v>
      </c>
      <c r="AP741">
        <v>100</v>
      </c>
      <c r="AQ741">
        <v>0.65746300000000002</v>
      </c>
      <c r="AR741">
        <v>65.746335999999999</v>
      </c>
      <c r="AS741">
        <v>100</v>
      </c>
      <c r="AT741">
        <v>0.50162200000000001</v>
      </c>
      <c r="AU741">
        <v>0.60648800000000003</v>
      </c>
      <c r="AV741">
        <v>50.162177999999997</v>
      </c>
      <c r="AW741">
        <v>100</v>
      </c>
      <c r="AX741">
        <v>0.476524</v>
      </c>
      <c r="AY741">
        <v>0.74639999999999995</v>
      </c>
      <c r="AZ741">
        <v>47.6524</v>
      </c>
      <c r="BA741">
        <v>100</v>
      </c>
      <c r="BB741" t="s">
        <v>125</v>
      </c>
      <c r="BC741" t="s">
        <v>125</v>
      </c>
      <c r="BD741" t="s">
        <v>125</v>
      </c>
      <c r="BE741" t="s">
        <v>125</v>
      </c>
      <c r="BF741" t="s">
        <v>125</v>
      </c>
      <c r="BG741" t="s">
        <v>125</v>
      </c>
      <c r="BH741">
        <v>0</v>
      </c>
      <c r="BI741">
        <v>0.99236599999999997</v>
      </c>
      <c r="BJ741">
        <v>0.97777800000000004</v>
      </c>
      <c r="BK741">
        <v>1</v>
      </c>
      <c r="BL741">
        <v>0.99236599999999997</v>
      </c>
      <c r="BM741">
        <v>0.97777800000000004</v>
      </c>
      <c r="BN741">
        <v>1</v>
      </c>
      <c r="BO741">
        <v>1</v>
      </c>
      <c r="BP741">
        <v>1</v>
      </c>
      <c r="BQ741">
        <v>1</v>
      </c>
      <c r="BR741">
        <v>4.8148000000000003E-2</v>
      </c>
      <c r="BS741">
        <v>50</v>
      </c>
      <c r="BT741">
        <v>50</v>
      </c>
      <c r="BU741">
        <v>7.5269000000000003E-2</v>
      </c>
      <c r="BV741">
        <v>44.946237000000004</v>
      </c>
      <c r="BW741">
        <v>50</v>
      </c>
      <c r="BX741" t="s">
        <v>125</v>
      </c>
      <c r="BY741" t="s">
        <v>125</v>
      </c>
      <c r="BZ741" t="s">
        <v>125</v>
      </c>
      <c r="CA741" t="s">
        <v>125</v>
      </c>
      <c r="CB741" t="s">
        <v>125</v>
      </c>
      <c r="CC741" t="s">
        <v>125</v>
      </c>
      <c r="CD741" t="s">
        <v>125</v>
      </c>
      <c r="CE741" t="s">
        <v>125</v>
      </c>
      <c r="CF741" t="s">
        <v>125</v>
      </c>
      <c r="CG741" t="s">
        <v>125</v>
      </c>
      <c r="CH741" t="s">
        <v>125</v>
      </c>
      <c r="CI741" t="s">
        <v>125</v>
      </c>
      <c r="CJ741" t="s">
        <v>125</v>
      </c>
      <c r="CK741" t="s">
        <v>125</v>
      </c>
      <c r="CL741" t="s">
        <v>125</v>
      </c>
      <c r="CM741" t="s">
        <v>125</v>
      </c>
      <c r="CN741" t="s">
        <v>125</v>
      </c>
      <c r="CO741" t="s">
        <v>125</v>
      </c>
      <c r="CP741" t="s">
        <v>125</v>
      </c>
      <c r="CQ741">
        <v>0.4</v>
      </c>
      <c r="CR741">
        <v>0.94594599999999995</v>
      </c>
      <c r="CS741">
        <v>26.666667</v>
      </c>
      <c r="CT741">
        <v>50</v>
      </c>
      <c r="CU741" t="s">
        <v>125</v>
      </c>
      <c r="CV741" t="s">
        <v>125</v>
      </c>
      <c r="CW741" t="s">
        <v>125</v>
      </c>
      <c r="CX741" t="s">
        <v>125</v>
      </c>
      <c r="CY741" t="s">
        <v>125</v>
      </c>
      <c r="CZ741" t="s">
        <v>125</v>
      </c>
      <c r="DA741">
        <v>15.314097</v>
      </c>
      <c r="DB741">
        <v>17.400950000000002</v>
      </c>
      <c r="DC741">
        <v>16.332519999999999</v>
      </c>
      <c r="DD741" t="s">
        <v>125</v>
      </c>
      <c r="DE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Q741" t="s">
        <v>126</v>
      </c>
    </row>
    <row r="742" spans="1:121" x14ac:dyDescent="0.15">
      <c r="A742">
        <v>2018</v>
      </c>
      <c r="B742" t="s">
        <v>150</v>
      </c>
      <c r="C742" t="str">
        <f t="shared" si="30"/>
        <v>1010011</v>
      </c>
      <c r="D742" t="s">
        <v>897</v>
      </c>
      <c r="E742" t="str">
        <f>"1016111"</f>
        <v>1016111</v>
      </c>
      <c r="F742" t="s">
        <v>328</v>
      </c>
      <c r="G742">
        <v>9</v>
      </c>
      <c r="H742">
        <v>12</v>
      </c>
      <c r="I742" t="s">
        <v>336</v>
      </c>
      <c r="J742" t="s">
        <v>331</v>
      </c>
      <c r="K742">
        <v>1108.8960549999999</v>
      </c>
      <c r="L742">
        <v>1450</v>
      </c>
      <c r="M742">
        <v>76.475589999999997</v>
      </c>
      <c r="N742">
        <v>3</v>
      </c>
      <c r="O742">
        <v>0</v>
      </c>
      <c r="P742">
        <v>58.191083999999996</v>
      </c>
      <c r="Q742">
        <v>116.38216799999999</v>
      </c>
      <c r="R742">
        <v>150</v>
      </c>
      <c r="S742">
        <v>50.581831999999999</v>
      </c>
      <c r="T742">
        <v>61.427202999999999</v>
      </c>
      <c r="U742">
        <v>101.163664</v>
      </c>
      <c r="V742">
        <v>150</v>
      </c>
      <c r="W742">
        <v>55.719534000000003</v>
      </c>
      <c r="X742">
        <v>111.43906800000001</v>
      </c>
      <c r="Y742">
        <v>150</v>
      </c>
      <c r="Z742">
        <v>59.330460000000002</v>
      </c>
      <c r="AA742">
        <v>47.228979000000002</v>
      </c>
      <c r="AB742">
        <v>94.457958000000005</v>
      </c>
      <c r="AC742">
        <v>150</v>
      </c>
      <c r="AD742">
        <v>57.598821000000001</v>
      </c>
      <c r="AE742">
        <v>76.798428999999999</v>
      </c>
      <c r="AF742">
        <v>100</v>
      </c>
      <c r="AG742">
        <v>52.506602999999998</v>
      </c>
      <c r="AH742">
        <v>59.785311</v>
      </c>
      <c r="AI742">
        <v>70.008803999999998</v>
      </c>
      <c r="AJ742">
        <v>100</v>
      </c>
      <c r="AK742">
        <v>10.84</v>
      </c>
      <c r="AL742">
        <v>12.1</v>
      </c>
      <c r="AM742">
        <v>7.27</v>
      </c>
      <c r="AN742" t="s">
        <v>125</v>
      </c>
      <c r="AO742" t="s">
        <v>125</v>
      </c>
      <c r="AP742" t="s">
        <v>125</v>
      </c>
      <c r="AQ742" t="s">
        <v>125</v>
      </c>
      <c r="AR742" t="s">
        <v>125</v>
      </c>
      <c r="AS742" t="s">
        <v>125</v>
      </c>
      <c r="AT742" t="s">
        <v>125</v>
      </c>
      <c r="AU742" t="s">
        <v>125</v>
      </c>
      <c r="AV742" t="s">
        <v>125</v>
      </c>
      <c r="AW742" t="s">
        <v>125</v>
      </c>
      <c r="AX742" t="s">
        <v>125</v>
      </c>
      <c r="AY742" t="s">
        <v>125</v>
      </c>
      <c r="AZ742" t="s">
        <v>125</v>
      </c>
      <c r="BA742" t="s">
        <v>125</v>
      </c>
      <c r="BB742" t="s">
        <v>125</v>
      </c>
      <c r="BC742" t="s">
        <v>125</v>
      </c>
      <c r="BD742" t="s">
        <v>125</v>
      </c>
      <c r="BE742" t="s">
        <v>125</v>
      </c>
      <c r="BF742" t="s">
        <v>125</v>
      </c>
      <c r="BG742" t="s">
        <v>125</v>
      </c>
      <c r="BH742">
        <v>1</v>
      </c>
      <c r="BI742">
        <v>0.96551699999999996</v>
      </c>
      <c r="BJ742">
        <v>0.91357999999999995</v>
      </c>
      <c r="BK742">
        <v>0.98888900000000002</v>
      </c>
      <c r="BL742">
        <v>0.96551699999999996</v>
      </c>
      <c r="BM742">
        <v>0.91357999999999995</v>
      </c>
      <c r="BN742">
        <v>0.98888900000000002</v>
      </c>
      <c r="BO742">
        <v>0.980769</v>
      </c>
      <c r="BP742">
        <v>0.96202500000000002</v>
      </c>
      <c r="BQ742">
        <v>0.98895</v>
      </c>
      <c r="BR742">
        <v>8.4221000000000004E-2</v>
      </c>
      <c r="BS742">
        <v>43.155856999999997</v>
      </c>
      <c r="BT742">
        <v>50</v>
      </c>
      <c r="BU742">
        <v>0.17607999999999999</v>
      </c>
      <c r="BV742">
        <v>24.784053</v>
      </c>
      <c r="BW742">
        <v>50</v>
      </c>
      <c r="BX742">
        <v>0.55360600000000004</v>
      </c>
      <c r="BY742">
        <v>36.907083</v>
      </c>
      <c r="BZ742">
        <v>50</v>
      </c>
      <c r="CA742">
        <v>0.49512699999999998</v>
      </c>
      <c r="CB742">
        <v>33.008446999999997</v>
      </c>
      <c r="CC742">
        <v>50</v>
      </c>
      <c r="CD742">
        <v>0.953237</v>
      </c>
      <c r="CE742">
        <v>50</v>
      </c>
      <c r="CF742">
        <v>50</v>
      </c>
      <c r="CG742">
        <v>0.95833299999999999</v>
      </c>
      <c r="CH742">
        <v>100</v>
      </c>
      <c r="CI742">
        <v>100</v>
      </c>
      <c r="CJ742">
        <v>0</v>
      </c>
      <c r="CK742">
        <v>0.875</v>
      </c>
      <c r="CL742">
        <v>93.085105999999996</v>
      </c>
      <c r="CM742">
        <v>100</v>
      </c>
      <c r="CN742">
        <v>0.84745800000000004</v>
      </c>
      <c r="CO742">
        <v>100</v>
      </c>
      <c r="CP742">
        <v>100</v>
      </c>
      <c r="CQ742">
        <v>0.40454499999999999</v>
      </c>
      <c r="CR742">
        <v>0.90534999999999999</v>
      </c>
      <c r="CS742">
        <v>26.969697</v>
      </c>
      <c r="CT742">
        <v>50</v>
      </c>
      <c r="CU742">
        <v>0.36882900000000002</v>
      </c>
      <c r="CV742">
        <v>30.735721000000002</v>
      </c>
      <c r="CW742">
        <v>50</v>
      </c>
      <c r="CX742">
        <v>0.875</v>
      </c>
      <c r="CY742">
        <v>0.94</v>
      </c>
      <c r="CZ742">
        <v>6.5000000000000002E-2</v>
      </c>
      <c r="DA742">
        <v>15.314097</v>
      </c>
      <c r="DB742">
        <v>17.400950000000002</v>
      </c>
      <c r="DC742">
        <v>16.332519999999999</v>
      </c>
      <c r="DD742">
        <v>7.9891730000000001</v>
      </c>
      <c r="DE742">
        <v>1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Q742" t="s">
        <v>126</v>
      </c>
    </row>
    <row r="743" spans="1:121" x14ac:dyDescent="0.15">
      <c r="A743">
        <v>2018</v>
      </c>
      <c r="B743" t="s">
        <v>150</v>
      </c>
      <c r="C743" t="str">
        <f t="shared" si="30"/>
        <v>1010011</v>
      </c>
      <c r="D743" t="s">
        <v>898</v>
      </c>
      <c r="E743" t="str">
        <f>"1015211"</f>
        <v>1015211</v>
      </c>
      <c r="F743" t="s">
        <v>328</v>
      </c>
      <c r="G743">
        <v>6</v>
      </c>
      <c r="H743">
        <v>8</v>
      </c>
      <c r="I743" t="s">
        <v>336</v>
      </c>
      <c r="J743" t="s">
        <v>331</v>
      </c>
      <c r="K743">
        <v>660.73914300000001</v>
      </c>
      <c r="L743">
        <v>900</v>
      </c>
      <c r="M743">
        <v>73.415459999999996</v>
      </c>
      <c r="N743">
        <v>2</v>
      </c>
      <c r="O743">
        <v>0</v>
      </c>
      <c r="P743">
        <v>76.740710000000007</v>
      </c>
      <c r="Q743">
        <v>50</v>
      </c>
      <c r="R743">
        <v>50</v>
      </c>
      <c r="S743">
        <v>63.728144</v>
      </c>
      <c r="T743">
        <v>75</v>
      </c>
      <c r="U743">
        <v>42.485429000000003</v>
      </c>
      <c r="V743">
        <v>50</v>
      </c>
      <c r="W743">
        <v>71.789154999999994</v>
      </c>
      <c r="X743">
        <v>47.859436000000002</v>
      </c>
      <c r="Y743">
        <v>50</v>
      </c>
      <c r="Z743">
        <v>75</v>
      </c>
      <c r="AA743">
        <v>60.086965999999997</v>
      </c>
      <c r="AB743">
        <v>40.057977999999999</v>
      </c>
      <c r="AC743">
        <v>50</v>
      </c>
      <c r="AD743">
        <v>66.266750000000002</v>
      </c>
      <c r="AE743">
        <v>44.177833</v>
      </c>
      <c r="AF743">
        <v>50</v>
      </c>
      <c r="AG743">
        <v>59.299962000000001</v>
      </c>
      <c r="AH743">
        <v>68.962232999999998</v>
      </c>
      <c r="AI743">
        <v>39.533307999999998</v>
      </c>
      <c r="AJ743">
        <v>50</v>
      </c>
      <c r="AK743">
        <v>11.27</v>
      </c>
      <c r="AL743">
        <v>14.91</v>
      </c>
      <c r="AM743">
        <v>9.66</v>
      </c>
      <c r="AN743">
        <v>0.63134999999999997</v>
      </c>
      <c r="AO743">
        <v>63.135043000000003</v>
      </c>
      <c r="AP743">
        <v>100</v>
      </c>
      <c r="AQ743">
        <v>0.66675300000000004</v>
      </c>
      <c r="AR743">
        <v>66.675279000000003</v>
      </c>
      <c r="AS743">
        <v>100</v>
      </c>
      <c r="AT743">
        <v>0.54178300000000001</v>
      </c>
      <c r="AU743">
        <v>0.66425599999999996</v>
      </c>
      <c r="AV743">
        <v>54.178311999999998</v>
      </c>
      <c r="AW743">
        <v>100</v>
      </c>
      <c r="AX743">
        <v>0.59817600000000004</v>
      </c>
      <c r="AY743">
        <v>0.69191100000000005</v>
      </c>
      <c r="AZ743">
        <v>59.817554000000001</v>
      </c>
      <c r="BA743">
        <v>100</v>
      </c>
      <c r="BB743" t="s">
        <v>125</v>
      </c>
      <c r="BC743" t="s">
        <v>125</v>
      </c>
      <c r="BD743" t="s">
        <v>125</v>
      </c>
      <c r="BE743" t="s">
        <v>125</v>
      </c>
      <c r="BF743" t="s">
        <v>125</v>
      </c>
      <c r="BG743" t="s">
        <v>125</v>
      </c>
      <c r="BH743">
        <v>0</v>
      </c>
      <c r="BI743">
        <v>0.98639500000000002</v>
      </c>
      <c r="BJ743">
        <v>0.96803700000000004</v>
      </c>
      <c r="BK743">
        <v>0.99418600000000001</v>
      </c>
      <c r="BL743">
        <v>0.98367300000000002</v>
      </c>
      <c r="BM743">
        <v>0.96347000000000005</v>
      </c>
      <c r="BN743">
        <v>0.99224800000000002</v>
      </c>
      <c r="BO743">
        <v>0.99152499999999999</v>
      </c>
      <c r="BP743">
        <v>0.97058800000000001</v>
      </c>
      <c r="BQ743">
        <v>1</v>
      </c>
      <c r="BR743">
        <v>8.2992999999999997E-2</v>
      </c>
      <c r="BS743">
        <v>43.401361000000001</v>
      </c>
      <c r="BT743">
        <v>50</v>
      </c>
      <c r="BU743">
        <v>0.16744200000000001</v>
      </c>
      <c r="BV743">
        <v>26.511628000000002</v>
      </c>
      <c r="BW743">
        <v>50</v>
      </c>
      <c r="BX743" t="s">
        <v>125</v>
      </c>
      <c r="BY743" t="s">
        <v>125</v>
      </c>
      <c r="BZ743" t="s">
        <v>125</v>
      </c>
      <c r="CA743" t="s">
        <v>125</v>
      </c>
      <c r="CB743" t="s">
        <v>125</v>
      </c>
      <c r="CC743" t="s">
        <v>125</v>
      </c>
      <c r="CD743">
        <v>0.97769499999999998</v>
      </c>
      <c r="CE743">
        <v>50</v>
      </c>
      <c r="CF743">
        <v>50</v>
      </c>
      <c r="CG743" t="s">
        <v>125</v>
      </c>
      <c r="CH743" t="s">
        <v>125</v>
      </c>
      <c r="CI743" t="s">
        <v>125</v>
      </c>
      <c r="CJ743" t="s">
        <v>125</v>
      </c>
      <c r="CK743" t="s">
        <v>125</v>
      </c>
      <c r="CL743" t="s">
        <v>125</v>
      </c>
      <c r="CM743" t="s">
        <v>125</v>
      </c>
      <c r="CN743" t="s">
        <v>125</v>
      </c>
      <c r="CO743" t="s">
        <v>125</v>
      </c>
      <c r="CP743" t="s">
        <v>125</v>
      </c>
      <c r="CQ743">
        <v>0.49358999999999997</v>
      </c>
      <c r="CR743">
        <v>0.93975900000000001</v>
      </c>
      <c r="CS743">
        <v>32.905982999999999</v>
      </c>
      <c r="CT743">
        <v>50</v>
      </c>
      <c r="CU743" t="s">
        <v>125</v>
      </c>
      <c r="CV743" t="s">
        <v>125</v>
      </c>
      <c r="CW743" t="s">
        <v>125</v>
      </c>
      <c r="CX743" t="s">
        <v>125</v>
      </c>
      <c r="CY743" t="s">
        <v>125</v>
      </c>
      <c r="CZ743" t="s">
        <v>125</v>
      </c>
      <c r="DA743">
        <v>15.314097</v>
      </c>
      <c r="DB743">
        <v>17.400950000000002</v>
      </c>
      <c r="DC743">
        <v>16.332519999999999</v>
      </c>
      <c r="DD743" t="s">
        <v>125</v>
      </c>
      <c r="DE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Q743" t="s">
        <v>126</v>
      </c>
    </row>
    <row r="744" spans="1:121" x14ac:dyDescent="0.15">
      <c r="A744">
        <v>2018</v>
      </c>
      <c r="B744" t="s">
        <v>150</v>
      </c>
      <c r="C744" t="str">
        <f t="shared" si="30"/>
        <v>1010011</v>
      </c>
      <c r="D744" t="s">
        <v>899</v>
      </c>
      <c r="E744" t="str">
        <f>"1010311"</f>
        <v>1010311</v>
      </c>
      <c r="F744" t="s">
        <v>328</v>
      </c>
      <c r="G744" t="s">
        <v>339</v>
      </c>
      <c r="H744">
        <v>5</v>
      </c>
      <c r="J744" t="s">
        <v>331</v>
      </c>
      <c r="K744">
        <v>607.95676900000001</v>
      </c>
      <c r="L744">
        <v>800</v>
      </c>
      <c r="M744">
        <v>75.994596000000001</v>
      </c>
      <c r="N744">
        <v>2</v>
      </c>
      <c r="O744">
        <v>0</v>
      </c>
      <c r="P744">
        <v>82.336917999999997</v>
      </c>
      <c r="Q744">
        <v>50</v>
      </c>
      <c r="R744">
        <v>50</v>
      </c>
      <c r="S744">
        <v>71.116902999999994</v>
      </c>
      <c r="T744">
        <v>75</v>
      </c>
      <c r="U744">
        <v>47.411268999999997</v>
      </c>
      <c r="V744">
        <v>50</v>
      </c>
      <c r="W744">
        <v>77.486323999999996</v>
      </c>
      <c r="X744">
        <v>50</v>
      </c>
      <c r="Y744">
        <v>50</v>
      </c>
      <c r="Z744">
        <v>75</v>
      </c>
      <c r="AA744">
        <v>67.433485000000005</v>
      </c>
      <c r="AB744">
        <v>44.955657000000002</v>
      </c>
      <c r="AC744">
        <v>50</v>
      </c>
      <c r="AD744">
        <v>71.082543000000001</v>
      </c>
      <c r="AE744">
        <v>47.388362000000001</v>
      </c>
      <c r="AF744">
        <v>50</v>
      </c>
      <c r="AG744" t="s">
        <v>125</v>
      </c>
      <c r="AH744">
        <v>74.834760000000003</v>
      </c>
      <c r="AI744" t="s">
        <v>125</v>
      </c>
      <c r="AJ744" t="s">
        <v>125</v>
      </c>
      <c r="AK744">
        <v>3.88</v>
      </c>
      <c r="AL744">
        <v>7.56</v>
      </c>
      <c r="AM744" t="s">
        <v>125</v>
      </c>
      <c r="AN744">
        <v>0.74183100000000002</v>
      </c>
      <c r="AO744">
        <v>74.183093</v>
      </c>
      <c r="AP744">
        <v>100</v>
      </c>
      <c r="AQ744">
        <v>0.65493199999999996</v>
      </c>
      <c r="AR744">
        <v>65.493224999999995</v>
      </c>
      <c r="AS744">
        <v>100</v>
      </c>
      <c r="AT744">
        <v>0.53911600000000004</v>
      </c>
      <c r="AU744">
        <v>0.80692299999999995</v>
      </c>
      <c r="AV744">
        <v>53.911562000000004</v>
      </c>
      <c r="AW744">
        <v>100</v>
      </c>
      <c r="AX744">
        <v>0.52790599999999999</v>
      </c>
      <c r="AY744">
        <v>0.69572100000000003</v>
      </c>
      <c r="AZ744">
        <v>52.790556000000002</v>
      </c>
      <c r="BA744">
        <v>100</v>
      </c>
      <c r="BB744" t="s">
        <v>125</v>
      </c>
      <c r="BC744" t="s">
        <v>125</v>
      </c>
      <c r="BD744" t="s">
        <v>125</v>
      </c>
      <c r="BE744" t="s">
        <v>125</v>
      </c>
      <c r="BF744" t="s">
        <v>125</v>
      </c>
      <c r="BG744" t="s">
        <v>125</v>
      </c>
      <c r="BH744">
        <v>0</v>
      </c>
      <c r="BI744">
        <v>0.98181799999999997</v>
      </c>
      <c r="BJ744">
        <v>0.95384599999999997</v>
      </c>
      <c r="BK744">
        <v>0.99354799999999999</v>
      </c>
      <c r="BL744">
        <v>0.97727299999999995</v>
      </c>
      <c r="BM744">
        <v>0.95384599999999997</v>
      </c>
      <c r="BN744">
        <v>0.987097</v>
      </c>
      <c r="BO744">
        <v>0.98571399999999998</v>
      </c>
      <c r="BP744">
        <v>0.95</v>
      </c>
      <c r="BQ744">
        <v>1</v>
      </c>
      <c r="BR744">
        <v>4.1131000000000001E-2</v>
      </c>
      <c r="BS744">
        <v>50</v>
      </c>
      <c r="BT744">
        <v>50</v>
      </c>
      <c r="BU744">
        <v>9.2784000000000005E-2</v>
      </c>
      <c r="BV744">
        <v>41.443299000000003</v>
      </c>
      <c r="BW744">
        <v>50</v>
      </c>
      <c r="BX744" t="s">
        <v>125</v>
      </c>
      <c r="BY744" t="s">
        <v>125</v>
      </c>
      <c r="BZ744" t="s">
        <v>125</v>
      </c>
      <c r="CA744" t="s">
        <v>125</v>
      </c>
      <c r="CB744" t="s">
        <v>125</v>
      </c>
      <c r="CC744" t="s">
        <v>125</v>
      </c>
      <c r="CD744" t="s">
        <v>125</v>
      </c>
      <c r="CE744" t="s">
        <v>125</v>
      </c>
      <c r="CF744" t="s">
        <v>125</v>
      </c>
      <c r="CG744" t="s">
        <v>125</v>
      </c>
      <c r="CH744" t="s">
        <v>125</v>
      </c>
      <c r="CI744" t="s">
        <v>125</v>
      </c>
      <c r="CJ744" t="s">
        <v>125</v>
      </c>
      <c r="CK744" t="s">
        <v>125</v>
      </c>
      <c r="CL744" t="s">
        <v>125</v>
      </c>
      <c r="CM744" t="s">
        <v>125</v>
      </c>
      <c r="CN744" t="s">
        <v>125</v>
      </c>
      <c r="CO744" t="s">
        <v>125</v>
      </c>
      <c r="CP744" t="s">
        <v>125</v>
      </c>
      <c r="CQ744">
        <v>0.45569599999999999</v>
      </c>
      <c r="CR744">
        <v>0.97530899999999998</v>
      </c>
      <c r="CS744">
        <v>30.379746999999998</v>
      </c>
      <c r="CT744">
        <v>50</v>
      </c>
      <c r="CU744" t="s">
        <v>125</v>
      </c>
      <c r="CV744" t="s">
        <v>125</v>
      </c>
      <c r="CW744" t="s">
        <v>125</v>
      </c>
      <c r="CX744" t="s">
        <v>125</v>
      </c>
      <c r="CY744" t="s">
        <v>125</v>
      </c>
      <c r="CZ744" t="s">
        <v>125</v>
      </c>
      <c r="DA744">
        <v>15.314097</v>
      </c>
      <c r="DB744">
        <v>17.400950000000002</v>
      </c>
      <c r="DC744">
        <v>16.332519999999999</v>
      </c>
      <c r="DD744" t="s">
        <v>125</v>
      </c>
      <c r="DE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Q744" t="s">
        <v>126</v>
      </c>
    </row>
    <row r="745" spans="1:121" x14ac:dyDescent="0.15">
      <c r="A745">
        <v>2018</v>
      </c>
      <c r="B745" t="s">
        <v>134</v>
      </c>
      <c r="C745" t="str">
        <f>"1020011"</f>
        <v>1020011</v>
      </c>
      <c r="D745" t="s">
        <v>900</v>
      </c>
      <c r="E745" t="str">
        <f>"1020111"</f>
        <v>1020111</v>
      </c>
      <c r="F745" t="s">
        <v>328</v>
      </c>
      <c r="G745" t="s">
        <v>329</v>
      </c>
      <c r="H745">
        <v>5</v>
      </c>
      <c r="J745" t="s">
        <v>331</v>
      </c>
      <c r="K745">
        <v>499.72402199999999</v>
      </c>
      <c r="L745">
        <v>600</v>
      </c>
      <c r="M745">
        <v>83.287336999999994</v>
      </c>
      <c r="N745">
        <v>2</v>
      </c>
      <c r="O745">
        <v>0</v>
      </c>
      <c r="P745">
        <v>82.136207999999996</v>
      </c>
      <c r="Q745">
        <v>50</v>
      </c>
      <c r="R745">
        <v>50</v>
      </c>
      <c r="S745">
        <v>68.417524</v>
      </c>
      <c r="T745">
        <v>75</v>
      </c>
      <c r="U745">
        <v>45.611682000000002</v>
      </c>
      <c r="V745">
        <v>50</v>
      </c>
      <c r="W745">
        <v>86.304895999999999</v>
      </c>
      <c r="X745">
        <v>50</v>
      </c>
      <c r="Y745">
        <v>50</v>
      </c>
      <c r="Z745">
        <v>75</v>
      </c>
      <c r="AA745">
        <v>72.983395999999999</v>
      </c>
      <c r="AB745">
        <v>48.655597</v>
      </c>
      <c r="AC745">
        <v>50</v>
      </c>
      <c r="AD745">
        <v>82.896152000000001</v>
      </c>
      <c r="AE745">
        <v>50</v>
      </c>
      <c r="AF745">
        <v>50</v>
      </c>
      <c r="AG745" t="s">
        <v>125</v>
      </c>
      <c r="AH745">
        <v>75</v>
      </c>
      <c r="AI745" t="s">
        <v>125</v>
      </c>
      <c r="AJ745" t="s">
        <v>125</v>
      </c>
      <c r="AK745">
        <v>6.58</v>
      </c>
      <c r="AL745">
        <v>2.0099999999999998</v>
      </c>
      <c r="AM745" t="s">
        <v>125</v>
      </c>
      <c r="AN745">
        <v>0.70984999999999998</v>
      </c>
      <c r="AO745">
        <v>70.984984999999995</v>
      </c>
      <c r="AP745">
        <v>100</v>
      </c>
      <c r="AQ745">
        <v>0.84549799999999997</v>
      </c>
      <c r="AR745">
        <v>84.549771000000007</v>
      </c>
      <c r="AS745">
        <v>100</v>
      </c>
      <c r="AT745" t="s">
        <v>125</v>
      </c>
      <c r="AU745">
        <v>0.74279799999999996</v>
      </c>
      <c r="AV745" t="s">
        <v>125</v>
      </c>
      <c r="AW745" t="s">
        <v>125</v>
      </c>
      <c r="AX745" t="s">
        <v>125</v>
      </c>
      <c r="AY745">
        <v>0.86219400000000002</v>
      </c>
      <c r="AZ745" t="s">
        <v>125</v>
      </c>
      <c r="BA745" t="s">
        <v>125</v>
      </c>
      <c r="BB745" t="s">
        <v>125</v>
      </c>
      <c r="BC745" t="s">
        <v>125</v>
      </c>
      <c r="BD745" t="s">
        <v>125</v>
      </c>
      <c r="BE745" t="s">
        <v>125</v>
      </c>
      <c r="BF745" t="s">
        <v>125</v>
      </c>
      <c r="BG745" t="s">
        <v>125</v>
      </c>
      <c r="BH745">
        <v>0</v>
      </c>
      <c r="BI745">
        <v>0.98870100000000005</v>
      </c>
      <c r="BJ745">
        <v>1</v>
      </c>
      <c r="BK745">
        <v>0.98601399999999995</v>
      </c>
      <c r="BL745">
        <v>0.98870100000000005</v>
      </c>
      <c r="BM745">
        <v>1</v>
      </c>
      <c r="BN745">
        <v>0.98601399999999995</v>
      </c>
      <c r="BO745">
        <v>1</v>
      </c>
      <c r="BP745" t="s">
        <v>125</v>
      </c>
      <c r="BQ745">
        <v>1</v>
      </c>
      <c r="BR745">
        <v>5.9700999999999997E-2</v>
      </c>
      <c r="BS745">
        <v>48.059700999999997</v>
      </c>
      <c r="BT745">
        <v>50</v>
      </c>
      <c r="BU745">
        <v>0.111111</v>
      </c>
      <c r="BV745">
        <v>37.777777999999998</v>
      </c>
      <c r="BW745">
        <v>50</v>
      </c>
      <c r="BX745" t="s">
        <v>125</v>
      </c>
      <c r="BY745" t="s">
        <v>125</v>
      </c>
      <c r="BZ745" t="s">
        <v>125</v>
      </c>
      <c r="CA745" t="s">
        <v>125</v>
      </c>
      <c r="CB745" t="s">
        <v>125</v>
      </c>
      <c r="CC745" t="s">
        <v>125</v>
      </c>
      <c r="CD745" t="s">
        <v>125</v>
      </c>
      <c r="CE745" t="s">
        <v>125</v>
      </c>
      <c r="CF745" t="s">
        <v>125</v>
      </c>
      <c r="CG745" t="s">
        <v>125</v>
      </c>
      <c r="CH745" t="s">
        <v>125</v>
      </c>
      <c r="CI745" t="s">
        <v>125</v>
      </c>
      <c r="CJ745" t="s">
        <v>125</v>
      </c>
      <c r="CK745" t="s">
        <v>125</v>
      </c>
      <c r="CL745" t="s">
        <v>125</v>
      </c>
      <c r="CM745" t="s">
        <v>125</v>
      </c>
      <c r="CN745" t="s">
        <v>125</v>
      </c>
      <c r="CO745" t="s">
        <v>125</v>
      </c>
      <c r="CP745" t="s">
        <v>125</v>
      </c>
      <c r="CQ745">
        <v>0.21126800000000001</v>
      </c>
      <c r="CR745">
        <v>1.163934</v>
      </c>
      <c r="CS745">
        <v>14.084507</v>
      </c>
      <c r="CT745">
        <v>50</v>
      </c>
      <c r="CU745" t="s">
        <v>125</v>
      </c>
      <c r="CV745" t="s">
        <v>125</v>
      </c>
      <c r="CW745" t="s">
        <v>125</v>
      </c>
      <c r="CX745" t="s">
        <v>125</v>
      </c>
      <c r="CY745" t="s">
        <v>125</v>
      </c>
      <c r="CZ745" t="s">
        <v>125</v>
      </c>
      <c r="DA745">
        <v>15.314097</v>
      </c>
      <c r="DB745">
        <v>17.400950000000002</v>
      </c>
      <c r="DC745">
        <v>16.332519999999999</v>
      </c>
      <c r="DD745" t="s">
        <v>125</v>
      </c>
      <c r="DE745">
        <v>0</v>
      </c>
      <c r="DH745" t="s">
        <v>332</v>
      </c>
      <c r="DI745" t="s">
        <v>591</v>
      </c>
      <c r="DJ745">
        <v>0</v>
      </c>
      <c r="DK745">
        <v>0</v>
      </c>
      <c r="DL745">
        <v>1</v>
      </c>
      <c r="DM745">
        <v>0</v>
      </c>
      <c r="DN745">
        <v>0</v>
      </c>
      <c r="DO745">
        <v>0</v>
      </c>
      <c r="DQ745" t="s">
        <v>126</v>
      </c>
    </row>
    <row r="746" spans="1:121" x14ac:dyDescent="0.15">
      <c r="A746">
        <v>2018</v>
      </c>
      <c r="B746" t="s">
        <v>134</v>
      </c>
      <c r="C746" t="str">
        <f>"1020011"</f>
        <v>1020011</v>
      </c>
      <c r="D746" t="s">
        <v>901</v>
      </c>
      <c r="E746" t="str">
        <f>"1026111"</f>
        <v>1026111</v>
      </c>
      <c r="F746" t="s">
        <v>328</v>
      </c>
      <c r="G746">
        <v>6</v>
      </c>
      <c r="H746">
        <v>12</v>
      </c>
      <c r="I746" t="s">
        <v>330</v>
      </c>
      <c r="J746" t="s">
        <v>331</v>
      </c>
      <c r="K746">
        <v>916.45101099999999</v>
      </c>
      <c r="L746">
        <v>1200</v>
      </c>
      <c r="M746">
        <v>76.370918000000003</v>
      </c>
      <c r="N746">
        <v>4</v>
      </c>
      <c r="O746">
        <v>0</v>
      </c>
      <c r="P746">
        <v>77.484181000000007</v>
      </c>
      <c r="Q746">
        <v>50</v>
      </c>
      <c r="R746">
        <v>50</v>
      </c>
      <c r="S746">
        <v>66.636444999999995</v>
      </c>
      <c r="T746">
        <v>75</v>
      </c>
      <c r="U746">
        <v>44.424297000000003</v>
      </c>
      <c r="V746">
        <v>50</v>
      </c>
      <c r="W746">
        <v>71.073211000000001</v>
      </c>
      <c r="X746">
        <v>47.38214</v>
      </c>
      <c r="Y746">
        <v>50</v>
      </c>
      <c r="Z746">
        <v>73.663227000000006</v>
      </c>
      <c r="AA746">
        <v>58.753131000000003</v>
      </c>
      <c r="AB746">
        <v>39.168754</v>
      </c>
      <c r="AC746">
        <v>50</v>
      </c>
      <c r="AD746">
        <v>77.998153000000002</v>
      </c>
      <c r="AE746">
        <v>50</v>
      </c>
      <c r="AF746">
        <v>50</v>
      </c>
      <c r="AG746" t="s">
        <v>125</v>
      </c>
      <c r="AH746">
        <v>75</v>
      </c>
      <c r="AI746" t="s">
        <v>125</v>
      </c>
      <c r="AJ746" t="s">
        <v>125</v>
      </c>
      <c r="AK746">
        <v>8.36</v>
      </c>
      <c r="AL746">
        <v>14.91</v>
      </c>
      <c r="AM746" t="s">
        <v>125</v>
      </c>
      <c r="AN746">
        <v>0.63844199999999995</v>
      </c>
      <c r="AO746">
        <v>63.844158999999998</v>
      </c>
      <c r="AP746">
        <v>100</v>
      </c>
      <c r="AQ746">
        <v>0.57979599999999998</v>
      </c>
      <c r="AR746">
        <v>57.979593000000001</v>
      </c>
      <c r="AS746">
        <v>100</v>
      </c>
      <c r="AT746">
        <v>0.530111</v>
      </c>
      <c r="AU746">
        <v>0.65963700000000003</v>
      </c>
      <c r="AV746">
        <v>53.011136</v>
      </c>
      <c r="AW746">
        <v>100</v>
      </c>
      <c r="AX746">
        <v>0.35883900000000002</v>
      </c>
      <c r="AY746">
        <v>0.623027</v>
      </c>
      <c r="AZ746">
        <v>35.883949999999999</v>
      </c>
      <c r="BA746">
        <v>100</v>
      </c>
      <c r="BB746" t="s">
        <v>125</v>
      </c>
      <c r="BC746" t="s">
        <v>125</v>
      </c>
      <c r="BD746" t="s">
        <v>125</v>
      </c>
      <c r="BE746" t="s">
        <v>125</v>
      </c>
      <c r="BF746" t="s">
        <v>125</v>
      </c>
      <c r="BG746" t="s">
        <v>125</v>
      </c>
      <c r="BH746">
        <v>0</v>
      </c>
      <c r="BI746">
        <v>0.99078299999999997</v>
      </c>
      <c r="BJ746">
        <v>1</v>
      </c>
      <c r="BK746">
        <v>0.98876399999999998</v>
      </c>
      <c r="BL746">
        <v>0.99078299999999997</v>
      </c>
      <c r="BM746">
        <v>1</v>
      </c>
      <c r="BN746">
        <v>0.98876399999999998</v>
      </c>
      <c r="BO746">
        <v>1</v>
      </c>
      <c r="BP746" t="s">
        <v>125</v>
      </c>
      <c r="BQ746">
        <v>1</v>
      </c>
      <c r="BR746">
        <v>8.2644999999999996E-2</v>
      </c>
      <c r="BS746">
        <v>43.471074000000002</v>
      </c>
      <c r="BT746">
        <v>50</v>
      </c>
      <c r="BU746">
        <v>0.18072299999999999</v>
      </c>
      <c r="BV746">
        <v>23.855422000000001</v>
      </c>
      <c r="BW746">
        <v>50</v>
      </c>
      <c r="BX746">
        <v>0.69892500000000002</v>
      </c>
      <c r="BY746">
        <v>46.594982000000002</v>
      </c>
      <c r="BZ746">
        <v>50</v>
      </c>
      <c r="CA746">
        <v>0.54838699999999996</v>
      </c>
      <c r="CB746">
        <v>36.559139999999999</v>
      </c>
      <c r="CC746">
        <v>50</v>
      </c>
      <c r="CD746">
        <v>0.96521699999999999</v>
      </c>
      <c r="CE746">
        <v>50</v>
      </c>
      <c r="CF746">
        <v>50</v>
      </c>
      <c r="CG746">
        <v>0.93333299999999997</v>
      </c>
      <c r="CH746">
        <v>99.290779999999998</v>
      </c>
      <c r="CI746">
        <v>100</v>
      </c>
      <c r="CJ746">
        <v>0</v>
      </c>
      <c r="CK746" t="s">
        <v>125</v>
      </c>
      <c r="CL746" t="s">
        <v>125</v>
      </c>
      <c r="CM746" t="s">
        <v>125</v>
      </c>
      <c r="CN746">
        <v>0.68888899999999997</v>
      </c>
      <c r="CO746">
        <v>91.851851999999994</v>
      </c>
      <c r="CP746">
        <v>100</v>
      </c>
      <c r="CQ746">
        <v>0.497006</v>
      </c>
      <c r="CR746">
        <v>0.97660800000000003</v>
      </c>
      <c r="CS746">
        <v>33.133732999999999</v>
      </c>
      <c r="CT746">
        <v>50</v>
      </c>
      <c r="CU746">
        <v>0.60103600000000001</v>
      </c>
      <c r="CV746">
        <v>50</v>
      </c>
      <c r="CW746">
        <v>50</v>
      </c>
      <c r="CX746" t="s">
        <v>125</v>
      </c>
      <c r="CY746" t="s">
        <v>125</v>
      </c>
      <c r="CZ746" t="s">
        <v>125</v>
      </c>
      <c r="DA746">
        <v>15.314097</v>
      </c>
      <c r="DB746">
        <v>17.400950000000002</v>
      </c>
      <c r="DC746">
        <v>16.332519999999999</v>
      </c>
      <c r="DD746">
        <v>7.9891730000000001</v>
      </c>
      <c r="DE746">
        <v>0</v>
      </c>
      <c r="DF746" t="s">
        <v>385</v>
      </c>
      <c r="DG746" t="s">
        <v>418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Q746" t="s">
        <v>126</v>
      </c>
    </row>
    <row r="747" spans="1:121" x14ac:dyDescent="0.15">
      <c r="A747">
        <v>2018</v>
      </c>
      <c r="B747" t="s">
        <v>160</v>
      </c>
      <c r="C747" t="str">
        <f t="shared" ref="C747:C765" si="31">"1030011"</f>
        <v>1030011</v>
      </c>
      <c r="D747" t="s">
        <v>902</v>
      </c>
      <c r="E747" t="str">
        <f>"1036211"</f>
        <v>1036211</v>
      </c>
      <c r="F747" t="s">
        <v>328</v>
      </c>
      <c r="G747">
        <v>9</v>
      </c>
      <c r="H747">
        <v>12</v>
      </c>
      <c r="J747" t="s">
        <v>331</v>
      </c>
      <c r="K747">
        <v>1123.5122080000001</v>
      </c>
      <c r="L747">
        <v>1550</v>
      </c>
      <c r="M747">
        <v>72.484658999999994</v>
      </c>
      <c r="N747">
        <v>3</v>
      </c>
      <c r="O747">
        <v>0</v>
      </c>
      <c r="P747">
        <v>52.176974000000001</v>
      </c>
      <c r="Q747">
        <v>104.353948</v>
      </c>
      <c r="R747">
        <v>150</v>
      </c>
      <c r="S747">
        <v>47.898771000000004</v>
      </c>
      <c r="T747">
        <v>60.266666999999998</v>
      </c>
      <c r="U747">
        <v>95.797543000000005</v>
      </c>
      <c r="V747">
        <v>150</v>
      </c>
      <c r="W747">
        <v>50.284067</v>
      </c>
      <c r="X747">
        <v>100.568134</v>
      </c>
      <c r="Y747">
        <v>150</v>
      </c>
      <c r="Z747">
        <v>57.95</v>
      </c>
      <c r="AA747">
        <v>46.229968</v>
      </c>
      <c r="AB747">
        <v>92.459935999999999</v>
      </c>
      <c r="AC747">
        <v>150</v>
      </c>
      <c r="AD747">
        <v>43.755589000000001</v>
      </c>
      <c r="AE747">
        <v>58.340786000000001</v>
      </c>
      <c r="AF747">
        <v>100</v>
      </c>
      <c r="AG747">
        <v>41.116087999999998</v>
      </c>
      <c r="AH747">
        <v>48.912393000000002</v>
      </c>
      <c r="AI747">
        <v>54.821449999999999</v>
      </c>
      <c r="AJ747">
        <v>100</v>
      </c>
      <c r="AK747">
        <v>12.36</v>
      </c>
      <c r="AL747">
        <v>11.72</v>
      </c>
      <c r="AM747">
        <v>7.79</v>
      </c>
      <c r="AN747" t="s">
        <v>125</v>
      </c>
      <c r="AO747" t="s">
        <v>125</v>
      </c>
      <c r="AP747" t="s">
        <v>125</v>
      </c>
      <c r="AQ747" t="s">
        <v>125</v>
      </c>
      <c r="AR747" t="s">
        <v>125</v>
      </c>
      <c r="AS747" t="s">
        <v>125</v>
      </c>
      <c r="AT747" t="s">
        <v>125</v>
      </c>
      <c r="AU747" t="s">
        <v>125</v>
      </c>
      <c r="AV747" t="s">
        <v>125</v>
      </c>
      <c r="AW747" t="s">
        <v>125</v>
      </c>
      <c r="AX747" t="s">
        <v>125</v>
      </c>
      <c r="AY747" t="s">
        <v>125</v>
      </c>
      <c r="AZ747" t="s">
        <v>125</v>
      </c>
      <c r="BA747" t="s">
        <v>125</v>
      </c>
      <c r="BB747">
        <v>0.51849599999999996</v>
      </c>
      <c r="BC747">
        <v>25.924804000000002</v>
      </c>
      <c r="BD747">
        <v>50</v>
      </c>
      <c r="BE747">
        <v>0.67498000000000002</v>
      </c>
      <c r="BF747">
        <v>33.749009000000001</v>
      </c>
      <c r="BG747">
        <v>50</v>
      </c>
      <c r="BH747">
        <v>1</v>
      </c>
      <c r="BI747">
        <v>0.95930199999999999</v>
      </c>
      <c r="BJ747">
        <v>0.94017099999999998</v>
      </c>
      <c r="BK747">
        <v>1</v>
      </c>
      <c r="BL747">
        <v>0.95930199999999999</v>
      </c>
      <c r="BM747">
        <v>0.94017099999999998</v>
      </c>
      <c r="BN747">
        <v>1</v>
      </c>
      <c r="BO747">
        <v>0.96209900000000004</v>
      </c>
      <c r="BP747">
        <v>0.95258600000000004</v>
      </c>
      <c r="BQ747">
        <v>0.98198200000000002</v>
      </c>
      <c r="BR747">
        <v>0.12709699999999999</v>
      </c>
      <c r="BS747">
        <v>34.580644999999997</v>
      </c>
      <c r="BT747">
        <v>50</v>
      </c>
      <c r="BU747">
        <v>0.152896</v>
      </c>
      <c r="BV747">
        <v>29.420703</v>
      </c>
      <c r="BW747">
        <v>50</v>
      </c>
      <c r="BX747">
        <v>0.91776800000000003</v>
      </c>
      <c r="BY747">
        <v>50</v>
      </c>
      <c r="BZ747">
        <v>50</v>
      </c>
      <c r="CA747">
        <v>0.31864900000000002</v>
      </c>
      <c r="CB747">
        <v>21.243269999999999</v>
      </c>
      <c r="CC747">
        <v>50</v>
      </c>
      <c r="CD747">
        <v>0.87036999999999998</v>
      </c>
      <c r="CE747">
        <v>46.296295999999998</v>
      </c>
      <c r="CF747">
        <v>50</v>
      </c>
      <c r="CG747">
        <v>0.95211299999999999</v>
      </c>
      <c r="CH747">
        <v>100</v>
      </c>
      <c r="CI747">
        <v>100</v>
      </c>
      <c r="CJ747">
        <v>0</v>
      </c>
      <c r="CK747">
        <v>0.95378200000000002</v>
      </c>
      <c r="CL747">
        <v>100</v>
      </c>
      <c r="CM747">
        <v>100</v>
      </c>
      <c r="CN747">
        <v>0.66569800000000001</v>
      </c>
      <c r="CO747">
        <v>88.759690000000006</v>
      </c>
      <c r="CP747">
        <v>100</v>
      </c>
      <c r="CQ747">
        <v>0.55793999999999999</v>
      </c>
      <c r="CR747">
        <v>1.0615030000000001</v>
      </c>
      <c r="CS747">
        <v>37.195993999999999</v>
      </c>
      <c r="CT747">
        <v>50</v>
      </c>
      <c r="CU747">
        <v>0.67935500000000004</v>
      </c>
      <c r="CV747">
        <v>50</v>
      </c>
      <c r="CW747">
        <v>50</v>
      </c>
      <c r="CX747">
        <v>0.95378200000000002</v>
      </c>
      <c r="CY747">
        <v>0.94</v>
      </c>
      <c r="CZ747">
        <v>-1.3782000000000001E-2</v>
      </c>
      <c r="DA747">
        <v>15.314097</v>
      </c>
      <c r="DB747">
        <v>17.400950000000002</v>
      </c>
      <c r="DC747">
        <v>16.332519999999999</v>
      </c>
      <c r="DD747">
        <v>7.9891730000000001</v>
      </c>
      <c r="DE747">
        <v>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Q747" t="s">
        <v>126</v>
      </c>
    </row>
    <row r="748" spans="1:121" x14ac:dyDescent="0.15">
      <c r="A748">
        <v>2018</v>
      </c>
      <c r="B748" t="s">
        <v>160</v>
      </c>
      <c r="C748" t="str">
        <f t="shared" si="31"/>
        <v>1030011</v>
      </c>
      <c r="D748" t="s">
        <v>903</v>
      </c>
      <c r="E748" t="str">
        <f>"1030211"</f>
        <v>1030211</v>
      </c>
      <c r="F748" t="s">
        <v>328</v>
      </c>
      <c r="G748" t="s">
        <v>329</v>
      </c>
      <c r="H748">
        <v>5</v>
      </c>
      <c r="I748" t="s">
        <v>336</v>
      </c>
      <c r="J748" t="s">
        <v>331</v>
      </c>
      <c r="K748">
        <v>653.63817400000005</v>
      </c>
      <c r="L748">
        <v>950</v>
      </c>
      <c r="M748">
        <v>68.804017999999999</v>
      </c>
      <c r="N748">
        <v>3</v>
      </c>
      <c r="O748">
        <v>0</v>
      </c>
      <c r="P748">
        <v>64.777697000000003</v>
      </c>
      <c r="Q748">
        <v>43.185130999999998</v>
      </c>
      <c r="R748">
        <v>50</v>
      </c>
      <c r="S748">
        <v>61.228700000000003</v>
      </c>
      <c r="T748">
        <v>75</v>
      </c>
      <c r="U748">
        <v>40.819133999999998</v>
      </c>
      <c r="V748">
        <v>50</v>
      </c>
      <c r="W748">
        <v>63.763267999999997</v>
      </c>
      <c r="X748">
        <v>42.508845000000001</v>
      </c>
      <c r="Y748">
        <v>50</v>
      </c>
      <c r="Z748">
        <v>75</v>
      </c>
      <c r="AA748">
        <v>60.297125000000001</v>
      </c>
      <c r="AB748">
        <v>40.198084000000001</v>
      </c>
      <c r="AC748">
        <v>50</v>
      </c>
      <c r="AD748">
        <v>64.518027000000004</v>
      </c>
      <c r="AE748">
        <v>43.012017999999998</v>
      </c>
      <c r="AF748">
        <v>50</v>
      </c>
      <c r="AG748">
        <v>61.974415999999998</v>
      </c>
      <c r="AH748" t="s">
        <v>125</v>
      </c>
      <c r="AI748">
        <v>41.316276999999999</v>
      </c>
      <c r="AJ748">
        <v>50</v>
      </c>
      <c r="AK748">
        <v>13.77</v>
      </c>
      <c r="AL748">
        <v>14.7</v>
      </c>
      <c r="AM748" t="s">
        <v>125</v>
      </c>
      <c r="AN748">
        <v>0.56716200000000005</v>
      </c>
      <c r="AO748">
        <v>56.716200999999998</v>
      </c>
      <c r="AP748">
        <v>100</v>
      </c>
      <c r="AQ748">
        <v>0.557562</v>
      </c>
      <c r="AR748">
        <v>55.756177999999998</v>
      </c>
      <c r="AS748">
        <v>100</v>
      </c>
      <c r="AT748">
        <v>0.58994100000000005</v>
      </c>
      <c r="AU748">
        <v>0.465534</v>
      </c>
      <c r="AV748">
        <v>58.994067999999999</v>
      </c>
      <c r="AW748">
        <v>100</v>
      </c>
      <c r="AX748">
        <v>0.51957299999999995</v>
      </c>
      <c r="AY748">
        <v>0.72704999999999997</v>
      </c>
      <c r="AZ748">
        <v>51.957304999999998</v>
      </c>
      <c r="BA748">
        <v>100</v>
      </c>
      <c r="BB748">
        <v>0.62824400000000002</v>
      </c>
      <c r="BC748">
        <v>31.412182999999999</v>
      </c>
      <c r="BD748">
        <v>50</v>
      </c>
      <c r="BE748">
        <v>0.557836</v>
      </c>
      <c r="BF748">
        <v>27.891798999999999</v>
      </c>
      <c r="BG748">
        <v>50</v>
      </c>
      <c r="BH748">
        <v>0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 t="s">
        <v>125</v>
      </c>
      <c r="BR748">
        <v>6.1425E-2</v>
      </c>
      <c r="BS748">
        <v>47.714987999999998</v>
      </c>
      <c r="BT748">
        <v>50</v>
      </c>
      <c r="BU748">
        <v>6.4219999999999999E-2</v>
      </c>
      <c r="BV748">
        <v>47.155963</v>
      </c>
      <c r="BW748">
        <v>50</v>
      </c>
      <c r="BX748" t="s">
        <v>125</v>
      </c>
      <c r="BY748" t="s">
        <v>125</v>
      </c>
      <c r="BZ748" t="s">
        <v>125</v>
      </c>
      <c r="CA748" t="s">
        <v>125</v>
      </c>
      <c r="CB748" t="s">
        <v>125</v>
      </c>
      <c r="CC748" t="s">
        <v>125</v>
      </c>
      <c r="CD748" t="s">
        <v>125</v>
      </c>
      <c r="CE748" t="s">
        <v>125</v>
      </c>
      <c r="CF748" t="s">
        <v>125</v>
      </c>
      <c r="CG748" t="s">
        <v>125</v>
      </c>
      <c r="CH748" t="s">
        <v>125</v>
      </c>
      <c r="CI748" t="s">
        <v>125</v>
      </c>
      <c r="CJ748" t="s">
        <v>125</v>
      </c>
      <c r="CK748" t="s">
        <v>125</v>
      </c>
      <c r="CL748" t="s">
        <v>125</v>
      </c>
      <c r="CM748" t="s">
        <v>125</v>
      </c>
      <c r="CN748" t="s">
        <v>125</v>
      </c>
      <c r="CO748" t="s">
        <v>125</v>
      </c>
      <c r="CP748" t="s">
        <v>125</v>
      </c>
      <c r="CQ748">
        <v>0.84375</v>
      </c>
      <c r="CR748">
        <v>0.79012300000000002</v>
      </c>
      <c r="CS748">
        <v>25</v>
      </c>
      <c r="CT748">
        <v>50</v>
      </c>
      <c r="CU748" t="s">
        <v>125</v>
      </c>
      <c r="CV748" t="s">
        <v>125</v>
      </c>
      <c r="CW748" t="s">
        <v>125</v>
      </c>
      <c r="CX748" t="s">
        <v>125</v>
      </c>
      <c r="CY748" t="s">
        <v>125</v>
      </c>
      <c r="CZ748" t="s">
        <v>125</v>
      </c>
      <c r="DA748">
        <v>15.314097</v>
      </c>
      <c r="DB748">
        <v>17.400950000000002</v>
      </c>
      <c r="DC748">
        <v>16.332519999999999</v>
      </c>
      <c r="DD748" t="s">
        <v>125</v>
      </c>
      <c r="DE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Q748" t="s">
        <v>126</v>
      </c>
    </row>
    <row r="749" spans="1:121" x14ac:dyDescent="0.15">
      <c r="A749">
        <v>2018</v>
      </c>
      <c r="B749" t="s">
        <v>160</v>
      </c>
      <c r="C749" t="str">
        <f t="shared" si="31"/>
        <v>1030011</v>
      </c>
      <c r="D749" t="s">
        <v>904</v>
      </c>
      <c r="E749" t="str">
        <f>"1030511"</f>
        <v>1030511</v>
      </c>
      <c r="F749" t="s">
        <v>328</v>
      </c>
      <c r="G749">
        <v>9</v>
      </c>
      <c r="H749">
        <v>12</v>
      </c>
      <c r="J749" t="s">
        <v>331</v>
      </c>
      <c r="K749">
        <v>1121.2402500000001</v>
      </c>
      <c r="L749">
        <v>1350</v>
      </c>
      <c r="M749">
        <v>83.054833000000002</v>
      </c>
      <c r="N749">
        <v>3</v>
      </c>
      <c r="O749">
        <v>1</v>
      </c>
      <c r="P749">
        <v>66.977778000000001</v>
      </c>
      <c r="Q749">
        <v>133.955556</v>
      </c>
      <c r="R749">
        <v>150</v>
      </c>
      <c r="S749">
        <v>58.666666999999997</v>
      </c>
      <c r="T749">
        <v>71.789473999999998</v>
      </c>
      <c r="U749">
        <v>117.333333</v>
      </c>
      <c r="V749">
        <v>150</v>
      </c>
      <c r="W749">
        <v>62.791666999999997</v>
      </c>
      <c r="X749">
        <v>125.583333</v>
      </c>
      <c r="Y749">
        <v>150</v>
      </c>
      <c r="Z749">
        <v>69.521929999999998</v>
      </c>
      <c r="AA749">
        <v>51.166666999999997</v>
      </c>
      <c r="AB749">
        <v>102.333333</v>
      </c>
      <c r="AC749">
        <v>150</v>
      </c>
      <c r="AD749">
        <v>54.647435999999999</v>
      </c>
      <c r="AE749">
        <v>72.863247999999999</v>
      </c>
      <c r="AF749">
        <v>100</v>
      </c>
      <c r="AG749">
        <v>44.153846000000001</v>
      </c>
      <c r="AH749">
        <v>60.722672000000003</v>
      </c>
      <c r="AI749">
        <v>58.871794999999999</v>
      </c>
      <c r="AJ749">
        <v>100</v>
      </c>
      <c r="AK749">
        <v>13.12</v>
      </c>
      <c r="AL749">
        <v>18.350000000000001</v>
      </c>
      <c r="AM749">
        <v>16.559999999999999</v>
      </c>
      <c r="AN749" t="s">
        <v>125</v>
      </c>
      <c r="AO749" t="s">
        <v>125</v>
      </c>
      <c r="AP749" t="s">
        <v>125</v>
      </c>
      <c r="AQ749" t="s">
        <v>125</v>
      </c>
      <c r="AR749" t="s">
        <v>125</v>
      </c>
      <c r="AS749" t="s">
        <v>125</v>
      </c>
      <c r="AT749" t="s">
        <v>125</v>
      </c>
      <c r="AU749" t="s">
        <v>125</v>
      </c>
      <c r="AV749" t="s">
        <v>125</v>
      </c>
      <c r="AW749" t="s">
        <v>125</v>
      </c>
      <c r="AX749" t="s">
        <v>125</v>
      </c>
      <c r="AY749" t="s">
        <v>125</v>
      </c>
      <c r="AZ749" t="s">
        <v>125</v>
      </c>
      <c r="BA749" t="s">
        <v>125</v>
      </c>
      <c r="BB749" t="s">
        <v>125</v>
      </c>
      <c r="BC749" t="s">
        <v>125</v>
      </c>
      <c r="BD749" t="s">
        <v>125</v>
      </c>
      <c r="BE749" t="s">
        <v>125</v>
      </c>
      <c r="BF749" t="s">
        <v>125</v>
      </c>
      <c r="BG749" t="s">
        <v>125</v>
      </c>
      <c r="BH749">
        <v>0</v>
      </c>
      <c r="BI749">
        <v>0.98360700000000001</v>
      </c>
      <c r="BJ749">
        <v>0.95652199999999998</v>
      </c>
      <c r="BK749">
        <v>1</v>
      </c>
      <c r="BL749">
        <v>0.98360700000000001</v>
      </c>
      <c r="BM749">
        <v>0.95652199999999998</v>
      </c>
      <c r="BN749">
        <v>1</v>
      </c>
      <c r="BO749">
        <v>0.98360700000000001</v>
      </c>
      <c r="BP749">
        <v>0.95652199999999998</v>
      </c>
      <c r="BQ749">
        <v>1</v>
      </c>
      <c r="BR749">
        <v>5.3956999999999998E-2</v>
      </c>
      <c r="BS749">
        <v>49.208632999999999</v>
      </c>
      <c r="BT749">
        <v>50</v>
      </c>
      <c r="BU749">
        <v>0.14285700000000001</v>
      </c>
      <c r="BV749">
        <v>31.428571000000002</v>
      </c>
      <c r="BW749">
        <v>50</v>
      </c>
      <c r="BX749">
        <v>0.85185200000000005</v>
      </c>
      <c r="BY749">
        <v>50</v>
      </c>
      <c r="BZ749">
        <v>50</v>
      </c>
      <c r="CA749">
        <v>0.6</v>
      </c>
      <c r="CB749">
        <v>40</v>
      </c>
      <c r="CC749">
        <v>50</v>
      </c>
      <c r="CD749">
        <v>0.96103899999999998</v>
      </c>
      <c r="CE749">
        <v>50</v>
      </c>
      <c r="CF749">
        <v>50</v>
      </c>
      <c r="CG749">
        <v>0.97468399999999999</v>
      </c>
      <c r="CH749">
        <v>100</v>
      </c>
      <c r="CI749">
        <v>100</v>
      </c>
      <c r="CJ749" t="s">
        <v>125</v>
      </c>
      <c r="CK749" t="s">
        <v>125</v>
      </c>
      <c r="CL749" t="s">
        <v>125</v>
      </c>
      <c r="CM749" t="s">
        <v>125</v>
      </c>
      <c r="CN749">
        <v>0.84415600000000002</v>
      </c>
      <c r="CO749">
        <v>100</v>
      </c>
      <c r="CP749">
        <v>100</v>
      </c>
      <c r="CQ749">
        <v>0.59493700000000005</v>
      </c>
      <c r="CR749">
        <v>1.1969700000000001</v>
      </c>
      <c r="CS749">
        <v>39.662447</v>
      </c>
      <c r="CT749">
        <v>50</v>
      </c>
      <c r="CU749">
        <v>0.65107899999999996</v>
      </c>
      <c r="CV749">
        <v>50</v>
      </c>
      <c r="CW749">
        <v>50</v>
      </c>
      <c r="CX749" t="s">
        <v>125</v>
      </c>
      <c r="CY749" t="s">
        <v>125</v>
      </c>
      <c r="CZ749" t="s">
        <v>125</v>
      </c>
      <c r="DA749">
        <v>15.314097</v>
      </c>
      <c r="DB749">
        <v>17.400950000000002</v>
      </c>
      <c r="DC749">
        <v>16.332519999999999</v>
      </c>
      <c r="DD749" t="s">
        <v>125</v>
      </c>
      <c r="DE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Q749" t="s">
        <v>126</v>
      </c>
    </row>
    <row r="750" spans="1:121" x14ac:dyDescent="0.15">
      <c r="A750">
        <v>2018</v>
      </c>
      <c r="B750" t="s">
        <v>160</v>
      </c>
      <c r="C750" t="str">
        <f t="shared" si="31"/>
        <v>1030011</v>
      </c>
      <c r="D750" t="s">
        <v>905</v>
      </c>
      <c r="E750" t="str">
        <f>"1030311"</f>
        <v>1030311</v>
      </c>
      <c r="F750" t="s">
        <v>328</v>
      </c>
      <c r="G750" t="s">
        <v>339</v>
      </c>
      <c r="H750">
        <v>8</v>
      </c>
      <c r="J750" t="s">
        <v>331</v>
      </c>
      <c r="K750">
        <v>762.098838</v>
      </c>
      <c r="L750">
        <v>950</v>
      </c>
      <c r="M750">
        <v>80.220929999999996</v>
      </c>
      <c r="N750">
        <v>2</v>
      </c>
      <c r="O750">
        <v>0</v>
      </c>
      <c r="P750">
        <v>69.884375000000006</v>
      </c>
      <c r="Q750">
        <v>46.589582999999998</v>
      </c>
      <c r="R750">
        <v>50</v>
      </c>
      <c r="S750">
        <v>63.667287000000002</v>
      </c>
      <c r="T750">
        <v>75</v>
      </c>
      <c r="U750">
        <v>42.444858000000004</v>
      </c>
      <c r="V750">
        <v>50</v>
      </c>
      <c r="W750">
        <v>65.837097999999997</v>
      </c>
      <c r="X750">
        <v>43.891398000000002</v>
      </c>
      <c r="Y750">
        <v>50</v>
      </c>
      <c r="Z750">
        <v>74.694371000000004</v>
      </c>
      <c r="AA750">
        <v>60.090012000000002</v>
      </c>
      <c r="AB750">
        <v>40.060008000000003</v>
      </c>
      <c r="AC750">
        <v>50</v>
      </c>
      <c r="AD750">
        <v>69.394623999999993</v>
      </c>
      <c r="AE750">
        <v>46.263081999999997</v>
      </c>
      <c r="AF750">
        <v>50</v>
      </c>
      <c r="AG750">
        <v>66.064515999999998</v>
      </c>
      <c r="AH750">
        <v>73.464754999999997</v>
      </c>
      <c r="AI750">
        <v>44.043011</v>
      </c>
      <c r="AJ750">
        <v>50</v>
      </c>
      <c r="AK750">
        <v>11.33</v>
      </c>
      <c r="AL750">
        <v>14.6</v>
      </c>
      <c r="AM750">
        <v>7.4</v>
      </c>
      <c r="AN750">
        <v>0.68647100000000005</v>
      </c>
      <c r="AO750">
        <v>68.647098999999997</v>
      </c>
      <c r="AP750">
        <v>100</v>
      </c>
      <c r="AQ750">
        <v>0.72414100000000003</v>
      </c>
      <c r="AR750">
        <v>72.414079000000001</v>
      </c>
      <c r="AS750">
        <v>100</v>
      </c>
      <c r="AT750">
        <v>0.66148799999999996</v>
      </c>
      <c r="AU750">
        <v>0.71826699999999999</v>
      </c>
      <c r="AV750">
        <v>66.148813000000004</v>
      </c>
      <c r="AW750">
        <v>100</v>
      </c>
      <c r="AX750">
        <v>0.68945599999999996</v>
      </c>
      <c r="AY750">
        <v>0.768285</v>
      </c>
      <c r="AZ750">
        <v>68.945614000000006</v>
      </c>
      <c r="BA750">
        <v>100</v>
      </c>
      <c r="BB750">
        <v>0.91161199999999998</v>
      </c>
      <c r="BC750">
        <v>45.580582</v>
      </c>
      <c r="BD750">
        <v>50</v>
      </c>
      <c r="BE750">
        <v>0.85351299999999997</v>
      </c>
      <c r="BF750">
        <v>42.675635999999997</v>
      </c>
      <c r="BG750">
        <v>50</v>
      </c>
      <c r="BH750">
        <v>0</v>
      </c>
      <c r="BI750">
        <v>0.97747700000000004</v>
      </c>
      <c r="BJ750">
        <v>0.97777800000000004</v>
      </c>
      <c r="BK750">
        <v>0.97701099999999996</v>
      </c>
      <c r="BL750">
        <v>0.97747700000000004</v>
      </c>
      <c r="BM750">
        <v>0.97777800000000004</v>
      </c>
      <c r="BN750">
        <v>0.97701099999999996</v>
      </c>
      <c r="BO750">
        <v>0.96825399999999995</v>
      </c>
      <c r="BP750">
        <v>0.97142899999999999</v>
      </c>
      <c r="BQ750">
        <v>0.96428599999999998</v>
      </c>
      <c r="BR750">
        <v>0.04</v>
      </c>
      <c r="BS750">
        <v>50</v>
      </c>
      <c r="BT750">
        <v>50</v>
      </c>
      <c r="BU750">
        <v>5.1020000000000003E-2</v>
      </c>
      <c r="BV750">
        <v>49.795918</v>
      </c>
      <c r="BW750">
        <v>50</v>
      </c>
      <c r="BX750" t="s">
        <v>125</v>
      </c>
      <c r="BY750" t="s">
        <v>125</v>
      </c>
      <c r="BZ750" t="s">
        <v>125</v>
      </c>
      <c r="CA750" t="s">
        <v>125</v>
      </c>
      <c r="CB750" t="s">
        <v>125</v>
      </c>
      <c r="CC750" t="s">
        <v>125</v>
      </c>
      <c r="CD750" t="s">
        <v>125</v>
      </c>
      <c r="CE750" t="s">
        <v>125</v>
      </c>
      <c r="CF750" t="s">
        <v>125</v>
      </c>
      <c r="CG750" t="s">
        <v>125</v>
      </c>
      <c r="CH750" t="s">
        <v>125</v>
      </c>
      <c r="CI750" t="s">
        <v>125</v>
      </c>
      <c r="CJ750" t="s">
        <v>125</v>
      </c>
      <c r="CK750" t="s">
        <v>125</v>
      </c>
      <c r="CL750" t="s">
        <v>125</v>
      </c>
      <c r="CM750" t="s">
        <v>125</v>
      </c>
      <c r="CN750" t="s">
        <v>125</v>
      </c>
      <c r="CO750" t="s">
        <v>125</v>
      </c>
      <c r="CP750" t="s">
        <v>125</v>
      </c>
      <c r="CQ750">
        <v>0.51898699999999998</v>
      </c>
      <c r="CR750">
        <v>0.98750000000000004</v>
      </c>
      <c r="CS750">
        <v>34.599156000000001</v>
      </c>
      <c r="CT750">
        <v>50</v>
      </c>
      <c r="CU750" t="s">
        <v>125</v>
      </c>
      <c r="CV750" t="s">
        <v>125</v>
      </c>
      <c r="CW750" t="s">
        <v>125</v>
      </c>
      <c r="CX750" t="s">
        <v>125</v>
      </c>
      <c r="CY750" t="s">
        <v>125</v>
      </c>
      <c r="CZ750" t="s">
        <v>125</v>
      </c>
      <c r="DA750">
        <v>15.314097</v>
      </c>
      <c r="DB750">
        <v>17.400950000000002</v>
      </c>
      <c r="DC750">
        <v>16.332519999999999</v>
      </c>
      <c r="DD750" t="s">
        <v>125</v>
      </c>
      <c r="DE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Q750" t="s">
        <v>126</v>
      </c>
    </row>
    <row r="751" spans="1:121" x14ac:dyDescent="0.15">
      <c r="A751">
        <v>2018</v>
      </c>
      <c r="B751" t="s">
        <v>160</v>
      </c>
      <c r="C751" t="str">
        <f t="shared" si="31"/>
        <v>1030011</v>
      </c>
      <c r="D751" t="s">
        <v>906</v>
      </c>
      <c r="E751" t="str">
        <f>"1030411"</f>
        <v>1030411</v>
      </c>
      <c r="F751" t="s">
        <v>328</v>
      </c>
      <c r="G751" t="s">
        <v>339</v>
      </c>
      <c r="H751">
        <v>5</v>
      </c>
      <c r="J751" t="s">
        <v>331</v>
      </c>
      <c r="K751">
        <v>734.30060100000003</v>
      </c>
      <c r="L751">
        <v>950</v>
      </c>
      <c r="M751">
        <v>77.294799999999995</v>
      </c>
      <c r="N751">
        <v>3</v>
      </c>
      <c r="O751">
        <v>1</v>
      </c>
      <c r="P751">
        <v>72.094716000000005</v>
      </c>
      <c r="Q751">
        <v>48.063144000000001</v>
      </c>
      <c r="R751">
        <v>50</v>
      </c>
      <c r="S751">
        <v>61.634346999999998</v>
      </c>
      <c r="T751">
        <v>75</v>
      </c>
      <c r="U751">
        <v>41.089565</v>
      </c>
      <c r="V751">
        <v>50</v>
      </c>
      <c r="W751">
        <v>67.035515000000004</v>
      </c>
      <c r="X751">
        <v>44.690342999999999</v>
      </c>
      <c r="Y751">
        <v>50</v>
      </c>
      <c r="Z751">
        <v>75</v>
      </c>
      <c r="AA751">
        <v>57.312469</v>
      </c>
      <c r="AB751">
        <v>38.208311999999999</v>
      </c>
      <c r="AC751">
        <v>50</v>
      </c>
      <c r="AD751">
        <v>67.889739000000006</v>
      </c>
      <c r="AE751">
        <v>45.259825999999997</v>
      </c>
      <c r="AF751">
        <v>50</v>
      </c>
      <c r="AG751">
        <v>61.238877000000002</v>
      </c>
      <c r="AH751">
        <v>74.540600999999995</v>
      </c>
      <c r="AI751">
        <v>40.825918000000001</v>
      </c>
      <c r="AJ751">
        <v>50</v>
      </c>
      <c r="AK751">
        <v>13.36</v>
      </c>
      <c r="AL751">
        <v>17.68</v>
      </c>
      <c r="AM751">
        <v>13.3</v>
      </c>
      <c r="AN751">
        <v>0.67003400000000002</v>
      </c>
      <c r="AO751">
        <v>67.003429999999994</v>
      </c>
      <c r="AP751">
        <v>100</v>
      </c>
      <c r="AQ751">
        <v>0.68466499999999997</v>
      </c>
      <c r="AR751">
        <v>68.466479000000007</v>
      </c>
      <c r="AS751">
        <v>100</v>
      </c>
      <c r="AT751">
        <v>0.58893799999999996</v>
      </c>
      <c r="AU751">
        <v>0.74589899999999998</v>
      </c>
      <c r="AV751">
        <v>58.893763</v>
      </c>
      <c r="AW751">
        <v>100</v>
      </c>
      <c r="AX751">
        <v>0.65688899999999995</v>
      </c>
      <c r="AY751">
        <v>0.71064899999999998</v>
      </c>
      <c r="AZ751">
        <v>65.688861000000003</v>
      </c>
      <c r="BA751">
        <v>100</v>
      </c>
      <c r="BB751">
        <v>0.91772500000000001</v>
      </c>
      <c r="BC751">
        <v>45.886251999999999</v>
      </c>
      <c r="BD751">
        <v>50</v>
      </c>
      <c r="BE751">
        <v>0.79365600000000003</v>
      </c>
      <c r="BF751">
        <v>39.682814999999998</v>
      </c>
      <c r="BG751">
        <v>50</v>
      </c>
      <c r="BH751">
        <v>0</v>
      </c>
      <c r="BI751">
        <v>0.99043099999999995</v>
      </c>
      <c r="BJ751">
        <v>0.98165100000000005</v>
      </c>
      <c r="BK751">
        <v>1</v>
      </c>
      <c r="BL751">
        <v>0.99043099999999995</v>
      </c>
      <c r="BM751">
        <v>0.98165100000000005</v>
      </c>
      <c r="BN751">
        <v>1</v>
      </c>
      <c r="BO751">
        <v>1</v>
      </c>
      <c r="BP751">
        <v>1</v>
      </c>
      <c r="BQ751">
        <v>1</v>
      </c>
      <c r="BR751">
        <v>5.7208000000000002E-2</v>
      </c>
      <c r="BS751">
        <v>48.558351999999999</v>
      </c>
      <c r="BT751">
        <v>50</v>
      </c>
      <c r="BU751">
        <v>8.4112000000000006E-2</v>
      </c>
      <c r="BV751">
        <v>43.177570000000003</v>
      </c>
      <c r="BW751">
        <v>50</v>
      </c>
      <c r="BX751" t="s">
        <v>125</v>
      </c>
      <c r="BY751" t="s">
        <v>125</v>
      </c>
      <c r="BZ751" t="s">
        <v>125</v>
      </c>
      <c r="CA751" t="s">
        <v>125</v>
      </c>
      <c r="CB751" t="s">
        <v>125</v>
      </c>
      <c r="CC751" t="s">
        <v>125</v>
      </c>
      <c r="CD751" t="s">
        <v>125</v>
      </c>
      <c r="CE751" t="s">
        <v>125</v>
      </c>
      <c r="CF751" t="s">
        <v>125</v>
      </c>
      <c r="CG751" t="s">
        <v>125</v>
      </c>
      <c r="CH751" t="s">
        <v>125</v>
      </c>
      <c r="CI751" t="s">
        <v>125</v>
      </c>
      <c r="CJ751" t="s">
        <v>125</v>
      </c>
      <c r="CK751" t="s">
        <v>125</v>
      </c>
      <c r="CL751" t="s">
        <v>125</v>
      </c>
      <c r="CM751" t="s">
        <v>125</v>
      </c>
      <c r="CN751" t="s">
        <v>125</v>
      </c>
      <c r="CO751" t="s">
        <v>125</v>
      </c>
      <c r="CP751" t="s">
        <v>125</v>
      </c>
      <c r="CQ751">
        <v>0.58209</v>
      </c>
      <c r="CR751">
        <v>0.95714299999999997</v>
      </c>
      <c r="CS751">
        <v>38.805970000000002</v>
      </c>
      <c r="CT751">
        <v>50</v>
      </c>
      <c r="CU751" t="s">
        <v>125</v>
      </c>
      <c r="CV751" t="s">
        <v>125</v>
      </c>
      <c r="CW751" t="s">
        <v>125</v>
      </c>
      <c r="CX751" t="s">
        <v>125</v>
      </c>
      <c r="CY751" t="s">
        <v>125</v>
      </c>
      <c r="CZ751" t="s">
        <v>125</v>
      </c>
      <c r="DA751">
        <v>15.314097</v>
      </c>
      <c r="DB751">
        <v>17.400950000000002</v>
      </c>
      <c r="DC751">
        <v>16.332519999999999</v>
      </c>
      <c r="DD751" t="s">
        <v>125</v>
      </c>
      <c r="DE751">
        <v>1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Q751" t="s">
        <v>126</v>
      </c>
    </row>
    <row r="752" spans="1:121" x14ac:dyDescent="0.15">
      <c r="A752">
        <v>2018</v>
      </c>
      <c r="B752" t="s">
        <v>160</v>
      </c>
      <c r="C752" t="str">
        <f t="shared" si="31"/>
        <v>1030011</v>
      </c>
      <c r="D752" t="s">
        <v>907</v>
      </c>
      <c r="E752" t="str">
        <f>"1032011"</f>
        <v>1032011</v>
      </c>
      <c r="F752" t="s">
        <v>328</v>
      </c>
      <c r="G752" t="s">
        <v>329</v>
      </c>
      <c r="H752">
        <v>5</v>
      </c>
      <c r="J752" t="s">
        <v>331</v>
      </c>
      <c r="K752">
        <v>608.76608699999997</v>
      </c>
      <c r="L752">
        <v>950</v>
      </c>
      <c r="M752">
        <v>64.080641</v>
      </c>
      <c r="N752">
        <v>3</v>
      </c>
      <c r="O752">
        <v>1</v>
      </c>
      <c r="P752">
        <v>63.966659</v>
      </c>
      <c r="Q752">
        <v>42.644438999999998</v>
      </c>
      <c r="R752">
        <v>50</v>
      </c>
      <c r="S752">
        <v>57.936</v>
      </c>
      <c r="T752">
        <v>74.049166</v>
      </c>
      <c r="U752">
        <v>38.624000000000002</v>
      </c>
      <c r="V752">
        <v>50</v>
      </c>
      <c r="W752">
        <v>59.308681999999997</v>
      </c>
      <c r="X752">
        <v>39.539121999999999</v>
      </c>
      <c r="Y752">
        <v>50</v>
      </c>
      <c r="Z752">
        <v>69.703939000000005</v>
      </c>
      <c r="AA752">
        <v>53.090958999999998</v>
      </c>
      <c r="AB752">
        <v>35.393973000000003</v>
      </c>
      <c r="AC752">
        <v>50</v>
      </c>
      <c r="AD752">
        <v>60.389113000000002</v>
      </c>
      <c r="AE752">
        <v>40.259408999999998</v>
      </c>
      <c r="AF752">
        <v>50</v>
      </c>
      <c r="AG752">
        <v>53.43871</v>
      </c>
      <c r="AH752">
        <v>71.973117999999999</v>
      </c>
      <c r="AI752">
        <v>35.625805999999997</v>
      </c>
      <c r="AJ752">
        <v>50</v>
      </c>
      <c r="AK752">
        <v>16.11</v>
      </c>
      <c r="AL752">
        <v>16.61</v>
      </c>
      <c r="AM752">
        <v>18.53</v>
      </c>
      <c r="AN752">
        <v>0.486155</v>
      </c>
      <c r="AO752">
        <v>48.615468999999997</v>
      </c>
      <c r="AP752">
        <v>100</v>
      </c>
      <c r="AQ752">
        <v>0.44193300000000002</v>
      </c>
      <c r="AR752">
        <v>44.193264999999997</v>
      </c>
      <c r="AS752">
        <v>100</v>
      </c>
      <c r="AT752">
        <v>0.45618900000000001</v>
      </c>
      <c r="AU752">
        <v>0.53269699999999998</v>
      </c>
      <c r="AV752">
        <v>45.618904000000001</v>
      </c>
      <c r="AW752">
        <v>100</v>
      </c>
      <c r="AX752">
        <v>0.42916300000000002</v>
      </c>
      <c r="AY752">
        <v>0.46176600000000001</v>
      </c>
      <c r="AZ752">
        <v>42.916305000000001</v>
      </c>
      <c r="BA752">
        <v>100</v>
      </c>
      <c r="BB752">
        <v>0.58842799999999995</v>
      </c>
      <c r="BC752">
        <v>29.421385000000001</v>
      </c>
      <c r="BD752">
        <v>50</v>
      </c>
      <c r="BE752">
        <v>0.32340799999999997</v>
      </c>
      <c r="BF752">
        <v>16.170421000000001</v>
      </c>
      <c r="BG752">
        <v>50</v>
      </c>
      <c r="BH752">
        <v>0</v>
      </c>
      <c r="BI752">
        <v>0.98324</v>
      </c>
      <c r="BJ752">
        <v>0.97368399999999999</v>
      </c>
      <c r="BK752">
        <v>1</v>
      </c>
      <c r="BL752">
        <v>0.98324</v>
      </c>
      <c r="BM752">
        <v>0.97368399999999999</v>
      </c>
      <c r="BN752">
        <v>1</v>
      </c>
      <c r="BO752">
        <v>1</v>
      </c>
      <c r="BP752">
        <v>1</v>
      </c>
      <c r="BQ752">
        <v>1</v>
      </c>
      <c r="BR752">
        <v>4.3928000000000002E-2</v>
      </c>
      <c r="BS752">
        <v>50</v>
      </c>
      <c r="BT752">
        <v>50</v>
      </c>
      <c r="BU752">
        <v>5.1282000000000001E-2</v>
      </c>
      <c r="BV752">
        <v>49.743589999999998</v>
      </c>
      <c r="BW752">
        <v>50</v>
      </c>
      <c r="BX752" t="s">
        <v>125</v>
      </c>
      <c r="BY752" t="s">
        <v>125</v>
      </c>
      <c r="BZ752" t="s">
        <v>125</v>
      </c>
      <c r="CA752" t="s">
        <v>125</v>
      </c>
      <c r="CB752" t="s">
        <v>125</v>
      </c>
      <c r="CC752" t="s">
        <v>125</v>
      </c>
      <c r="CD752" t="s">
        <v>125</v>
      </c>
      <c r="CE752" t="s">
        <v>125</v>
      </c>
      <c r="CF752" t="s">
        <v>125</v>
      </c>
      <c r="CG752" t="s">
        <v>125</v>
      </c>
      <c r="CH752" t="s">
        <v>125</v>
      </c>
      <c r="CI752" t="s">
        <v>125</v>
      </c>
      <c r="CJ752" t="s">
        <v>125</v>
      </c>
      <c r="CK752" t="s">
        <v>125</v>
      </c>
      <c r="CL752" t="s">
        <v>125</v>
      </c>
      <c r="CM752" t="s">
        <v>125</v>
      </c>
      <c r="CN752" t="s">
        <v>125</v>
      </c>
      <c r="CO752" t="s">
        <v>125</v>
      </c>
      <c r="CP752" t="s">
        <v>125</v>
      </c>
      <c r="CQ752">
        <v>0.81355900000000003</v>
      </c>
      <c r="CR752">
        <v>0.93650800000000001</v>
      </c>
      <c r="CS752">
        <v>50</v>
      </c>
      <c r="CT752">
        <v>50</v>
      </c>
      <c r="CU752" t="s">
        <v>125</v>
      </c>
      <c r="CV752" t="s">
        <v>125</v>
      </c>
      <c r="CW752" t="s">
        <v>125</v>
      </c>
      <c r="CX752" t="s">
        <v>125</v>
      </c>
      <c r="CY752" t="s">
        <v>125</v>
      </c>
      <c r="CZ752" t="s">
        <v>125</v>
      </c>
      <c r="DA752">
        <v>15.314097</v>
      </c>
      <c r="DB752">
        <v>17.400950000000002</v>
      </c>
      <c r="DC752">
        <v>16.332519999999999</v>
      </c>
      <c r="DD752" t="s">
        <v>125</v>
      </c>
      <c r="DE752">
        <v>1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Q752" t="s">
        <v>126</v>
      </c>
    </row>
    <row r="753" spans="1:121" x14ac:dyDescent="0.15">
      <c r="A753">
        <v>2018</v>
      </c>
      <c r="B753" t="s">
        <v>160</v>
      </c>
      <c r="C753" t="str">
        <f t="shared" si="31"/>
        <v>1030011</v>
      </c>
      <c r="D753" t="s">
        <v>908</v>
      </c>
      <c r="E753" t="str">
        <f>"1030711"</f>
        <v>1030711</v>
      </c>
      <c r="F753" t="s">
        <v>328</v>
      </c>
      <c r="G753" t="s">
        <v>339</v>
      </c>
      <c r="H753">
        <v>5</v>
      </c>
      <c r="I753" t="s">
        <v>336</v>
      </c>
      <c r="J753" t="s">
        <v>331</v>
      </c>
      <c r="K753">
        <v>708.64072399999998</v>
      </c>
      <c r="L753">
        <v>950</v>
      </c>
      <c r="M753">
        <v>74.593760000000003</v>
      </c>
      <c r="N753">
        <v>2</v>
      </c>
      <c r="O753">
        <v>0</v>
      </c>
      <c r="P753">
        <v>67.872078000000002</v>
      </c>
      <c r="Q753">
        <v>45.248052000000001</v>
      </c>
      <c r="R753">
        <v>50</v>
      </c>
      <c r="S753">
        <v>65.416775999999999</v>
      </c>
      <c r="T753">
        <v>75</v>
      </c>
      <c r="U753">
        <v>43.611184000000002</v>
      </c>
      <c r="V753">
        <v>50</v>
      </c>
      <c r="W753">
        <v>65.066322999999997</v>
      </c>
      <c r="X753">
        <v>43.377549000000002</v>
      </c>
      <c r="Y753">
        <v>50</v>
      </c>
      <c r="Z753">
        <v>75</v>
      </c>
      <c r="AA753">
        <v>62.11054</v>
      </c>
      <c r="AB753">
        <v>41.407026999999999</v>
      </c>
      <c r="AC753">
        <v>50</v>
      </c>
      <c r="AD753">
        <v>61.068100000000001</v>
      </c>
      <c r="AE753">
        <v>40.712066999999998</v>
      </c>
      <c r="AF753">
        <v>50</v>
      </c>
      <c r="AG753">
        <v>60.008167</v>
      </c>
      <c r="AH753">
        <v>65.254839000000004</v>
      </c>
      <c r="AI753">
        <v>40.005443999999997</v>
      </c>
      <c r="AJ753">
        <v>50</v>
      </c>
      <c r="AK753">
        <v>9.58</v>
      </c>
      <c r="AL753">
        <v>12.88</v>
      </c>
      <c r="AM753">
        <v>5.24</v>
      </c>
      <c r="AN753">
        <v>0.59389000000000003</v>
      </c>
      <c r="AO753">
        <v>59.388953000000001</v>
      </c>
      <c r="AP753">
        <v>100</v>
      </c>
      <c r="AQ753">
        <v>0.67473000000000005</v>
      </c>
      <c r="AR753">
        <v>67.473027000000002</v>
      </c>
      <c r="AS753">
        <v>100</v>
      </c>
      <c r="AT753">
        <v>0.55846300000000004</v>
      </c>
      <c r="AU753">
        <v>0.69187900000000002</v>
      </c>
      <c r="AV753">
        <v>55.846257000000001</v>
      </c>
      <c r="AW753">
        <v>100</v>
      </c>
      <c r="AX753">
        <v>0.64759</v>
      </c>
      <c r="AY753">
        <v>0.74979899999999999</v>
      </c>
      <c r="AZ753">
        <v>64.758993000000004</v>
      </c>
      <c r="BA753">
        <v>100</v>
      </c>
      <c r="BB753">
        <v>0.86261600000000005</v>
      </c>
      <c r="BC753">
        <v>43.130822000000002</v>
      </c>
      <c r="BD753">
        <v>50</v>
      </c>
      <c r="BE753">
        <v>0.62859600000000004</v>
      </c>
      <c r="BF753">
        <v>31.429811000000001</v>
      </c>
      <c r="BG753">
        <v>50</v>
      </c>
      <c r="BH753">
        <v>0</v>
      </c>
      <c r="BI753">
        <v>0.99657499999999999</v>
      </c>
      <c r="BJ753">
        <v>0.995726</v>
      </c>
      <c r="BK753">
        <v>1</v>
      </c>
      <c r="BL753">
        <v>0.99657499999999999</v>
      </c>
      <c r="BM753">
        <v>0.995726</v>
      </c>
      <c r="BN753">
        <v>1</v>
      </c>
      <c r="BO753">
        <v>1</v>
      </c>
      <c r="BP753">
        <v>1</v>
      </c>
      <c r="BQ753">
        <v>1</v>
      </c>
      <c r="BR753">
        <v>8.5066000000000003E-2</v>
      </c>
      <c r="BS753">
        <v>42.986767</v>
      </c>
      <c r="BT753">
        <v>50</v>
      </c>
      <c r="BU753">
        <v>8.6651000000000006E-2</v>
      </c>
      <c r="BV753">
        <v>42.669789000000002</v>
      </c>
      <c r="BW753">
        <v>50</v>
      </c>
      <c r="BX753" t="s">
        <v>125</v>
      </c>
      <c r="BY753" t="s">
        <v>125</v>
      </c>
      <c r="BZ753" t="s">
        <v>125</v>
      </c>
      <c r="CA753" t="s">
        <v>125</v>
      </c>
      <c r="CB753" t="s">
        <v>125</v>
      </c>
      <c r="CC753" t="s">
        <v>125</v>
      </c>
      <c r="CD753" t="s">
        <v>125</v>
      </c>
      <c r="CE753" t="s">
        <v>125</v>
      </c>
      <c r="CF753" t="s">
        <v>125</v>
      </c>
      <c r="CG753" t="s">
        <v>125</v>
      </c>
      <c r="CH753" t="s">
        <v>125</v>
      </c>
      <c r="CI753" t="s">
        <v>125</v>
      </c>
      <c r="CJ753" t="s">
        <v>125</v>
      </c>
      <c r="CK753" t="s">
        <v>125</v>
      </c>
      <c r="CL753" t="s">
        <v>125</v>
      </c>
      <c r="CM753" t="s">
        <v>125</v>
      </c>
      <c r="CN753" t="s">
        <v>125</v>
      </c>
      <c r="CO753" t="s">
        <v>125</v>
      </c>
      <c r="CP753" t="s">
        <v>125</v>
      </c>
      <c r="CQ753">
        <v>0.69892500000000002</v>
      </c>
      <c r="CR753">
        <v>0.96875</v>
      </c>
      <c r="CS753">
        <v>46.594982000000002</v>
      </c>
      <c r="CT753">
        <v>50</v>
      </c>
      <c r="CU753" t="s">
        <v>125</v>
      </c>
      <c r="CV753" t="s">
        <v>125</v>
      </c>
      <c r="CW753" t="s">
        <v>125</v>
      </c>
      <c r="CX753" t="s">
        <v>125</v>
      </c>
      <c r="CY753" t="s">
        <v>125</v>
      </c>
      <c r="CZ753" t="s">
        <v>125</v>
      </c>
      <c r="DA753">
        <v>15.314097</v>
      </c>
      <c r="DB753">
        <v>17.400950000000002</v>
      </c>
      <c r="DC753">
        <v>16.332519999999999</v>
      </c>
      <c r="DD753" t="s">
        <v>125</v>
      </c>
      <c r="DE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Q753" t="s">
        <v>126</v>
      </c>
    </row>
    <row r="754" spans="1:121" x14ac:dyDescent="0.15">
      <c r="A754">
        <v>2018</v>
      </c>
      <c r="B754" t="s">
        <v>160</v>
      </c>
      <c r="C754" t="str">
        <f t="shared" si="31"/>
        <v>1030011</v>
      </c>
      <c r="D754" t="s">
        <v>909</v>
      </c>
      <c r="E754" t="str">
        <f>"1030811"</f>
        <v>1030811</v>
      </c>
      <c r="F754" t="s">
        <v>328</v>
      </c>
      <c r="G754" t="s">
        <v>339</v>
      </c>
      <c r="H754">
        <v>5</v>
      </c>
      <c r="I754" t="s">
        <v>336</v>
      </c>
      <c r="J754" t="s">
        <v>331</v>
      </c>
      <c r="K754">
        <v>712.33841199999995</v>
      </c>
      <c r="L754">
        <v>950</v>
      </c>
      <c r="M754">
        <v>74.982990999999998</v>
      </c>
      <c r="N754">
        <v>2</v>
      </c>
      <c r="O754">
        <v>0</v>
      </c>
      <c r="P754">
        <v>65.264429000000007</v>
      </c>
      <c r="Q754">
        <v>43.509619000000001</v>
      </c>
      <c r="R754">
        <v>50</v>
      </c>
      <c r="S754">
        <v>63.619894000000002</v>
      </c>
      <c r="T754">
        <v>72.865835000000004</v>
      </c>
      <c r="U754">
        <v>42.413262000000003</v>
      </c>
      <c r="V754">
        <v>50</v>
      </c>
      <c r="W754">
        <v>62.769973999999998</v>
      </c>
      <c r="X754">
        <v>41.846649999999997</v>
      </c>
      <c r="Y754">
        <v>50</v>
      </c>
      <c r="Z754">
        <v>69.605605999999995</v>
      </c>
      <c r="AA754">
        <v>61.291111999999998</v>
      </c>
      <c r="AB754">
        <v>40.860740999999997</v>
      </c>
      <c r="AC754">
        <v>50</v>
      </c>
      <c r="AD754">
        <v>63.127893999999998</v>
      </c>
      <c r="AE754">
        <v>42.085262</v>
      </c>
      <c r="AF754">
        <v>50</v>
      </c>
      <c r="AG754">
        <v>61.42765</v>
      </c>
      <c r="AH754" t="s">
        <v>125</v>
      </c>
      <c r="AI754">
        <v>40.951766999999997</v>
      </c>
      <c r="AJ754">
        <v>50</v>
      </c>
      <c r="AK754">
        <v>9.24</v>
      </c>
      <c r="AL754">
        <v>8.31</v>
      </c>
      <c r="AM754" t="s">
        <v>125</v>
      </c>
      <c r="AN754">
        <v>0.64826099999999998</v>
      </c>
      <c r="AO754">
        <v>64.826087000000001</v>
      </c>
      <c r="AP754">
        <v>100</v>
      </c>
      <c r="AQ754">
        <v>0.70147599999999999</v>
      </c>
      <c r="AR754">
        <v>70.147576000000001</v>
      </c>
      <c r="AS754">
        <v>100</v>
      </c>
      <c r="AT754">
        <v>0.63341800000000004</v>
      </c>
      <c r="AU754">
        <v>0.70943100000000003</v>
      </c>
      <c r="AV754">
        <v>63.341818000000004</v>
      </c>
      <c r="AW754">
        <v>100</v>
      </c>
      <c r="AX754">
        <v>0.69931399999999999</v>
      </c>
      <c r="AY754">
        <v>0.71038599999999996</v>
      </c>
      <c r="AZ754">
        <v>69.931363000000005</v>
      </c>
      <c r="BA754">
        <v>100</v>
      </c>
      <c r="BB754">
        <v>0.66799799999999998</v>
      </c>
      <c r="BC754">
        <v>33.399887</v>
      </c>
      <c r="BD754">
        <v>50</v>
      </c>
      <c r="BE754">
        <v>0.51689600000000002</v>
      </c>
      <c r="BF754">
        <v>25.844795999999999</v>
      </c>
      <c r="BG754">
        <v>50</v>
      </c>
      <c r="BH754">
        <v>0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 t="s">
        <v>125</v>
      </c>
      <c r="BR754">
        <v>7.2289000000000006E-2</v>
      </c>
      <c r="BS754">
        <v>45.542169000000001</v>
      </c>
      <c r="BT754">
        <v>50</v>
      </c>
      <c r="BU754">
        <v>7.6371999999999995E-2</v>
      </c>
      <c r="BV754">
        <v>44.725537000000003</v>
      </c>
      <c r="BW754">
        <v>50</v>
      </c>
      <c r="BX754" t="s">
        <v>125</v>
      </c>
      <c r="BY754" t="s">
        <v>125</v>
      </c>
      <c r="BZ754" t="s">
        <v>125</v>
      </c>
      <c r="CA754" t="s">
        <v>125</v>
      </c>
      <c r="CB754" t="s">
        <v>125</v>
      </c>
      <c r="CC754" t="s">
        <v>125</v>
      </c>
      <c r="CD754" t="s">
        <v>125</v>
      </c>
      <c r="CE754" t="s">
        <v>125</v>
      </c>
      <c r="CF754" t="s">
        <v>125</v>
      </c>
      <c r="CG754" t="s">
        <v>125</v>
      </c>
      <c r="CH754" t="s">
        <v>125</v>
      </c>
      <c r="CI754" t="s">
        <v>125</v>
      </c>
      <c r="CJ754" t="s">
        <v>125</v>
      </c>
      <c r="CK754" t="s">
        <v>125</v>
      </c>
      <c r="CL754" t="s">
        <v>125</v>
      </c>
      <c r="CM754" t="s">
        <v>125</v>
      </c>
      <c r="CN754" t="s">
        <v>125</v>
      </c>
      <c r="CO754" t="s">
        <v>125</v>
      </c>
      <c r="CP754" t="s">
        <v>125</v>
      </c>
      <c r="CQ754">
        <v>0.64367799999999997</v>
      </c>
      <c r="CR754">
        <v>1</v>
      </c>
      <c r="CS754">
        <v>42.911876999999997</v>
      </c>
      <c r="CT754">
        <v>50</v>
      </c>
      <c r="CU754" t="s">
        <v>125</v>
      </c>
      <c r="CV754" t="s">
        <v>125</v>
      </c>
      <c r="CW754" t="s">
        <v>125</v>
      </c>
      <c r="CX754" t="s">
        <v>125</v>
      </c>
      <c r="CY754" t="s">
        <v>125</v>
      </c>
      <c r="CZ754" t="s">
        <v>125</v>
      </c>
      <c r="DA754">
        <v>15.314097</v>
      </c>
      <c r="DB754">
        <v>17.400950000000002</v>
      </c>
      <c r="DC754">
        <v>16.332519999999999</v>
      </c>
      <c r="DD754" t="s">
        <v>125</v>
      </c>
      <c r="DE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Q754" t="s">
        <v>126</v>
      </c>
    </row>
    <row r="755" spans="1:121" x14ac:dyDescent="0.15">
      <c r="A755">
        <v>2018</v>
      </c>
      <c r="B755" t="s">
        <v>160</v>
      </c>
      <c r="C755" t="str">
        <f t="shared" si="31"/>
        <v>1030011</v>
      </c>
      <c r="D755" t="s">
        <v>910</v>
      </c>
      <c r="E755" t="str">
        <f>"1032211"</f>
        <v>1032211</v>
      </c>
      <c r="F755" t="s">
        <v>328</v>
      </c>
      <c r="G755" t="s">
        <v>339</v>
      </c>
      <c r="H755">
        <v>5</v>
      </c>
      <c r="I755" t="s">
        <v>336</v>
      </c>
      <c r="J755" t="s">
        <v>331</v>
      </c>
      <c r="K755">
        <v>791.63428899999997</v>
      </c>
      <c r="L755">
        <v>950</v>
      </c>
      <c r="M755">
        <v>83.329925000000003</v>
      </c>
      <c r="N755">
        <v>2</v>
      </c>
      <c r="O755">
        <v>0</v>
      </c>
      <c r="P755">
        <v>70.683888999999994</v>
      </c>
      <c r="Q755">
        <v>47.122593000000002</v>
      </c>
      <c r="R755">
        <v>50</v>
      </c>
      <c r="S755">
        <v>66.023588000000004</v>
      </c>
      <c r="T755">
        <v>75</v>
      </c>
      <c r="U755">
        <v>44.015725000000003</v>
      </c>
      <c r="V755">
        <v>50</v>
      </c>
      <c r="W755">
        <v>68.414838000000003</v>
      </c>
      <c r="X755">
        <v>45.609892000000002</v>
      </c>
      <c r="Y755">
        <v>50</v>
      </c>
      <c r="Z755">
        <v>74.730163000000005</v>
      </c>
      <c r="AA755">
        <v>64.933949999999996</v>
      </c>
      <c r="AB755">
        <v>43.289299999999997</v>
      </c>
      <c r="AC755">
        <v>50</v>
      </c>
      <c r="AD755">
        <v>70.052029000000005</v>
      </c>
      <c r="AE755">
        <v>46.701352999999997</v>
      </c>
      <c r="AF755">
        <v>50</v>
      </c>
      <c r="AG755">
        <v>62.388993999999997</v>
      </c>
      <c r="AH755">
        <v>75</v>
      </c>
      <c r="AI755">
        <v>41.592663000000002</v>
      </c>
      <c r="AJ755">
        <v>50</v>
      </c>
      <c r="AK755">
        <v>8.9700000000000006</v>
      </c>
      <c r="AL755">
        <v>9.7899999999999991</v>
      </c>
      <c r="AM755">
        <v>12.61</v>
      </c>
      <c r="AN755">
        <v>0.678616</v>
      </c>
      <c r="AO755">
        <v>67.861585000000005</v>
      </c>
      <c r="AP755">
        <v>100</v>
      </c>
      <c r="AQ755">
        <v>0.85511400000000004</v>
      </c>
      <c r="AR755">
        <v>85.511393999999996</v>
      </c>
      <c r="AS755">
        <v>100</v>
      </c>
      <c r="AT755">
        <v>0.68703199999999998</v>
      </c>
      <c r="AU755">
        <v>0.66554100000000005</v>
      </c>
      <c r="AV755">
        <v>68.703171999999995</v>
      </c>
      <c r="AW755">
        <v>100</v>
      </c>
      <c r="AX755">
        <v>0.89432699999999998</v>
      </c>
      <c r="AY755">
        <v>0.79419399999999996</v>
      </c>
      <c r="AZ755">
        <v>89.432698000000002</v>
      </c>
      <c r="BA755">
        <v>100</v>
      </c>
      <c r="BB755">
        <v>0.722549</v>
      </c>
      <c r="BC755">
        <v>36.127470000000002</v>
      </c>
      <c r="BD755">
        <v>50</v>
      </c>
      <c r="BE755">
        <v>0.53175899999999998</v>
      </c>
      <c r="BF755">
        <v>26.587945999999999</v>
      </c>
      <c r="BG755">
        <v>50</v>
      </c>
      <c r="BH755">
        <v>0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4.8951000000000001E-2</v>
      </c>
      <c r="BS755">
        <v>50</v>
      </c>
      <c r="BT755">
        <v>50</v>
      </c>
      <c r="BU755">
        <v>5.4607999999999997E-2</v>
      </c>
      <c r="BV755">
        <v>49.078498000000003</v>
      </c>
      <c r="BW755">
        <v>50</v>
      </c>
      <c r="BX755" t="s">
        <v>125</v>
      </c>
      <c r="BY755" t="s">
        <v>125</v>
      </c>
      <c r="BZ755" t="s">
        <v>125</v>
      </c>
      <c r="CA755" t="s">
        <v>125</v>
      </c>
      <c r="CB755" t="s">
        <v>125</v>
      </c>
      <c r="CC755" t="s">
        <v>125</v>
      </c>
      <c r="CD755" t="s">
        <v>125</v>
      </c>
      <c r="CE755" t="s">
        <v>125</v>
      </c>
      <c r="CF755" t="s">
        <v>125</v>
      </c>
      <c r="CG755" t="s">
        <v>125</v>
      </c>
      <c r="CH755" t="s">
        <v>125</v>
      </c>
      <c r="CI755" t="s">
        <v>125</v>
      </c>
      <c r="CJ755" t="s">
        <v>125</v>
      </c>
      <c r="CK755" t="s">
        <v>125</v>
      </c>
      <c r="CL755" t="s">
        <v>125</v>
      </c>
      <c r="CM755" t="s">
        <v>125</v>
      </c>
      <c r="CN755" t="s">
        <v>125</v>
      </c>
      <c r="CO755" t="s">
        <v>125</v>
      </c>
      <c r="CP755" t="s">
        <v>125</v>
      </c>
      <c r="CQ755">
        <v>0.84337300000000004</v>
      </c>
      <c r="CR755">
        <v>1</v>
      </c>
      <c r="CS755">
        <v>50</v>
      </c>
      <c r="CT755">
        <v>50</v>
      </c>
      <c r="CU755" t="s">
        <v>125</v>
      </c>
      <c r="CV755" t="s">
        <v>125</v>
      </c>
      <c r="CW755" t="s">
        <v>125</v>
      </c>
      <c r="CX755" t="s">
        <v>125</v>
      </c>
      <c r="CY755" t="s">
        <v>125</v>
      </c>
      <c r="CZ755" t="s">
        <v>125</v>
      </c>
      <c r="DA755">
        <v>15.314097</v>
      </c>
      <c r="DB755">
        <v>17.400950000000002</v>
      </c>
      <c r="DC755">
        <v>16.332519999999999</v>
      </c>
      <c r="DD755" t="s">
        <v>125</v>
      </c>
      <c r="DE755">
        <v>0</v>
      </c>
      <c r="DH755" t="s">
        <v>332</v>
      </c>
      <c r="DI755" t="s">
        <v>453</v>
      </c>
      <c r="DJ755">
        <v>0</v>
      </c>
      <c r="DK755">
        <v>0</v>
      </c>
      <c r="DL755">
        <v>1</v>
      </c>
      <c r="DM755">
        <v>0</v>
      </c>
      <c r="DN755">
        <v>1</v>
      </c>
      <c r="DO755">
        <v>0</v>
      </c>
      <c r="DQ755" t="s">
        <v>126</v>
      </c>
    </row>
    <row r="756" spans="1:121" x14ac:dyDescent="0.15">
      <c r="A756">
        <v>2018</v>
      </c>
      <c r="B756" t="s">
        <v>160</v>
      </c>
      <c r="C756" t="str">
        <f t="shared" si="31"/>
        <v>1030011</v>
      </c>
      <c r="D756" t="s">
        <v>911</v>
      </c>
      <c r="E756" t="str">
        <f>"1032111"</f>
        <v>1032111</v>
      </c>
      <c r="F756" t="s">
        <v>328</v>
      </c>
      <c r="G756" t="s">
        <v>329</v>
      </c>
      <c r="H756">
        <v>5</v>
      </c>
      <c r="J756" t="s">
        <v>331</v>
      </c>
      <c r="K756">
        <v>702.06001700000002</v>
      </c>
      <c r="L756">
        <v>950</v>
      </c>
      <c r="M756">
        <v>73.901054000000002</v>
      </c>
      <c r="N756">
        <v>2</v>
      </c>
      <c r="O756">
        <v>0</v>
      </c>
      <c r="P756">
        <v>71.047585999999995</v>
      </c>
      <c r="Q756">
        <v>47.365057</v>
      </c>
      <c r="R756">
        <v>50</v>
      </c>
      <c r="S756">
        <v>63.986078999999997</v>
      </c>
      <c r="T756">
        <v>75</v>
      </c>
      <c r="U756">
        <v>42.657386000000002</v>
      </c>
      <c r="V756">
        <v>50</v>
      </c>
      <c r="W756">
        <v>66.748904999999993</v>
      </c>
      <c r="X756">
        <v>44.499270000000003</v>
      </c>
      <c r="Y756">
        <v>50</v>
      </c>
      <c r="Z756">
        <v>75</v>
      </c>
      <c r="AA756">
        <v>61.142741000000001</v>
      </c>
      <c r="AB756">
        <v>40.761826999999997</v>
      </c>
      <c r="AC756">
        <v>50</v>
      </c>
      <c r="AD756">
        <v>68.420507000000001</v>
      </c>
      <c r="AE756">
        <v>45.613670999999997</v>
      </c>
      <c r="AF756">
        <v>50</v>
      </c>
      <c r="AG756">
        <v>62.582343000000002</v>
      </c>
      <c r="AH756" t="s">
        <v>125</v>
      </c>
      <c r="AI756">
        <v>41.721561999999999</v>
      </c>
      <c r="AJ756">
        <v>50</v>
      </c>
      <c r="AK756">
        <v>11.01</v>
      </c>
      <c r="AL756">
        <v>13.85</v>
      </c>
      <c r="AM756" t="s">
        <v>125</v>
      </c>
      <c r="AN756">
        <v>0.57404500000000003</v>
      </c>
      <c r="AO756">
        <v>57.404510999999999</v>
      </c>
      <c r="AP756">
        <v>100</v>
      </c>
      <c r="AQ756">
        <v>0.59448699999999999</v>
      </c>
      <c r="AR756">
        <v>59.448740000000001</v>
      </c>
      <c r="AS756">
        <v>100</v>
      </c>
      <c r="AT756">
        <v>0.51884699999999995</v>
      </c>
      <c r="AU756">
        <v>0.66005100000000005</v>
      </c>
      <c r="AV756">
        <v>51.884737999999999</v>
      </c>
      <c r="AW756">
        <v>100</v>
      </c>
      <c r="AX756">
        <v>0.54349099999999995</v>
      </c>
      <c r="AY756">
        <v>0.67394699999999996</v>
      </c>
      <c r="AZ756">
        <v>54.349063000000001</v>
      </c>
      <c r="BA756">
        <v>100</v>
      </c>
      <c r="BB756">
        <v>0.98470800000000003</v>
      </c>
      <c r="BC756">
        <v>49.235385999999998</v>
      </c>
      <c r="BD756">
        <v>50</v>
      </c>
      <c r="BE756">
        <v>0.65181699999999998</v>
      </c>
      <c r="BF756">
        <v>32.590873000000002</v>
      </c>
      <c r="BG756">
        <v>50</v>
      </c>
      <c r="BH756">
        <v>0</v>
      </c>
      <c r="BI756">
        <v>0.99465199999999998</v>
      </c>
      <c r="BJ756">
        <v>1</v>
      </c>
      <c r="BK756">
        <v>0.98550700000000002</v>
      </c>
      <c r="BL756">
        <v>0.99468100000000004</v>
      </c>
      <c r="BM756">
        <v>1</v>
      </c>
      <c r="BN756">
        <v>0.98550700000000002</v>
      </c>
      <c r="BO756">
        <v>1</v>
      </c>
      <c r="BP756">
        <v>1</v>
      </c>
      <c r="BQ756" t="s">
        <v>125</v>
      </c>
      <c r="BR756">
        <v>6.7416000000000004E-2</v>
      </c>
      <c r="BS756">
        <v>46.516854000000002</v>
      </c>
      <c r="BT756">
        <v>50</v>
      </c>
      <c r="BU756">
        <v>7.3058999999999999E-2</v>
      </c>
      <c r="BV756">
        <v>45.388128000000002</v>
      </c>
      <c r="BW756">
        <v>50</v>
      </c>
      <c r="BX756" t="s">
        <v>125</v>
      </c>
      <c r="BY756" t="s">
        <v>125</v>
      </c>
      <c r="BZ756" t="s">
        <v>125</v>
      </c>
      <c r="CA756" t="s">
        <v>125</v>
      </c>
      <c r="CB756" t="s">
        <v>125</v>
      </c>
      <c r="CC756" t="s">
        <v>125</v>
      </c>
      <c r="CD756" t="s">
        <v>125</v>
      </c>
      <c r="CE756" t="s">
        <v>125</v>
      </c>
      <c r="CF756" t="s">
        <v>125</v>
      </c>
      <c r="CG756" t="s">
        <v>125</v>
      </c>
      <c r="CH756" t="s">
        <v>125</v>
      </c>
      <c r="CI756" t="s">
        <v>125</v>
      </c>
      <c r="CJ756" t="s">
        <v>125</v>
      </c>
      <c r="CK756" t="s">
        <v>125</v>
      </c>
      <c r="CL756" t="s">
        <v>125</v>
      </c>
      <c r="CM756" t="s">
        <v>125</v>
      </c>
      <c r="CN756" t="s">
        <v>125</v>
      </c>
      <c r="CO756" t="s">
        <v>125</v>
      </c>
      <c r="CP756" t="s">
        <v>125</v>
      </c>
      <c r="CQ756">
        <v>0.63934400000000002</v>
      </c>
      <c r="CR756">
        <v>1</v>
      </c>
      <c r="CS756">
        <v>42.622951</v>
      </c>
      <c r="CT756">
        <v>50</v>
      </c>
      <c r="CU756" t="s">
        <v>125</v>
      </c>
      <c r="CV756" t="s">
        <v>125</v>
      </c>
      <c r="CW756" t="s">
        <v>125</v>
      </c>
      <c r="CX756" t="s">
        <v>125</v>
      </c>
      <c r="CY756" t="s">
        <v>125</v>
      </c>
      <c r="CZ756" t="s">
        <v>125</v>
      </c>
      <c r="DA756">
        <v>15.314097</v>
      </c>
      <c r="DB756">
        <v>17.400950000000002</v>
      </c>
      <c r="DC756">
        <v>16.332519999999999</v>
      </c>
      <c r="DD756" t="s">
        <v>125</v>
      </c>
      <c r="DE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Q756" t="s">
        <v>126</v>
      </c>
    </row>
    <row r="757" spans="1:121" x14ac:dyDescent="0.15">
      <c r="A757">
        <v>2018</v>
      </c>
      <c r="B757" t="s">
        <v>160</v>
      </c>
      <c r="C757" t="str">
        <f t="shared" si="31"/>
        <v>1030011</v>
      </c>
      <c r="D757" t="s">
        <v>912</v>
      </c>
      <c r="E757" t="str">
        <f>"1035211"</f>
        <v>1035211</v>
      </c>
      <c r="F757" t="s">
        <v>328</v>
      </c>
      <c r="G757">
        <v>6</v>
      </c>
      <c r="H757">
        <v>8</v>
      </c>
      <c r="J757" t="s">
        <v>331</v>
      </c>
      <c r="K757">
        <v>642.665344</v>
      </c>
      <c r="L757">
        <v>1000</v>
      </c>
      <c r="M757">
        <v>64.266533999999993</v>
      </c>
      <c r="N757">
        <v>3</v>
      </c>
      <c r="O757">
        <v>1</v>
      </c>
      <c r="P757">
        <v>64.182543999999993</v>
      </c>
      <c r="Q757">
        <v>42.788362999999997</v>
      </c>
      <c r="R757">
        <v>50</v>
      </c>
      <c r="S757">
        <v>58.298380999999999</v>
      </c>
      <c r="T757">
        <v>74.372844000000001</v>
      </c>
      <c r="U757">
        <v>38.865586999999998</v>
      </c>
      <c r="V757">
        <v>50</v>
      </c>
      <c r="W757">
        <v>57.826433000000002</v>
      </c>
      <c r="X757">
        <v>38.550955000000002</v>
      </c>
      <c r="Y757">
        <v>50</v>
      </c>
      <c r="Z757">
        <v>68.808897999999999</v>
      </c>
      <c r="AA757">
        <v>51.484851999999997</v>
      </c>
      <c r="AB757">
        <v>34.323233999999999</v>
      </c>
      <c r="AC757">
        <v>50</v>
      </c>
      <c r="AD757">
        <v>58.222738</v>
      </c>
      <c r="AE757">
        <v>38.815159000000001</v>
      </c>
      <c r="AF757">
        <v>50</v>
      </c>
      <c r="AG757">
        <v>53.227663</v>
      </c>
      <c r="AH757">
        <v>66.727866000000006</v>
      </c>
      <c r="AI757">
        <v>35.485109000000001</v>
      </c>
      <c r="AJ757">
        <v>50</v>
      </c>
      <c r="AK757">
        <v>16.07</v>
      </c>
      <c r="AL757">
        <v>17.32</v>
      </c>
      <c r="AM757">
        <v>13.5</v>
      </c>
      <c r="AN757">
        <v>0.58565599999999995</v>
      </c>
      <c r="AO757">
        <v>58.565615000000001</v>
      </c>
      <c r="AP757">
        <v>100</v>
      </c>
      <c r="AQ757">
        <v>0.50376600000000005</v>
      </c>
      <c r="AR757">
        <v>50.376648000000003</v>
      </c>
      <c r="AS757">
        <v>100</v>
      </c>
      <c r="AT757">
        <v>0.58401499999999995</v>
      </c>
      <c r="AU757">
        <v>0.58842099999999997</v>
      </c>
      <c r="AV757">
        <v>58.401471999999998</v>
      </c>
      <c r="AW757">
        <v>100</v>
      </c>
      <c r="AX757">
        <v>0.47371099999999999</v>
      </c>
      <c r="AY757">
        <v>0.55440100000000003</v>
      </c>
      <c r="AZ757">
        <v>47.371085999999998</v>
      </c>
      <c r="BA757">
        <v>100</v>
      </c>
      <c r="BB757">
        <v>0.77302499999999996</v>
      </c>
      <c r="BC757">
        <v>38.651266</v>
      </c>
      <c r="BD757">
        <v>50</v>
      </c>
      <c r="BE757">
        <v>0.69955299999999998</v>
      </c>
      <c r="BF757">
        <v>34.977668999999999</v>
      </c>
      <c r="BG757">
        <v>50</v>
      </c>
      <c r="BH757">
        <v>0</v>
      </c>
      <c r="BI757">
        <v>0.98480199999999996</v>
      </c>
      <c r="BJ757">
        <v>0.99069799999999997</v>
      </c>
      <c r="BK757">
        <v>0.97368399999999999</v>
      </c>
      <c r="BL757">
        <v>0.98480199999999996</v>
      </c>
      <c r="BM757">
        <v>0.99069799999999997</v>
      </c>
      <c r="BN757">
        <v>0.97368399999999999</v>
      </c>
      <c r="BO757">
        <v>0.99086799999999997</v>
      </c>
      <c r="BP757">
        <v>0.98620699999999994</v>
      </c>
      <c r="BQ757">
        <v>1</v>
      </c>
      <c r="BR757">
        <v>0.13939399999999999</v>
      </c>
      <c r="BS757">
        <v>32.121212</v>
      </c>
      <c r="BT757">
        <v>50</v>
      </c>
      <c r="BU757">
        <v>0.17757000000000001</v>
      </c>
      <c r="BV757">
        <v>24.485980999999999</v>
      </c>
      <c r="BW757">
        <v>50</v>
      </c>
      <c r="BX757" t="s">
        <v>125</v>
      </c>
      <c r="BY757" t="s">
        <v>125</v>
      </c>
      <c r="BZ757" t="s">
        <v>125</v>
      </c>
      <c r="CA757" t="s">
        <v>125</v>
      </c>
      <c r="CB757" t="s">
        <v>125</v>
      </c>
      <c r="CC757" t="s">
        <v>125</v>
      </c>
      <c r="CD757">
        <v>0.96521699999999999</v>
      </c>
      <c r="CE757">
        <v>50</v>
      </c>
      <c r="CF757">
        <v>50</v>
      </c>
      <c r="CG757" t="s">
        <v>125</v>
      </c>
      <c r="CH757" t="s">
        <v>125</v>
      </c>
      <c r="CI757" t="s">
        <v>125</v>
      </c>
      <c r="CJ757" t="s">
        <v>125</v>
      </c>
      <c r="CK757" t="s">
        <v>125</v>
      </c>
      <c r="CL757" t="s">
        <v>125</v>
      </c>
      <c r="CM757" t="s">
        <v>125</v>
      </c>
      <c r="CN757" t="s">
        <v>125</v>
      </c>
      <c r="CO757" t="s">
        <v>125</v>
      </c>
      <c r="CP757" t="s">
        <v>125</v>
      </c>
      <c r="CQ757">
        <v>0.56657999999999997</v>
      </c>
      <c r="CR757">
        <v>0.88046000000000002</v>
      </c>
      <c r="CS757">
        <v>18.885988000000001</v>
      </c>
      <c r="CT757">
        <v>50</v>
      </c>
      <c r="CU757" t="s">
        <v>125</v>
      </c>
      <c r="CV757" t="s">
        <v>125</v>
      </c>
      <c r="CW757" t="s">
        <v>125</v>
      </c>
      <c r="CX757" t="s">
        <v>125</v>
      </c>
      <c r="CY757" t="s">
        <v>125</v>
      </c>
      <c r="CZ757" t="s">
        <v>125</v>
      </c>
      <c r="DA757">
        <v>15.314097</v>
      </c>
      <c r="DB757">
        <v>17.400950000000002</v>
      </c>
      <c r="DC757">
        <v>16.332519999999999</v>
      </c>
      <c r="DD757" t="s">
        <v>125</v>
      </c>
      <c r="DE757">
        <v>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Q757" t="s">
        <v>126</v>
      </c>
    </row>
    <row r="758" spans="1:121" x14ac:dyDescent="0.15">
      <c r="A758">
        <v>2018</v>
      </c>
      <c r="B758" t="s">
        <v>160</v>
      </c>
      <c r="C758" t="str">
        <f t="shared" si="31"/>
        <v>1030011</v>
      </c>
      <c r="D758" t="s">
        <v>913</v>
      </c>
      <c r="E758" t="str">
        <f>"1036111"</f>
        <v>1036111</v>
      </c>
      <c r="F758" t="s">
        <v>328</v>
      </c>
      <c r="G758">
        <v>9</v>
      </c>
      <c r="H758">
        <v>12</v>
      </c>
      <c r="J758" t="s">
        <v>331</v>
      </c>
      <c r="K758">
        <v>1089.067219</v>
      </c>
      <c r="L758">
        <v>1550</v>
      </c>
      <c r="M758">
        <v>70.262400999999997</v>
      </c>
      <c r="N758">
        <v>3</v>
      </c>
      <c r="O758">
        <v>1</v>
      </c>
      <c r="P758">
        <v>53.350693999999997</v>
      </c>
      <c r="Q758">
        <v>106.70138900000001</v>
      </c>
      <c r="R758">
        <v>150</v>
      </c>
      <c r="S758">
        <v>45.548575</v>
      </c>
      <c r="T758">
        <v>62.606625000000001</v>
      </c>
      <c r="U758">
        <v>91.097149999999999</v>
      </c>
      <c r="V758">
        <v>150</v>
      </c>
      <c r="W758">
        <v>50.569443999999997</v>
      </c>
      <c r="X758">
        <v>101.13888900000001</v>
      </c>
      <c r="Y758">
        <v>150</v>
      </c>
      <c r="Z758">
        <v>60.010351999999997</v>
      </c>
      <c r="AA758">
        <v>42.611401999999998</v>
      </c>
      <c r="AB758">
        <v>85.222803999999996</v>
      </c>
      <c r="AC758">
        <v>150</v>
      </c>
      <c r="AD758">
        <v>50.558830999999998</v>
      </c>
      <c r="AE758">
        <v>67.411773999999994</v>
      </c>
      <c r="AF758">
        <v>100</v>
      </c>
      <c r="AG758">
        <v>45.266933999999999</v>
      </c>
      <c r="AH758">
        <v>56.902532000000001</v>
      </c>
      <c r="AI758">
        <v>60.355911999999996</v>
      </c>
      <c r="AJ758">
        <v>100</v>
      </c>
      <c r="AK758">
        <v>17.05</v>
      </c>
      <c r="AL758">
        <v>17.39</v>
      </c>
      <c r="AM758">
        <v>11.63</v>
      </c>
      <c r="AN758" t="s">
        <v>125</v>
      </c>
      <c r="AO758" t="s">
        <v>125</v>
      </c>
      <c r="AP758" t="s">
        <v>125</v>
      </c>
      <c r="AQ758" t="s">
        <v>125</v>
      </c>
      <c r="AR758" t="s">
        <v>125</v>
      </c>
      <c r="AS758" t="s">
        <v>125</v>
      </c>
      <c r="AT758" t="s">
        <v>125</v>
      </c>
      <c r="AU758" t="s">
        <v>125</v>
      </c>
      <c r="AV758" t="s">
        <v>125</v>
      </c>
      <c r="AW758" t="s">
        <v>125</v>
      </c>
      <c r="AX758" t="s">
        <v>125</v>
      </c>
      <c r="AY758" t="s">
        <v>125</v>
      </c>
      <c r="AZ758" t="s">
        <v>125</v>
      </c>
      <c r="BA758" t="s">
        <v>125</v>
      </c>
      <c r="BB758">
        <v>0.56666300000000003</v>
      </c>
      <c r="BC758">
        <v>28.333134000000001</v>
      </c>
      <c r="BD758">
        <v>50</v>
      </c>
      <c r="BE758">
        <v>0.64891399999999999</v>
      </c>
      <c r="BF758">
        <v>32.445683000000002</v>
      </c>
      <c r="BG758">
        <v>50</v>
      </c>
      <c r="BH758">
        <v>0</v>
      </c>
      <c r="BI758">
        <v>0.98930499999999999</v>
      </c>
      <c r="BJ758">
        <v>0.981043</v>
      </c>
      <c r="BK758">
        <v>1</v>
      </c>
      <c r="BL758">
        <v>0.98930499999999999</v>
      </c>
      <c r="BM758">
        <v>0.981043</v>
      </c>
      <c r="BN758">
        <v>1</v>
      </c>
      <c r="BO758">
        <v>0.98395699999999997</v>
      </c>
      <c r="BP758">
        <v>0.97156399999999998</v>
      </c>
      <c r="BQ758">
        <v>1</v>
      </c>
      <c r="BR758">
        <v>0.17694499999999999</v>
      </c>
      <c r="BS758">
        <v>24.610951</v>
      </c>
      <c r="BT758">
        <v>50</v>
      </c>
      <c r="BU758">
        <v>0.22731599999999999</v>
      </c>
      <c r="BV758">
        <v>14.536771999999999</v>
      </c>
      <c r="BW758">
        <v>50</v>
      </c>
      <c r="BX758">
        <v>0.85958000000000001</v>
      </c>
      <c r="BY758">
        <v>50</v>
      </c>
      <c r="BZ758">
        <v>50</v>
      </c>
      <c r="CA758">
        <v>0.39370100000000002</v>
      </c>
      <c r="CB758">
        <v>26.246718999999999</v>
      </c>
      <c r="CC758">
        <v>50</v>
      </c>
      <c r="CD758">
        <v>0.89245300000000005</v>
      </c>
      <c r="CE758">
        <v>47.470894999999999</v>
      </c>
      <c r="CF758">
        <v>50</v>
      </c>
      <c r="CG758">
        <v>0.92493899999999996</v>
      </c>
      <c r="CH758">
        <v>98.397816000000006</v>
      </c>
      <c r="CI758">
        <v>100</v>
      </c>
      <c r="CJ758">
        <v>0</v>
      </c>
      <c r="CK758">
        <v>0.91428600000000004</v>
      </c>
      <c r="CL758">
        <v>97.264437999999998</v>
      </c>
      <c r="CM758">
        <v>100</v>
      </c>
      <c r="CN758">
        <v>0.65641000000000005</v>
      </c>
      <c r="CO758">
        <v>87.521367999999995</v>
      </c>
      <c r="CP758">
        <v>100</v>
      </c>
      <c r="CQ758">
        <v>0.30467300000000003</v>
      </c>
      <c r="CR758">
        <v>2.3672569999999999</v>
      </c>
      <c r="CS758">
        <v>20.311526000000001</v>
      </c>
      <c r="CT758">
        <v>50</v>
      </c>
      <c r="CU758">
        <v>0.62824199999999997</v>
      </c>
      <c r="CV758">
        <v>50</v>
      </c>
      <c r="CW758">
        <v>50</v>
      </c>
      <c r="CX758">
        <v>0.91428600000000004</v>
      </c>
      <c r="CY758">
        <v>0.94</v>
      </c>
      <c r="CZ758">
        <v>2.5714000000000001E-2</v>
      </c>
      <c r="DA758">
        <v>15.314097</v>
      </c>
      <c r="DB758">
        <v>17.400950000000002</v>
      </c>
      <c r="DC758">
        <v>16.332519999999999</v>
      </c>
      <c r="DD758">
        <v>7.9891730000000001</v>
      </c>
      <c r="DE758">
        <v>1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Q758" t="s">
        <v>126</v>
      </c>
    </row>
    <row r="759" spans="1:121" x14ac:dyDescent="0.15">
      <c r="A759">
        <v>2018</v>
      </c>
      <c r="B759" t="s">
        <v>160</v>
      </c>
      <c r="C759" t="str">
        <f t="shared" si="31"/>
        <v>1030011</v>
      </c>
      <c r="D759" t="s">
        <v>914</v>
      </c>
      <c r="E759" t="str">
        <f>"1035311"</f>
        <v>1035311</v>
      </c>
      <c r="F759" t="s">
        <v>328</v>
      </c>
      <c r="G759">
        <v>6</v>
      </c>
      <c r="H759">
        <v>8</v>
      </c>
      <c r="I759" t="s">
        <v>336</v>
      </c>
      <c r="J759" t="s">
        <v>331</v>
      </c>
      <c r="K759">
        <v>644.41283299999998</v>
      </c>
      <c r="L759">
        <v>1000</v>
      </c>
      <c r="M759">
        <v>64.441282999999999</v>
      </c>
      <c r="N759">
        <v>3</v>
      </c>
      <c r="O759">
        <v>1</v>
      </c>
      <c r="P759">
        <v>61.111322999999999</v>
      </c>
      <c r="Q759">
        <v>40.740881999999999</v>
      </c>
      <c r="R759">
        <v>50</v>
      </c>
      <c r="S759">
        <v>56.812621</v>
      </c>
      <c r="T759">
        <v>75</v>
      </c>
      <c r="U759">
        <v>37.875081000000002</v>
      </c>
      <c r="V759">
        <v>50</v>
      </c>
      <c r="W759">
        <v>52.666448000000003</v>
      </c>
      <c r="X759">
        <v>35.110965</v>
      </c>
      <c r="Y759">
        <v>50</v>
      </c>
      <c r="Z759">
        <v>67.535852000000006</v>
      </c>
      <c r="AA759">
        <v>48.184427999999997</v>
      </c>
      <c r="AB759">
        <v>32.122951999999998</v>
      </c>
      <c r="AC759">
        <v>50</v>
      </c>
      <c r="AD759">
        <v>50.898045000000003</v>
      </c>
      <c r="AE759">
        <v>33.932029999999997</v>
      </c>
      <c r="AF759">
        <v>50</v>
      </c>
      <c r="AG759">
        <v>46.408284999999999</v>
      </c>
      <c r="AH759">
        <v>64.682395999999997</v>
      </c>
      <c r="AI759">
        <v>30.938856999999999</v>
      </c>
      <c r="AJ759">
        <v>50</v>
      </c>
      <c r="AK759">
        <v>18.18</v>
      </c>
      <c r="AL759">
        <v>19.350000000000001</v>
      </c>
      <c r="AM759">
        <v>18.27</v>
      </c>
      <c r="AN759">
        <v>0.606819</v>
      </c>
      <c r="AO759">
        <v>60.681882000000002</v>
      </c>
      <c r="AP759">
        <v>100</v>
      </c>
      <c r="AQ759">
        <v>0.520069</v>
      </c>
      <c r="AR759">
        <v>52.006950000000003</v>
      </c>
      <c r="AS759">
        <v>100</v>
      </c>
      <c r="AT759">
        <v>0.58664099999999997</v>
      </c>
      <c r="AU759">
        <v>0.66683400000000004</v>
      </c>
      <c r="AV759">
        <v>58.664116</v>
      </c>
      <c r="AW759">
        <v>100</v>
      </c>
      <c r="AX759">
        <v>0.48731799999999997</v>
      </c>
      <c r="AY759">
        <v>0.61706399999999995</v>
      </c>
      <c r="AZ759">
        <v>48.731799000000002</v>
      </c>
      <c r="BA759">
        <v>100</v>
      </c>
      <c r="BB759">
        <v>0.57493499999999997</v>
      </c>
      <c r="BC759">
        <v>28.746728000000001</v>
      </c>
      <c r="BD759">
        <v>50</v>
      </c>
      <c r="BE759">
        <v>0.57985799999999998</v>
      </c>
      <c r="BF759">
        <v>28.992909999999998</v>
      </c>
      <c r="BG759">
        <v>50</v>
      </c>
      <c r="BH759">
        <v>0</v>
      </c>
      <c r="BI759">
        <v>0.99417800000000001</v>
      </c>
      <c r="BJ759">
        <v>0.99442399999999997</v>
      </c>
      <c r="BK759">
        <v>0.99328899999999998</v>
      </c>
      <c r="BL759">
        <v>0.99126599999999998</v>
      </c>
      <c r="BM759">
        <v>0.99070599999999998</v>
      </c>
      <c r="BN759">
        <v>0.99328899999999998</v>
      </c>
      <c r="BO759">
        <v>0.97942399999999996</v>
      </c>
      <c r="BP759">
        <v>0.97837799999999997</v>
      </c>
      <c r="BQ759">
        <v>0.98275900000000005</v>
      </c>
      <c r="BR759">
        <v>0.114993</v>
      </c>
      <c r="BS759">
        <v>37.001455999999997</v>
      </c>
      <c r="BT759">
        <v>50</v>
      </c>
      <c r="BU759">
        <v>0.135849</v>
      </c>
      <c r="BV759">
        <v>32.830188999999997</v>
      </c>
      <c r="BW759">
        <v>50</v>
      </c>
      <c r="BX759" t="s">
        <v>125</v>
      </c>
      <c r="BY759" t="s">
        <v>125</v>
      </c>
      <c r="BZ759" t="s">
        <v>125</v>
      </c>
      <c r="CA759" t="s">
        <v>125</v>
      </c>
      <c r="CB759" t="s">
        <v>125</v>
      </c>
      <c r="CC759" t="s">
        <v>125</v>
      </c>
      <c r="CD759">
        <v>0.94711500000000004</v>
      </c>
      <c r="CE759">
        <v>50</v>
      </c>
      <c r="CF759">
        <v>50</v>
      </c>
      <c r="CG759" t="s">
        <v>125</v>
      </c>
      <c r="CH759" t="s">
        <v>125</v>
      </c>
      <c r="CI759" t="s">
        <v>125</v>
      </c>
      <c r="CJ759" t="s">
        <v>125</v>
      </c>
      <c r="CK759" t="s">
        <v>125</v>
      </c>
      <c r="CL759" t="s">
        <v>125</v>
      </c>
      <c r="CM759" t="s">
        <v>125</v>
      </c>
      <c r="CN759" t="s">
        <v>125</v>
      </c>
      <c r="CO759" t="s">
        <v>125</v>
      </c>
      <c r="CP759" t="s">
        <v>125</v>
      </c>
      <c r="CQ759">
        <v>0.54054100000000005</v>
      </c>
      <c r="CR759">
        <v>0.98230099999999998</v>
      </c>
      <c r="CS759">
        <v>36.036036000000003</v>
      </c>
      <c r="CT759">
        <v>50</v>
      </c>
      <c r="CU759" t="s">
        <v>125</v>
      </c>
      <c r="CV759" t="s">
        <v>125</v>
      </c>
      <c r="CW759" t="s">
        <v>125</v>
      </c>
      <c r="CX759" t="s">
        <v>125</v>
      </c>
      <c r="CY759" t="s">
        <v>125</v>
      </c>
      <c r="CZ759" t="s">
        <v>125</v>
      </c>
      <c r="DA759">
        <v>15.314097</v>
      </c>
      <c r="DB759">
        <v>17.400950000000002</v>
      </c>
      <c r="DC759">
        <v>16.332519999999999</v>
      </c>
      <c r="DD759" t="s">
        <v>125</v>
      </c>
      <c r="DE759">
        <v>1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Q759" t="s">
        <v>126</v>
      </c>
    </row>
    <row r="760" spans="1:121" x14ac:dyDescent="0.15">
      <c r="A760">
        <v>2018</v>
      </c>
      <c r="B760" t="s">
        <v>160</v>
      </c>
      <c r="C760" t="str">
        <f t="shared" si="31"/>
        <v>1030011</v>
      </c>
      <c r="D760" t="s">
        <v>915</v>
      </c>
      <c r="E760" t="str">
        <f>"1035511"</f>
        <v>1035511</v>
      </c>
      <c r="F760" t="s">
        <v>328</v>
      </c>
      <c r="G760">
        <v>6</v>
      </c>
      <c r="H760">
        <v>8</v>
      </c>
      <c r="J760" t="s">
        <v>331</v>
      </c>
      <c r="K760">
        <v>699.03039999999999</v>
      </c>
      <c r="L760">
        <v>1000</v>
      </c>
      <c r="M760">
        <v>69.903040000000004</v>
      </c>
      <c r="N760">
        <v>3</v>
      </c>
      <c r="O760">
        <v>1</v>
      </c>
      <c r="P760">
        <v>68.217296000000005</v>
      </c>
      <c r="Q760">
        <v>45.478197000000002</v>
      </c>
      <c r="R760">
        <v>50</v>
      </c>
      <c r="S760">
        <v>60.110753000000003</v>
      </c>
      <c r="T760">
        <v>75</v>
      </c>
      <c r="U760">
        <v>40.073835000000003</v>
      </c>
      <c r="V760">
        <v>50</v>
      </c>
      <c r="W760">
        <v>65.004458</v>
      </c>
      <c r="X760">
        <v>43.336305000000003</v>
      </c>
      <c r="Y760">
        <v>50</v>
      </c>
      <c r="Z760">
        <v>75</v>
      </c>
      <c r="AA760">
        <v>55.843760000000003</v>
      </c>
      <c r="AB760">
        <v>37.229173000000003</v>
      </c>
      <c r="AC760">
        <v>50</v>
      </c>
      <c r="AD760">
        <v>67.134484999999998</v>
      </c>
      <c r="AE760">
        <v>44.756323000000002</v>
      </c>
      <c r="AF760">
        <v>50</v>
      </c>
      <c r="AG760">
        <v>59.686210000000003</v>
      </c>
      <c r="AH760">
        <v>75</v>
      </c>
      <c r="AI760">
        <v>39.790807000000001</v>
      </c>
      <c r="AJ760">
        <v>50</v>
      </c>
      <c r="AK760">
        <v>14.88</v>
      </c>
      <c r="AL760">
        <v>19.149999999999999</v>
      </c>
      <c r="AM760">
        <v>15.31</v>
      </c>
      <c r="AN760">
        <v>0.55922799999999995</v>
      </c>
      <c r="AO760">
        <v>55.922817999999999</v>
      </c>
      <c r="AP760">
        <v>100</v>
      </c>
      <c r="AQ760">
        <v>0.61501499999999998</v>
      </c>
      <c r="AR760">
        <v>61.501460999999999</v>
      </c>
      <c r="AS760">
        <v>100</v>
      </c>
      <c r="AT760">
        <v>0.50155700000000003</v>
      </c>
      <c r="AU760">
        <v>0.64939499999999994</v>
      </c>
      <c r="AV760">
        <v>50.155656999999998</v>
      </c>
      <c r="AW760">
        <v>100</v>
      </c>
      <c r="AX760">
        <v>0.54235500000000003</v>
      </c>
      <c r="AY760">
        <v>0.72861500000000001</v>
      </c>
      <c r="AZ760">
        <v>54.235484</v>
      </c>
      <c r="BA760">
        <v>100</v>
      </c>
      <c r="BB760">
        <v>0.50339299999999998</v>
      </c>
      <c r="BC760">
        <v>25.169643000000001</v>
      </c>
      <c r="BD760">
        <v>50</v>
      </c>
      <c r="BE760">
        <v>0.46929100000000001</v>
      </c>
      <c r="BF760">
        <v>23.464525999999999</v>
      </c>
      <c r="BG760">
        <v>50</v>
      </c>
      <c r="BH760">
        <v>0</v>
      </c>
      <c r="BI760">
        <v>0.99634400000000001</v>
      </c>
      <c r="BJ760">
        <v>1</v>
      </c>
      <c r="BK760">
        <v>0.99029100000000003</v>
      </c>
      <c r="BL760">
        <v>0.99634400000000001</v>
      </c>
      <c r="BM760">
        <v>1</v>
      </c>
      <c r="BN760">
        <v>0.99029100000000003</v>
      </c>
      <c r="BO760">
        <v>1</v>
      </c>
      <c r="BP760">
        <v>1</v>
      </c>
      <c r="BQ760">
        <v>1</v>
      </c>
      <c r="BR760">
        <v>7.1298E-2</v>
      </c>
      <c r="BS760">
        <v>45.740402000000003</v>
      </c>
      <c r="BT760">
        <v>50</v>
      </c>
      <c r="BU760">
        <v>9.1716000000000006E-2</v>
      </c>
      <c r="BV760">
        <v>41.656804999999999</v>
      </c>
      <c r="BW760">
        <v>50</v>
      </c>
      <c r="BX760" t="s">
        <v>125</v>
      </c>
      <c r="BY760" t="s">
        <v>125</v>
      </c>
      <c r="BZ760" t="s">
        <v>125</v>
      </c>
      <c r="CA760" t="s">
        <v>125</v>
      </c>
      <c r="CB760" t="s">
        <v>125</v>
      </c>
      <c r="CC760" t="s">
        <v>125</v>
      </c>
      <c r="CD760">
        <v>0.94444399999999995</v>
      </c>
      <c r="CE760">
        <v>50</v>
      </c>
      <c r="CF760">
        <v>50</v>
      </c>
      <c r="CG760" t="s">
        <v>125</v>
      </c>
      <c r="CH760" t="s">
        <v>125</v>
      </c>
      <c r="CI760" t="s">
        <v>125</v>
      </c>
      <c r="CJ760" t="s">
        <v>125</v>
      </c>
      <c r="CK760" t="s">
        <v>125</v>
      </c>
      <c r="CL760" t="s">
        <v>125</v>
      </c>
      <c r="CM760" t="s">
        <v>125</v>
      </c>
      <c r="CN760" t="s">
        <v>125</v>
      </c>
      <c r="CO760" t="s">
        <v>125</v>
      </c>
      <c r="CP760" t="s">
        <v>125</v>
      </c>
      <c r="CQ760">
        <v>0.60778399999999999</v>
      </c>
      <c r="CR760">
        <v>0.97092999999999996</v>
      </c>
      <c r="CS760">
        <v>40.518962000000002</v>
      </c>
      <c r="CT760">
        <v>50</v>
      </c>
      <c r="CU760" t="s">
        <v>125</v>
      </c>
      <c r="CV760" t="s">
        <v>125</v>
      </c>
      <c r="CW760" t="s">
        <v>125</v>
      </c>
      <c r="CX760" t="s">
        <v>125</v>
      </c>
      <c r="CY760" t="s">
        <v>125</v>
      </c>
      <c r="CZ760" t="s">
        <v>125</v>
      </c>
      <c r="DA760">
        <v>15.314097</v>
      </c>
      <c r="DB760">
        <v>17.400950000000002</v>
      </c>
      <c r="DC760">
        <v>16.332519999999999</v>
      </c>
      <c r="DD760" t="s">
        <v>125</v>
      </c>
      <c r="DE760">
        <v>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Q760" t="s">
        <v>126</v>
      </c>
    </row>
    <row r="761" spans="1:121" x14ac:dyDescent="0.15">
      <c r="A761">
        <v>2018</v>
      </c>
      <c r="B761" t="s">
        <v>160</v>
      </c>
      <c r="C761" t="str">
        <f t="shared" si="31"/>
        <v>1030011</v>
      </c>
      <c r="D761" t="s">
        <v>916</v>
      </c>
      <c r="E761" t="str">
        <f>"1031311"</f>
        <v>1031311</v>
      </c>
      <c r="F761" t="s">
        <v>328</v>
      </c>
      <c r="G761" t="s">
        <v>339</v>
      </c>
      <c r="H761">
        <v>5</v>
      </c>
      <c r="J761" t="s">
        <v>331</v>
      </c>
      <c r="K761">
        <v>766.64322400000003</v>
      </c>
      <c r="L761">
        <v>950</v>
      </c>
      <c r="M761">
        <v>80.699286999999998</v>
      </c>
      <c r="N761">
        <v>2</v>
      </c>
      <c r="O761">
        <v>0</v>
      </c>
      <c r="P761">
        <v>76.090914999999995</v>
      </c>
      <c r="Q761">
        <v>50</v>
      </c>
      <c r="R761">
        <v>50</v>
      </c>
      <c r="S761">
        <v>63.901823</v>
      </c>
      <c r="T761">
        <v>75</v>
      </c>
      <c r="U761">
        <v>42.601215000000003</v>
      </c>
      <c r="V761">
        <v>50</v>
      </c>
      <c r="W761">
        <v>72.080490999999995</v>
      </c>
      <c r="X761">
        <v>48.053660999999998</v>
      </c>
      <c r="Y761">
        <v>50</v>
      </c>
      <c r="Z761">
        <v>75</v>
      </c>
      <c r="AA761">
        <v>59.671864999999997</v>
      </c>
      <c r="AB761">
        <v>39.781243000000003</v>
      </c>
      <c r="AC761">
        <v>50</v>
      </c>
      <c r="AD761">
        <v>73.612336999999997</v>
      </c>
      <c r="AE761">
        <v>49.074891999999998</v>
      </c>
      <c r="AF761">
        <v>50</v>
      </c>
      <c r="AG761">
        <v>61.234490999999998</v>
      </c>
      <c r="AH761">
        <v>75</v>
      </c>
      <c r="AI761">
        <v>40.822994000000001</v>
      </c>
      <c r="AJ761">
        <v>50</v>
      </c>
      <c r="AK761">
        <v>11.09</v>
      </c>
      <c r="AL761">
        <v>15.32</v>
      </c>
      <c r="AM761">
        <v>13.76</v>
      </c>
      <c r="AN761">
        <v>0.71688499999999999</v>
      </c>
      <c r="AO761">
        <v>71.688483000000005</v>
      </c>
      <c r="AP761">
        <v>100</v>
      </c>
      <c r="AQ761">
        <v>0.75268100000000004</v>
      </c>
      <c r="AR761">
        <v>75.268130999999997</v>
      </c>
      <c r="AS761">
        <v>100</v>
      </c>
      <c r="AT761">
        <v>0.60869300000000004</v>
      </c>
      <c r="AU761">
        <v>0.818712</v>
      </c>
      <c r="AV761">
        <v>60.869309000000001</v>
      </c>
      <c r="AW761">
        <v>100</v>
      </c>
      <c r="AX761">
        <v>0.71022099999999999</v>
      </c>
      <c r="AY761">
        <v>0.79264400000000002</v>
      </c>
      <c r="AZ761">
        <v>71.022069999999999</v>
      </c>
      <c r="BA761">
        <v>100</v>
      </c>
      <c r="BB761">
        <v>0.994861</v>
      </c>
      <c r="BC761">
        <v>49.743057</v>
      </c>
      <c r="BD761">
        <v>50</v>
      </c>
      <c r="BE761">
        <v>0.77879500000000002</v>
      </c>
      <c r="BF761">
        <v>38.939739000000003</v>
      </c>
      <c r="BG761">
        <v>50</v>
      </c>
      <c r="BH761">
        <v>0</v>
      </c>
      <c r="BI761">
        <v>0.98706899999999997</v>
      </c>
      <c r="BJ761">
        <v>0.97345099999999996</v>
      </c>
      <c r="BK761">
        <v>1</v>
      </c>
      <c r="BL761">
        <v>0.98706899999999997</v>
      </c>
      <c r="BM761">
        <v>0.97345099999999996</v>
      </c>
      <c r="BN761">
        <v>1</v>
      </c>
      <c r="BO761">
        <v>1</v>
      </c>
      <c r="BP761">
        <v>1</v>
      </c>
      <c r="BQ761">
        <v>1</v>
      </c>
      <c r="BR761">
        <v>6.5978999999999996E-2</v>
      </c>
      <c r="BS761">
        <v>46.804124000000002</v>
      </c>
      <c r="BT761">
        <v>50</v>
      </c>
      <c r="BU761">
        <v>8.6207000000000006E-2</v>
      </c>
      <c r="BV761">
        <v>42.758620999999998</v>
      </c>
      <c r="BW761">
        <v>50</v>
      </c>
      <c r="BX761" t="s">
        <v>125</v>
      </c>
      <c r="BY761" t="s">
        <v>125</v>
      </c>
      <c r="BZ761" t="s">
        <v>125</v>
      </c>
      <c r="CA761" t="s">
        <v>125</v>
      </c>
      <c r="CB761" t="s">
        <v>125</v>
      </c>
      <c r="CC761" t="s">
        <v>125</v>
      </c>
      <c r="CD761" t="s">
        <v>125</v>
      </c>
      <c r="CE761" t="s">
        <v>125</v>
      </c>
      <c r="CF761" t="s">
        <v>125</v>
      </c>
      <c r="CG761" t="s">
        <v>125</v>
      </c>
      <c r="CH761" t="s">
        <v>125</v>
      </c>
      <c r="CI761" t="s">
        <v>125</v>
      </c>
      <c r="CJ761" t="s">
        <v>125</v>
      </c>
      <c r="CK761" t="s">
        <v>125</v>
      </c>
      <c r="CL761" t="s">
        <v>125</v>
      </c>
      <c r="CM761" t="s">
        <v>125</v>
      </c>
      <c r="CN761" t="s">
        <v>125</v>
      </c>
      <c r="CO761" t="s">
        <v>125</v>
      </c>
      <c r="CP761" t="s">
        <v>125</v>
      </c>
      <c r="CQ761">
        <v>0.58823499999999995</v>
      </c>
      <c r="CR761">
        <v>0.95505600000000002</v>
      </c>
      <c r="CS761">
        <v>39.215685999999998</v>
      </c>
      <c r="CT761">
        <v>50</v>
      </c>
      <c r="CU761" t="s">
        <v>125</v>
      </c>
      <c r="CV761" t="s">
        <v>125</v>
      </c>
      <c r="CW761" t="s">
        <v>125</v>
      </c>
      <c r="CX761" t="s">
        <v>125</v>
      </c>
      <c r="CY761" t="s">
        <v>125</v>
      </c>
      <c r="CZ761" t="s">
        <v>125</v>
      </c>
      <c r="DA761">
        <v>15.314097</v>
      </c>
      <c r="DB761">
        <v>17.400950000000002</v>
      </c>
      <c r="DC761">
        <v>16.332519999999999</v>
      </c>
      <c r="DD761" t="s">
        <v>125</v>
      </c>
      <c r="DE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Q761" t="s">
        <v>126</v>
      </c>
    </row>
    <row r="762" spans="1:121" x14ac:dyDescent="0.15">
      <c r="A762">
        <v>2018</v>
      </c>
      <c r="B762" t="s">
        <v>160</v>
      </c>
      <c r="C762" t="str">
        <f t="shared" si="31"/>
        <v>1030011</v>
      </c>
      <c r="D762" t="s">
        <v>917</v>
      </c>
      <c r="E762" t="str">
        <f>"1032311"</f>
        <v>1032311</v>
      </c>
      <c r="F762" t="s">
        <v>328</v>
      </c>
      <c r="G762" t="s">
        <v>339</v>
      </c>
      <c r="H762">
        <v>5</v>
      </c>
      <c r="I762" t="s">
        <v>336</v>
      </c>
      <c r="J762" t="s">
        <v>331</v>
      </c>
      <c r="K762">
        <v>626.74770000000001</v>
      </c>
      <c r="L762">
        <v>950</v>
      </c>
      <c r="M762">
        <v>65.973442000000006</v>
      </c>
      <c r="N762">
        <v>3</v>
      </c>
      <c r="O762">
        <v>0</v>
      </c>
      <c r="P762">
        <v>66.087400000000002</v>
      </c>
      <c r="Q762">
        <v>44.058267000000001</v>
      </c>
      <c r="R762">
        <v>50</v>
      </c>
      <c r="S762">
        <v>62.083556000000002</v>
      </c>
      <c r="T762">
        <v>75</v>
      </c>
      <c r="U762">
        <v>41.389037000000002</v>
      </c>
      <c r="V762">
        <v>50</v>
      </c>
      <c r="W762">
        <v>62.614117</v>
      </c>
      <c r="X762">
        <v>41.742744999999999</v>
      </c>
      <c r="Y762">
        <v>50</v>
      </c>
      <c r="Z762">
        <v>75</v>
      </c>
      <c r="AA762">
        <v>58.370179</v>
      </c>
      <c r="AB762">
        <v>38.913452999999997</v>
      </c>
      <c r="AC762">
        <v>50</v>
      </c>
      <c r="AD762">
        <v>59.715620000000001</v>
      </c>
      <c r="AE762">
        <v>39.810412999999997</v>
      </c>
      <c r="AF762">
        <v>50</v>
      </c>
      <c r="AG762">
        <v>56.244942999999999</v>
      </c>
      <c r="AH762" t="s">
        <v>125</v>
      </c>
      <c r="AI762">
        <v>37.496628000000001</v>
      </c>
      <c r="AJ762">
        <v>50</v>
      </c>
      <c r="AK762">
        <v>12.91</v>
      </c>
      <c r="AL762">
        <v>16.62</v>
      </c>
      <c r="AM762" t="s">
        <v>125</v>
      </c>
      <c r="AN762">
        <v>0.57961700000000005</v>
      </c>
      <c r="AO762">
        <v>57.961725999999999</v>
      </c>
      <c r="AP762">
        <v>100</v>
      </c>
      <c r="AQ762">
        <v>0.55850699999999998</v>
      </c>
      <c r="AR762">
        <v>55.850698000000001</v>
      </c>
      <c r="AS762">
        <v>100</v>
      </c>
      <c r="AT762">
        <v>0.53687700000000005</v>
      </c>
      <c r="AU762">
        <v>0.73633199999999999</v>
      </c>
      <c r="AV762">
        <v>53.687693000000003</v>
      </c>
      <c r="AW762">
        <v>100</v>
      </c>
      <c r="AX762">
        <v>0.51991799999999999</v>
      </c>
      <c r="AY762">
        <v>0.7</v>
      </c>
      <c r="AZ762">
        <v>51.991796000000001</v>
      </c>
      <c r="BA762">
        <v>100</v>
      </c>
      <c r="BB762">
        <v>0.61038000000000003</v>
      </c>
      <c r="BC762">
        <v>30.518999999999998</v>
      </c>
      <c r="BD762">
        <v>50</v>
      </c>
      <c r="BE762">
        <v>0.54541200000000001</v>
      </c>
      <c r="BF762">
        <v>27.270593000000002</v>
      </c>
      <c r="BG762">
        <v>50</v>
      </c>
      <c r="BH762">
        <v>0</v>
      </c>
      <c r="BI762">
        <v>0.98775500000000005</v>
      </c>
      <c r="BJ762">
        <v>0.98461500000000002</v>
      </c>
      <c r="BK762">
        <v>1</v>
      </c>
      <c r="BL762">
        <v>0.98775500000000005</v>
      </c>
      <c r="BM762">
        <v>0.98461500000000002</v>
      </c>
      <c r="BN762">
        <v>1</v>
      </c>
      <c r="BO762">
        <v>0.98765400000000003</v>
      </c>
      <c r="BP762">
        <v>0.98387100000000005</v>
      </c>
      <c r="BQ762" t="s">
        <v>125</v>
      </c>
      <c r="BR762">
        <v>8.0482999999999999E-2</v>
      </c>
      <c r="BS762">
        <v>43.903421000000002</v>
      </c>
      <c r="BT762">
        <v>50</v>
      </c>
      <c r="BU762">
        <v>8.9238999999999999E-2</v>
      </c>
      <c r="BV762">
        <v>42.152231</v>
      </c>
      <c r="BW762">
        <v>50</v>
      </c>
      <c r="BX762" t="s">
        <v>125</v>
      </c>
      <c r="BY762" t="s">
        <v>125</v>
      </c>
      <c r="BZ762" t="s">
        <v>125</v>
      </c>
      <c r="CA762" t="s">
        <v>125</v>
      </c>
      <c r="CB762" t="s">
        <v>125</v>
      </c>
      <c r="CC762" t="s">
        <v>125</v>
      </c>
      <c r="CD762" t="s">
        <v>125</v>
      </c>
      <c r="CE762" t="s">
        <v>125</v>
      </c>
      <c r="CF762" t="s">
        <v>125</v>
      </c>
      <c r="CG762" t="s">
        <v>125</v>
      </c>
      <c r="CH762" t="s">
        <v>125</v>
      </c>
      <c r="CI762" t="s">
        <v>125</v>
      </c>
      <c r="CJ762" t="s">
        <v>125</v>
      </c>
      <c r="CK762" t="s">
        <v>125</v>
      </c>
      <c r="CL762" t="s">
        <v>125</v>
      </c>
      <c r="CM762" t="s">
        <v>125</v>
      </c>
      <c r="CN762" t="s">
        <v>125</v>
      </c>
      <c r="CO762" t="s">
        <v>125</v>
      </c>
      <c r="CP762" t="s">
        <v>125</v>
      </c>
      <c r="CQ762">
        <v>0.3</v>
      </c>
      <c r="CR762">
        <v>0.97826100000000005</v>
      </c>
      <c r="CS762">
        <v>20</v>
      </c>
      <c r="CT762">
        <v>50</v>
      </c>
      <c r="CU762" t="s">
        <v>125</v>
      </c>
      <c r="CV762" t="s">
        <v>125</v>
      </c>
      <c r="CW762" t="s">
        <v>125</v>
      </c>
      <c r="CX762" t="s">
        <v>125</v>
      </c>
      <c r="CY762" t="s">
        <v>125</v>
      </c>
      <c r="CZ762" t="s">
        <v>125</v>
      </c>
      <c r="DA762">
        <v>15.314097</v>
      </c>
      <c r="DB762">
        <v>17.400950000000002</v>
      </c>
      <c r="DC762">
        <v>16.332519999999999</v>
      </c>
      <c r="DD762" t="s">
        <v>125</v>
      </c>
      <c r="DE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Q762" t="s">
        <v>126</v>
      </c>
    </row>
    <row r="763" spans="1:121" x14ac:dyDescent="0.15">
      <c r="A763">
        <v>2018</v>
      </c>
      <c r="B763" t="s">
        <v>160</v>
      </c>
      <c r="C763" t="str">
        <f t="shared" si="31"/>
        <v>1030011</v>
      </c>
      <c r="D763" t="s">
        <v>918</v>
      </c>
      <c r="E763" t="str">
        <f>"1031411"</f>
        <v>1031411</v>
      </c>
      <c r="F763" t="s">
        <v>328</v>
      </c>
      <c r="G763" t="s">
        <v>329</v>
      </c>
      <c r="H763">
        <v>5</v>
      </c>
      <c r="I763" t="s">
        <v>336</v>
      </c>
      <c r="J763" t="s">
        <v>331</v>
      </c>
      <c r="K763">
        <v>742.302639</v>
      </c>
      <c r="L763">
        <v>950</v>
      </c>
      <c r="M763">
        <v>78.137119999999996</v>
      </c>
      <c r="N763">
        <v>2</v>
      </c>
      <c r="O763">
        <v>0</v>
      </c>
      <c r="P763">
        <v>67.751096000000004</v>
      </c>
      <c r="Q763">
        <v>45.167397000000001</v>
      </c>
      <c r="R763">
        <v>50</v>
      </c>
      <c r="S763">
        <v>64.677578999999994</v>
      </c>
      <c r="T763">
        <v>75</v>
      </c>
      <c r="U763">
        <v>43.118386000000001</v>
      </c>
      <c r="V763">
        <v>50</v>
      </c>
      <c r="W763">
        <v>62.882241</v>
      </c>
      <c r="X763">
        <v>41.921494000000003</v>
      </c>
      <c r="Y763">
        <v>50</v>
      </c>
      <c r="Z763">
        <v>73.294538000000003</v>
      </c>
      <c r="AA763">
        <v>60.583421999999999</v>
      </c>
      <c r="AB763">
        <v>40.388947999999999</v>
      </c>
      <c r="AC763">
        <v>50</v>
      </c>
      <c r="AD763">
        <v>64.389985999999993</v>
      </c>
      <c r="AE763">
        <v>42.926656999999999</v>
      </c>
      <c r="AF763">
        <v>50</v>
      </c>
      <c r="AG763">
        <v>60.186104</v>
      </c>
      <c r="AH763" t="s">
        <v>125</v>
      </c>
      <c r="AI763">
        <v>40.124068999999999</v>
      </c>
      <c r="AJ763">
        <v>50</v>
      </c>
      <c r="AK763">
        <v>10.32</v>
      </c>
      <c r="AL763">
        <v>12.71</v>
      </c>
      <c r="AM763" t="s">
        <v>125</v>
      </c>
      <c r="AN763">
        <v>0.65707400000000005</v>
      </c>
      <c r="AO763">
        <v>65.707425999999998</v>
      </c>
      <c r="AP763">
        <v>100</v>
      </c>
      <c r="AQ763">
        <v>0.83226299999999998</v>
      </c>
      <c r="AR763">
        <v>83.226275000000001</v>
      </c>
      <c r="AS763">
        <v>100</v>
      </c>
      <c r="AT763">
        <v>0.62346800000000002</v>
      </c>
      <c r="AU763">
        <v>0.817106</v>
      </c>
      <c r="AV763">
        <v>62.346761000000001</v>
      </c>
      <c r="AW763">
        <v>100</v>
      </c>
      <c r="AX763">
        <v>0.819218</v>
      </c>
      <c r="AY763">
        <v>0.89438200000000001</v>
      </c>
      <c r="AZ763">
        <v>81.921777000000006</v>
      </c>
      <c r="BA763">
        <v>100</v>
      </c>
      <c r="BB763">
        <v>0.75148000000000004</v>
      </c>
      <c r="BC763">
        <v>37.573996999999999</v>
      </c>
      <c r="BD763">
        <v>50</v>
      </c>
      <c r="BE763">
        <v>0.45209100000000002</v>
      </c>
      <c r="BF763">
        <v>22.604562000000001</v>
      </c>
      <c r="BG763">
        <v>50</v>
      </c>
      <c r="BH763">
        <v>0</v>
      </c>
      <c r="BI763">
        <v>0.99038499999999996</v>
      </c>
      <c r="BJ763">
        <v>0.98843899999999996</v>
      </c>
      <c r="BK763">
        <v>1</v>
      </c>
      <c r="BL763">
        <v>0.99038499999999996</v>
      </c>
      <c r="BM763">
        <v>0.98843899999999996</v>
      </c>
      <c r="BN763">
        <v>1</v>
      </c>
      <c r="BO763">
        <v>1</v>
      </c>
      <c r="BP763">
        <v>1</v>
      </c>
      <c r="BQ763" t="s">
        <v>125</v>
      </c>
      <c r="BR763">
        <v>8.6538000000000004E-2</v>
      </c>
      <c r="BS763">
        <v>42.692307999999997</v>
      </c>
      <c r="BT763">
        <v>50</v>
      </c>
      <c r="BU763">
        <v>8.7086999999999998E-2</v>
      </c>
      <c r="BV763">
        <v>42.582583</v>
      </c>
      <c r="BW763">
        <v>50</v>
      </c>
      <c r="BX763" t="s">
        <v>125</v>
      </c>
      <c r="BY763" t="s">
        <v>125</v>
      </c>
      <c r="BZ763" t="s">
        <v>125</v>
      </c>
      <c r="CA763" t="s">
        <v>125</v>
      </c>
      <c r="CB763" t="s">
        <v>125</v>
      </c>
      <c r="CC763" t="s">
        <v>125</v>
      </c>
      <c r="CD763" t="s">
        <v>125</v>
      </c>
      <c r="CE763" t="s">
        <v>125</v>
      </c>
      <c r="CF763" t="s">
        <v>125</v>
      </c>
      <c r="CG763" t="s">
        <v>125</v>
      </c>
      <c r="CH763" t="s">
        <v>125</v>
      </c>
      <c r="CI763" t="s">
        <v>125</v>
      </c>
      <c r="CJ763" t="s">
        <v>125</v>
      </c>
      <c r="CK763" t="s">
        <v>125</v>
      </c>
      <c r="CL763" t="s">
        <v>125</v>
      </c>
      <c r="CM763" t="s">
        <v>125</v>
      </c>
      <c r="CN763" t="s">
        <v>125</v>
      </c>
      <c r="CO763" t="s">
        <v>125</v>
      </c>
      <c r="CP763" t="s">
        <v>125</v>
      </c>
      <c r="CQ763">
        <v>0.83870999999999996</v>
      </c>
      <c r="CR763">
        <v>0.96875</v>
      </c>
      <c r="CS763">
        <v>50</v>
      </c>
      <c r="CT763">
        <v>50</v>
      </c>
      <c r="CU763" t="s">
        <v>125</v>
      </c>
      <c r="CV763" t="s">
        <v>125</v>
      </c>
      <c r="CW763" t="s">
        <v>125</v>
      </c>
      <c r="CX763" t="s">
        <v>125</v>
      </c>
      <c r="CY763" t="s">
        <v>125</v>
      </c>
      <c r="CZ763" t="s">
        <v>125</v>
      </c>
      <c r="DA763">
        <v>15.314097</v>
      </c>
      <c r="DB763">
        <v>17.400950000000002</v>
      </c>
      <c r="DC763">
        <v>16.332519999999999</v>
      </c>
      <c r="DD763" t="s">
        <v>125</v>
      </c>
      <c r="DE763">
        <v>0</v>
      </c>
      <c r="DH763" t="s">
        <v>332</v>
      </c>
      <c r="DI763" t="s">
        <v>432</v>
      </c>
      <c r="DJ763">
        <v>0</v>
      </c>
      <c r="DK763">
        <v>0</v>
      </c>
      <c r="DL763">
        <v>0</v>
      </c>
      <c r="DM763">
        <v>0</v>
      </c>
      <c r="DN763">
        <v>1</v>
      </c>
      <c r="DO763">
        <v>0</v>
      </c>
      <c r="DQ763" t="s">
        <v>126</v>
      </c>
    </row>
    <row r="764" spans="1:121" x14ac:dyDescent="0.15">
      <c r="A764">
        <v>2018</v>
      </c>
      <c r="B764" t="s">
        <v>160</v>
      </c>
      <c r="C764" t="str">
        <f t="shared" si="31"/>
        <v>1030011</v>
      </c>
      <c r="D764" t="s">
        <v>919</v>
      </c>
      <c r="E764" t="str">
        <f>"1035411"</f>
        <v>1035411</v>
      </c>
      <c r="F764" t="s">
        <v>328</v>
      </c>
      <c r="G764">
        <v>6</v>
      </c>
      <c r="H764">
        <v>8</v>
      </c>
      <c r="I764" t="s">
        <v>336</v>
      </c>
      <c r="J764" t="s">
        <v>331</v>
      </c>
      <c r="K764">
        <v>708.44603700000005</v>
      </c>
      <c r="L764">
        <v>1000</v>
      </c>
      <c r="M764">
        <v>70.844604000000004</v>
      </c>
      <c r="N764">
        <v>3</v>
      </c>
      <c r="O764">
        <v>1</v>
      </c>
      <c r="P764">
        <v>67.193882000000002</v>
      </c>
      <c r="Q764">
        <v>44.795921</v>
      </c>
      <c r="R764">
        <v>50</v>
      </c>
      <c r="S764">
        <v>59.813395999999997</v>
      </c>
      <c r="T764">
        <v>75</v>
      </c>
      <c r="U764">
        <v>39.875596999999999</v>
      </c>
      <c r="V764">
        <v>50</v>
      </c>
      <c r="W764">
        <v>62.829948000000002</v>
      </c>
      <c r="X764">
        <v>41.886631999999999</v>
      </c>
      <c r="Y764">
        <v>50</v>
      </c>
      <c r="Z764">
        <v>75</v>
      </c>
      <c r="AA764">
        <v>55.708260000000003</v>
      </c>
      <c r="AB764">
        <v>37.138840000000002</v>
      </c>
      <c r="AC764">
        <v>50</v>
      </c>
      <c r="AD764">
        <v>64.095654999999994</v>
      </c>
      <c r="AE764">
        <v>42.730437000000002</v>
      </c>
      <c r="AF764">
        <v>50</v>
      </c>
      <c r="AG764">
        <v>57.007641999999997</v>
      </c>
      <c r="AH764">
        <v>75</v>
      </c>
      <c r="AI764">
        <v>38.005094999999997</v>
      </c>
      <c r="AJ764">
        <v>50</v>
      </c>
      <c r="AK764">
        <v>15.18</v>
      </c>
      <c r="AL764">
        <v>19.29</v>
      </c>
      <c r="AM764">
        <v>17.989999999999998</v>
      </c>
      <c r="AN764">
        <v>0.60811400000000004</v>
      </c>
      <c r="AO764">
        <v>60.811360999999998</v>
      </c>
      <c r="AP764">
        <v>100</v>
      </c>
      <c r="AQ764">
        <v>0.64217000000000002</v>
      </c>
      <c r="AR764">
        <v>64.217015000000004</v>
      </c>
      <c r="AS764">
        <v>100</v>
      </c>
      <c r="AT764">
        <v>0.55473300000000003</v>
      </c>
      <c r="AU764">
        <v>0.71072900000000006</v>
      </c>
      <c r="AV764">
        <v>55.473292999999998</v>
      </c>
      <c r="AW764">
        <v>100</v>
      </c>
      <c r="AX764">
        <v>0.57572900000000005</v>
      </c>
      <c r="AY764">
        <v>0.77083900000000005</v>
      </c>
      <c r="AZ764">
        <v>57.572895000000003</v>
      </c>
      <c r="BA764">
        <v>100</v>
      </c>
      <c r="BB764">
        <v>0.69482299999999997</v>
      </c>
      <c r="BC764">
        <v>34.741154999999999</v>
      </c>
      <c r="BD764">
        <v>50</v>
      </c>
      <c r="BE764">
        <v>0.725105</v>
      </c>
      <c r="BF764">
        <v>36.255268000000001</v>
      </c>
      <c r="BG764">
        <v>50</v>
      </c>
      <c r="BH764">
        <v>0</v>
      </c>
      <c r="BI764">
        <v>0.97781099999999999</v>
      </c>
      <c r="BJ764">
        <v>0.98687100000000005</v>
      </c>
      <c r="BK764">
        <v>0.95890399999999998</v>
      </c>
      <c r="BL764">
        <v>0.97781099999999999</v>
      </c>
      <c r="BM764">
        <v>0.98905900000000002</v>
      </c>
      <c r="BN764">
        <v>0.95433800000000002</v>
      </c>
      <c r="BO764">
        <v>0.97706400000000004</v>
      </c>
      <c r="BP764">
        <v>0.980132</v>
      </c>
      <c r="BQ764">
        <v>0.97014900000000004</v>
      </c>
      <c r="BR764">
        <v>0.10222199999999999</v>
      </c>
      <c r="BS764">
        <v>39.555556000000003</v>
      </c>
      <c r="BT764">
        <v>50</v>
      </c>
      <c r="BU764">
        <v>0.13111100000000001</v>
      </c>
      <c r="BV764">
        <v>33.777777999999998</v>
      </c>
      <c r="BW764">
        <v>50</v>
      </c>
      <c r="BX764" t="s">
        <v>125</v>
      </c>
      <c r="BY764" t="s">
        <v>125</v>
      </c>
      <c r="BZ764" t="s">
        <v>125</v>
      </c>
      <c r="CA764" t="s">
        <v>125</v>
      </c>
      <c r="CB764" t="s">
        <v>125</v>
      </c>
      <c r="CC764" t="s">
        <v>125</v>
      </c>
      <c r="CD764">
        <v>0.96137300000000003</v>
      </c>
      <c r="CE764">
        <v>50</v>
      </c>
      <c r="CF764">
        <v>50</v>
      </c>
      <c r="CG764" t="s">
        <v>125</v>
      </c>
      <c r="CH764" t="s">
        <v>125</v>
      </c>
      <c r="CI764" t="s">
        <v>125</v>
      </c>
      <c r="CJ764" t="s">
        <v>125</v>
      </c>
      <c r="CK764" t="s">
        <v>125</v>
      </c>
      <c r="CL764" t="s">
        <v>125</v>
      </c>
      <c r="CM764" t="s">
        <v>125</v>
      </c>
      <c r="CN764" t="s">
        <v>125</v>
      </c>
      <c r="CO764" t="s">
        <v>125</v>
      </c>
      <c r="CP764" t="s">
        <v>125</v>
      </c>
      <c r="CQ764">
        <v>0.474138</v>
      </c>
      <c r="CR764">
        <v>0.99357600000000001</v>
      </c>
      <c r="CS764">
        <v>31.609195</v>
      </c>
      <c r="CT764">
        <v>50</v>
      </c>
      <c r="CU764" t="s">
        <v>125</v>
      </c>
      <c r="CV764" t="s">
        <v>125</v>
      </c>
      <c r="CW764" t="s">
        <v>125</v>
      </c>
      <c r="CX764" t="s">
        <v>125</v>
      </c>
      <c r="CY764" t="s">
        <v>125</v>
      </c>
      <c r="CZ764" t="s">
        <v>125</v>
      </c>
      <c r="DA764">
        <v>15.314097</v>
      </c>
      <c r="DB764">
        <v>17.400950000000002</v>
      </c>
      <c r="DC764">
        <v>16.332519999999999</v>
      </c>
      <c r="DD764" t="s">
        <v>125</v>
      </c>
      <c r="DE764">
        <v>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Q764" t="s">
        <v>126</v>
      </c>
    </row>
    <row r="765" spans="1:121" x14ac:dyDescent="0.15">
      <c r="A765">
        <v>2018</v>
      </c>
      <c r="B765" t="s">
        <v>160</v>
      </c>
      <c r="C765" t="str">
        <f t="shared" si="31"/>
        <v>1030011</v>
      </c>
      <c r="D765" t="s">
        <v>920</v>
      </c>
      <c r="E765" t="str">
        <f>"1032411"</f>
        <v>1032411</v>
      </c>
      <c r="F765" t="s">
        <v>328</v>
      </c>
      <c r="G765" t="s">
        <v>339</v>
      </c>
      <c r="H765">
        <v>5</v>
      </c>
      <c r="J765" t="s">
        <v>331</v>
      </c>
      <c r="K765">
        <v>710.59860600000002</v>
      </c>
      <c r="L765">
        <v>950</v>
      </c>
      <c r="M765">
        <v>74.799852999999999</v>
      </c>
      <c r="N765">
        <v>2</v>
      </c>
      <c r="O765">
        <v>0</v>
      </c>
      <c r="P765">
        <v>72.808284</v>
      </c>
      <c r="Q765">
        <v>48.538856000000003</v>
      </c>
      <c r="R765">
        <v>50</v>
      </c>
      <c r="S765">
        <v>68.291927000000001</v>
      </c>
      <c r="T765">
        <v>75</v>
      </c>
      <c r="U765">
        <v>45.527951999999999</v>
      </c>
      <c r="V765">
        <v>50</v>
      </c>
      <c r="W765">
        <v>69.713596999999993</v>
      </c>
      <c r="X765">
        <v>46.475731000000003</v>
      </c>
      <c r="Y765">
        <v>50</v>
      </c>
      <c r="Z765">
        <v>75</v>
      </c>
      <c r="AA765">
        <v>63.959800999999999</v>
      </c>
      <c r="AB765">
        <v>42.639867000000002</v>
      </c>
      <c r="AC765">
        <v>50</v>
      </c>
      <c r="AD765">
        <v>65.163594000000003</v>
      </c>
      <c r="AE765">
        <v>43.442396000000002</v>
      </c>
      <c r="AF765">
        <v>50</v>
      </c>
      <c r="AG765">
        <v>62.144725000000001</v>
      </c>
      <c r="AH765" t="s">
        <v>125</v>
      </c>
      <c r="AI765">
        <v>41.429817</v>
      </c>
      <c r="AJ765">
        <v>50</v>
      </c>
      <c r="AK765">
        <v>6.7</v>
      </c>
      <c r="AL765">
        <v>11.04</v>
      </c>
      <c r="AM765" t="s">
        <v>125</v>
      </c>
      <c r="AN765">
        <v>0.60835399999999995</v>
      </c>
      <c r="AO765">
        <v>60.835442</v>
      </c>
      <c r="AP765">
        <v>100</v>
      </c>
      <c r="AQ765">
        <v>0.65449999999999997</v>
      </c>
      <c r="AR765">
        <v>65.449980999999994</v>
      </c>
      <c r="AS765">
        <v>100</v>
      </c>
      <c r="AT765">
        <v>0.59301199999999998</v>
      </c>
      <c r="AU765">
        <v>0.63782799999999995</v>
      </c>
      <c r="AV765">
        <v>59.301192999999998</v>
      </c>
      <c r="AW765">
        <v>100</v>
      </c>
      <c r="AX765">
        <v>0.64780599999999999</v>
      </c>
      <c r="AY765">
        <v>0.66735900000000004</v>
      </c>
      <c r="AZ765">
        <v>64.780589000000006</v>
      </c>
      <c r="BA765">
        <v>100</v>
      </c>
      <c r="BB765">
        <v>0.82689900000000005</v>
      </c>
      <c r="BC765">
        <v>41.344971000000001</v>
      </c>
      <c r="BD765">
        <v>50</v>
      </c>
      <c r="BE765">
        <v>0.54282300000000006</v>
      </c>
      <c r="BF765">
        <v>27.141127999999998</v>
      </c>
      <c r="BG765">
        <v>50</v>
      </c>
      <c r="BH765">
        <v>0</v>
      </c>
      <c r="BI765">
        <v>0.99354799999999999</v>
      </c>
      <c r="BJ765">
        <v>1</v>
      </c>
      <c r="BK765">
        <v>0.98181799999999997</v>
      </c>
      <c r="BL765">
        <v>0.99354799999999999</v>
      </c>
      <c r="BM765">
        <v>1</v>
      </c>
      <c r="BN765">
        <v>0.98181799999999997</v>
      </c>
      <c r="BO765">
        <v>0.98305100000000001</v>
      </c>
      <c r="BP765">
        <v>1</v>
      </c>
      <c r="BQ765">
        <v>0.95</v>
      </c>
      <c r="BR765">
        <v>9.9678000000000003E-2</v>
      </c>
      <c r="BS765">
        <v>40.064309000000002</v>
      </c>
      <c r="BT765">
        <v>50</v>
      </c>
      <c r="BU765">
        <v>0.13186800000000001</v>
      </c>
      <c r="BV765">
        <v>33.626373999999998</v>
      </c>
      <c r="BW765">
        <v>50</v>
      </c>
      <c r="BX765" t="s">
        <v>125</v>
      </c>
      <c r="BY765" t="s">
        <v>125</v>
      </c>
      <c r="BZ765" t="s">
        <v>125</v>
      </c>
      <c r="CA765" t="s">
        <v>125</v>
      </c>
      <c r="CB765" t="s">
        <v>125</v>
      </c>
      <c r="CC765" t="s">
        <v>125</v>
      </c>
      <c r="CD765" t="s">
        <v>125</v>
      </c>
      <c r="CE765" t="s">
        <v>125</v>
      </c>
      <c r="CF765" t="s">
        <v>125</v>
      </c>
      <c r="CG765" t="s">
        <v>125</v>
      </c>
      <c r="CH765" t="s">
        <v>125</v>
      </c>
      <c r="CI765" t="s">
        <v>125</v>
      </c>
      <c r="CJ765" t="s">
        <v>125</v>
      </c>
      <c r="CK765" t="s">
        <v>125</v>
      </c>
      <c r="CL765" t="s">
        <v>125</v>
      </c>
      <c r="CM765" t="s">
        <v>125</v>
      </c>
      <c r="CN765" t="s">
        <v>125</v>
      </c>
      <c r="CO765" t="s">
        <v>125</v>
      </c>
      <c r="CP765" t="s">
        <v>125</v>
      </c>
      <c r="CQ765">
        <v>0.89090899999999995</v>
      </c>
      <c r="CR765">
        <v>0.96491199999999999</v>
      </c>
      <c r="CS765">
        <v>50</v>
      </c>
      <c r="CT765">
        <v>50</v>
      </c>
      <c r="CU765" t="s">
        <v>125</v>
      </c>
      <c r="CV765" t="s">
        <v>125</v>
      </c>
      <c r="CW765" t="s">
        <v>125</v>
      </c>
      <c r="CX765" t="s">
        <v>125</v>
      </c>
      <c r="CY765" t="s">
        <v>125</v>
      </c>
      <c r="CZ765" t="s">
        <v>125</v>
      </c>
      <c r="DA765">
        <v>15.314097</v>
      </c>
      <c r="DB765">
        <v>17.400950000000002</v>
      </c>
      <c r="DC765">
        <v>16.332519999999999</v>
      </c>
      <c r="DD765" t="s">
        <v>125</v>
      </c>
      <c r="DE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Q765" t="s">
        <v>126</v>
      </c>
    </row>
    <row r="766" spans="1:121" x14ac:dyDescent="0.15">
      <c r="A766">
        <v>2018</v>
      </c>
      <c r="B766" t="s">
        <v>241</v>
      </c>
      <c r="C766" t="str">
        <f t="shared" ref="C766:C774" si="32">"1040011"</f>
        <v>1040011</v>
      </c>
      <c r="D766" t="s">
        <v>921</v>
      </c>
      <c r="E766" t="str">
        <f>"1041411"</f>
        <v>1041411</v>
      </c>
      <c r="F766" t="s">
        <v>328</v>
      </c>
      <c r="G766" t="s">
        <v>339</v>
      </c>
      <c r="H766">
        <v>5</v>
      </c>
      <c r="I766" t="s">
        <v>336</v>
      </c>
      <c r="J766" t="s">
        <v>331</v>
      </c>
      <c r="K766">
        <v>639.66992600000003</v>
      </c>
      <c r="L766">
        <v>950</v>
      </c>
      <c r="M766">
        <v>67.333675999999997</v>
      </c>
      <c r="N766">
        <v>3</v>
      </c>
      <c r="O766">
        <v>0</v>
      </c>
      <c r="P766">
        <v>59.362963999999998</v>
      </c>
      <c r="Q766">
        <v>39.575308999999997</v>
      </c>
      <c r="R766">
        <v>50</v>
      </c>
      <c r="S766">
        <v>56.791359999999997</v>
      </c>
      <c r="T766" t="s">
        <v>125</v>
      </c>
      <c r="U766">
        <v>37.860906</v>
      </c>
      <c r="V766">
        <v>50</v>
      </c>
      <c r="W766">
        <v>54.629832999999998</v>
      </c>
      <c r="X766">
        <v>36.419888</v>
      </c>
      <c r="Y766">
        <v>50</v>
      </c>
      <c r="Z766" t="s">
        <v>125</v>
      </c>
      <c r="AA766">
        <v>51.875629000000004</v>
      </c>
      <c r="AB766">
        <v>34.583751999999997</v>
      </c>
      <c r="AC766">
        <v>50</v>
      </c>
      <c r="AD766">
        <v>57.909677000000002</v>
      </c>
      <c r="AE766">
        <v>38.606451999999997</v>
      </c>
      <c r="AF766">
        <v>50</v>
      </c>
      <c r="AG766">
        <v>55.180531999999999</v>
      </c>
      <c r="AH766" t="s">
        <v>125</v>
      </c>
      <c r="AI766">
        <v>36.787021000000003</v>
      </c>
      <c r="AJ766">
        <v>50</v>
      </c>
      <c r="AK766" t="s">
        <v>125</v>
      </c>
      <c r="AL766" t="s">
        <v>125</v>
      </c>
      <c r="AM766" t="s">
        <v>125</v>
      </c>
      <c r="AN766">
        <v>0.53141899999999997</v>
      </c>
      <c r="AO766">
        <v>53.141945</v>
      </c>
      <c r="AP766">
        <v>100</v>
      </c>
      <c r="AQ766">
        <v>0.531366</v>
      </c>
      <c r="AR766">
        <v>53.136636000000003</v>
      </c>
      <c r="AS766">
        <v>100</v>
      </c>
      <c r="AT766">
        <v>0.54371899999999995</v>
      </c>
      <c r="AU766" t="s">
        <v>125</v>
      </c>
      <c r="AV766">
        <v>54.371884999999999</v>
      </c>
      <c r="AW766">
        <v>100</v>
      </c>
      <c r="AX766">
        <v>0.49564999999999998</v>
      </c>
      <c r="AY766" t="s">
        <v>125</v>
      </c>
      <c r="AZ766">
        <v>49.564976000000001</v>
      </c>
      <c r="BA766">
        <v>100</v>
      </c>
      <c r="BB766">
        <v>0.68430400000000002</v>
      </c>
      <c r="BC766">
        <v>34.215190999999997</v>
      </c>
      <c r="BD766">
        <v>50</v>
      </c>
      <c r="BE766">
        <v>0.58763500000000002</v>
      </c>
      <c r="BF766">
        <v>29.381747000000001</v>
      </c>
      <c r="BG766">
        <v>50</v>
      </c>
      <c r="BH766">
        <v>0</v>
      </c>
      <c r="BI766">
        <v>0.981707</v>
      </c>
      <c r="BJ766">
        <v>0.97902100000000003</v>
      </c>
      <c r="BK766">
        <v>1</v>
      </c>
      <c r="BL766">
        <v>0.98787899999999995</v>
      </c>
      <c r="BM766">
        <v>0.98611099999999996</v>
      </c>
      <c r="BN766">
        <v>1</v>
      </c>
      <c r="BO766">
        <v>0.98591499999999999</v>
      </c>
      <c r="BP766">
        <v>0.98412699999999997</v>
      </c>
      <c r="BQ766" t="s">
        <v>125</v>
      </c>
      <c r="BR766">
        <v>5.3892000000000002E-2</v>
      </c>
      <c r="BS766">
        <v>49.221556999999997</v>
      </c>
      <c r="BT766">
        <v>50</v>
      </c>
      <c r="BU766">
        <v>6.2937000000000007E-2</v>
      </c>
      <c r="BV766">
        <v>47.412587000000002</v>
      </c>
      <c r="BW766">
        <v>50</v>
      </c>
      <c r="BX766" t="s">
        <v>125</v>
      </c>
      <c r="BY766" t="s">
        <v>125</v>
      </c>
      <c r="BZ766" t="s">
        <v>125</v>
      </c>
      <c r="CA766" t="s">
        <v>125</v>
      </c>
      <c r="CB766" t="s">
        <v>125</v>
      </c>
      <c r="CC766" t="s">
        <v>125</v>
      </c>
      <c r="CD766" t="s">
        <v>125</v>
      </c>
      <c r="CE766" t="s">
        <v>125</v>
      </c>
      <c r="CF766" t="s">
        <v>125</v>
      </c>
      <c r="CG766" t="s">
        <v>125</v>
      </c>
      <c r="CH766" t="s">
        <v>125</v>
      </c>
      <c r="CI766" t="s">
        <v>125</v>
      </c>
      <c r="CJ766" t="s">
        <v>125</v>
      </c>
      <c r="CK766" t="s">
        <v>125</v>
      </c>
      <c r="CL766" t="s">
        <v>125</v>
      </c>
      <c r="CM766" t="s">
        <v>125</v>
      </c>
      <c r="CN766" t="s">
        <v>125</v>
      </c>
      <c r="CO766" t="s">
        <v>125</v>
      </c>
      <c r="CP766" t="s">
        <v>125</v>
      </c>
      <c r="CQ766">
        <v>0.68085099999999998</v>
      </c>
      <c r="CR766">
        <v>1.021739</v>
      </c>
      <c r="CS766">
        <v>45.390070999999999</v>
      </c>
      <c r="CT766">
        <v>50</v>
      </c>
      <c r="CU766" t="s">
        <v>125</v>
      </c>
      <c r="CV766" t="s">
        <v>125</v>
      </c>
      <c r="CW766" t="s">
        <v>125</v>
      </c>
      <c r="CX766" t="s">
        <v>125</v>
      </c>
      <c r="CY766" t="s">
        <v>125</v>
      </c>
      <c r="CZ766" t="s">
        <v>125</v>
      </c>
      <c r="DA766">
        <v>15.314097</v>
      </c>
      <c r="DB766">
        <v>17.400950000000002</v>
      </c>
      <c r="DC766">
        <v>16.332519999999999</v>
      </c>
      <c r="DD766" t="s">
        <v>125</v>
      </c>
      <c r="DE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Q766" t="s">
        <v>126</v>
      </c>
    </row>
    <row r="767" spans="1:121" x14ac:dyDescent="0.15">
      <c r="A767">
        <v>2018</v>
      </c>
      <c r="B767" t="s">
        <v>241</v>
      </c>
      <c r="C767" t="str">
        <f t="shared" si="32"/>
        <v>1040011</v>
      </c>
      <c r="D767" t="s">
        <v>922</v>
      </c>
      <c r="E767" t="str">
        <f>"1045111"</f>
        <v>1045111</v>
      </c>
      <c r="F767" t="s">
        <v>328</v>
      </c>
      <c r="G767">
        <v>6</v>
      </c>
      <c r="H767">
        <v>8</v>
      </c>
      <c r="I767" t="s">
        <v>336</v>
      </c>
      <c r="J767" t="s">
        <v>331</v>
      </c>
      <c r="K767">
        <v>564.70976599999995</v>
      </c>
      <c r="L767">
        <v>1000</v>
      </c>
      <c r="M767">
        <v>56.470976999999998</v>
      </c>
      <c r="N767">
        <v>3</v>
      </c>
      <c r="O767">
        <v>0</v>
      </c>
      <c r="P767">
        <v>54.649925000000003</v>
      </c>
      <c r="Q767">
        <v>36.433283000000003</v>
      </c>
      <c r="R767">
        <v>50</v>
      </c>
      <c r="S767">
        <v>51.188267000000003</v>
      </c>
      <c r="T767">
        <v>64.465256999999994</v>
      </c>
      <c r="U767">
        <v>34.125511000000003</v>
      </c>
      <c r="V767">
        <v>50</v>
      </c>
      <c r="W767">
        <v>49.130648999999998</v>
      </c>
      <c r="X767">
        <v>32.753765999999999</v>
      </c>
      <c r="Y767">
        <v>50</v>
      </c>
      <c r="Z767">
        <v>58.650855999999997</v>
      </c>
      <c r="AA767">
        <v>45.765563999999998</v>
      </c>
      <c r="AB767">
        <v>30.510376000000001</v>
      </c>
      <c r="AC767">
        <v>50</v>
      </c>
      <c r="AD767">
        <v>51.863394999999997</v>
      </c>
      <c r="AE767">
        <v>34.575597000000002</v>
      </c>
      <c r="AF767">
        <v>50</v>
      </c>
      <c r="AG767">
        <v>49.412466999999999</v>
      </c>
      <c r="AH767">
        <v>59.216180000000001</v>
      </c>
      <c r="AI767">
        <v>32.941645000000001</v>
      </c>
      <c r="AJ767">
        <v>50</v>
      </c>
      <c r="AK767">
        <v>13.27</v>
      </c>
      <c r="AL767">
        <v>12.88</v>
      </c>
      <c r="AM767">
        <v>9.8000000000000007</v>
      </c>
      <c r="AN767">
        <v>0.45945000000000003</v>
      </c>
      <c r="AO767">
        <v>45.945044000000003</v>
      </c>
      <c r="AP767">
        <v>100</v>
      </c>
      <c r="AQ767">
        <v>0.48263899999999998</v>
      </c>
      <c r="AR767">
        <v>48.263933000000002</v>
      </c>
      <c r="AS767">
        <v>100</v>
      </c>
      <c r="AT767">
        <v>0.47266200000000003</v>
      </c>
      <c r="AU767">
        <v>0.425431</v>
      </c>
      <c r="AV767">
        <v>47.266247</v>
      </c>
      <c r="AW767">
        <v>100</v>
      </c>
      <c r="AX767">
        <v>0.47828599999999999</v>
      </c>
      <c r="AY767">
        <v>0.49382300000000001</v>
      </c>
      <c r="AZ767">
        <v>47.828578999999998</v>
      </c>
      <c r="BA767">
        <v>100</v>
      </c>
      <c r="BB767">
        <v>0.45577499999999999</v>
      </c>
      <c r="BC767">
        <v>22.788748999999999</v>
      </c>
      <c r="BD767">
        <v>50</v>
      </c>
      <c r="BE767">
        <v>0.541238</v>
      </c>
      <c r="BF767">
        <v>27.061904999999999</v>
      </c>
      <c r="BG767">
        <v>50</v>
      </c>
      <c r="BH767">
        <v>0</v>
      </c>
      <c r="BI767">
        <v>0.99221199999999998</v>
      </c>
      <c r="BJ767">
        <v>0.99578900000000004</v>
      </c>
      <c r="BK767">
        <v>0.98203600000000002</v>
      </c>
      <c r="BL767">
        <v>0.98911400000000005</v>
      </c>
      <c r="BM767">
        <v>0.99159699999999995</v>
      </c>
      <c r="BN767">
        <v>0.98203600000000002</v>
      </c>
      <c r="BO767">
        <v>0.99099099999999996</v>
      </c>
      <c r="BP767">
        <v>0.99401200000000001</v>
      </c>
      <c r="BQ767">
        <v>0.98181799999999997</v>
      </c>
      <c r="BR767">
        <v>0.151563</v>
      </c>
      <c r="BS767">
        <v>29.6875</v>
      </c>
      <c r="BT767">
        <v>50</v>
      </c>
      <c r="BU767">
        <v>0.18221300000000001</v>
      </c>
      <c r="BV767">
        <v>23.557483999999999</v>
      </c>
      <c r="BW767">
        <v>50</v>
      </c>
      <c r="BX767" t="s">
        <v>125</v>
      </c>
      <c r="BY767" t="s">
        <v>125</v>
      </c>
      <c r="BZ767" t="s">
        <v>125</v>
      </c>
      <c r="CA767" t="s">
        <v>125</v>
      </c>
      <c r="CB767" t="s">
        <v>125</v>
      </c>
      <c r="CC767" t="s">
        <v>125</v>
      </c>
      <c r="CD767">
        <v>0.84782599999999997</v>
      </c>
      <c r="CE767">
        <v>45.097132000000002</v>
      </c>
      <c r="CF767">
        <v>50</v>
      </c>
      <c r="CG767" t="s">
        <v>125</v>
      </c>
      <c r="CH767" t="s">
        <v>125</v>
      </c>
      <c r="CI767" t="s">
        <v>125</v>
      </c>
      <c r="CJ767" t="s">
        <v>125</v>
      </c>
      <c r="CK767" t="s">
        <v>125</v>
      </c>
      <c r="CL767" t="s">
        <v>125</v>
      </c>
      <c r="CM767" t="s">
        <v>125</v>
      </c>
      <c r="CN767" t="s">
        <v>125</v>
      </c>
      <c r="CO767" t="s">
        <v>125</v>
      </c>
      <c r="CP767" t="s">
        <v>125</v>
      </c>
      <c r="CQ767">
        <v>0.38809500000000002</v>
      </c>
      <c r="CR767">
        <v>0.9375</v>
      </c>
      <c r="CS767">
        <v>25.873016</v>
      </c>
      <c r="CT767">
        <v>50</v>
      </c>
      <c r="CU767" t="s">
        <v>125</v>
      </c>
      <c r="CV767" t="s">
        <v>125</v>
      </c>
      <c r="CW767" t="s">
        <v>125</v>
      </c>
      <c r="CX767" t="s">
        <v>125</v>
      </c>
      <c r="CY767" t="s">
        <v>125</v>
      </c>
      <c r="CZ767" t="s">
        <v>125</v>
      </c>
      <c r="DA767">
        <v>15.314097</v>
      </c>
      <c r="DB767">
        <v>17.400950000000002</v>
      </c>
      <c r="DC767">
        <v>16.332519999999999</v>
      </c>
      <c r="DD767" t="s">
        <v>125</v>
      </c>
      <c r="DE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Q767" t="s">
        <v>126</v>
      </c>
    </row>
    <row r="768" spans="1:121" x14ac:dyDescent="0.15">
      <c r="A768">
        <v>2018</v>
      </c>
      <c r="B768" t="s">
        <v>241</v>
      </c>
      <c r="C768" t="str">
        <f t="shared" si="32"/>
        <v>1040011</v>
      </c>
      <c r="D768" t="s">
        <v>923</v>
      </c>
      <c r="E768" t="str">
        <f>"1042011"</f>
        <v>1042011</v>
      </c>
      <c r="F768" t="s">
        <v>328</v>
      </c>
      <c r="G768" t="s">
        <v>339</v>
      </c>
      <c r="H768">
        <v>5</v>
      </c>
      <c r="I768" t="s">
        <v>336</v>
      </c>
      <c r="J768" t="s">
        <v>331</v>
      </c>
      <c r="K768">
        <v>626.60509000000002</v>
      </c>
      <c r="L768">
        <v>950</v>
      </c>
      <c r="M768">
        <v>65.958431000000004</v>
      </c>
      <c r="N768">
        <v>3</v>
      </c>
      <c r="O768">
        <v>0</v>
      </c>
      <c r="P768">
        <v>63.019979999999997</v>
      </c>
      <c r="Q768">
        <v>42.01332</v>
      </c>
      <c r="R768">
        <v>50</v>
      </c>
      <c r="S768">
        <v>60.620356000000001</v>
      </c>
      <c r="T768">
        <v>71.818601999999998</v>
      </c>
      <c r="U768">
        <v>40.413570999999997</v>
      </c>
      <c r="V768">
        <v>50</v>
      </c>
      <c r="W768">
        <v>58.278126</v>
      </c>
      <c r="X768">
        <v>38.852083999999998</v>
      </c>
      <c r="Y768">
        <v>50</v>
      </c>
      <c r="Z768">
        <v>66.134401999999994</v>
      </c>
      <c r="AA768">
        <v>56.122441000000002</v>
      </c>
      <c r="AB768">
        <v>37.414960000000001</v>
      </c>
      <c r="AC768">
        <v>50</v>
      </c>
      <c r="AD768">
        <v>59.931342999999998</v>
      </c>
      <c r="AE768">
        <v>39.954228000000001</v>
      </c>
      <c r="AF768">
        <v>50</v>
      </c>
      <c r="AG768">
        <v>58.113171999999999</v>
      </c>
      <c r="AH768" t="s">
        <v>125</v>
      </c>
      <c r="AI768">
        <v>38.742114999999998</v>
      </c>
      <c r="AJ768">
        <v>50</v>
      </c>
      <c r="AK768">
        <v>11.19</v>
      </c>
      <c r="AL768">
        <v>10.01</v>
      </c>
      <c r="AM768" t="s">
        <v>125</v>
      </c>
      <c r="AN768">
        <v>0.56744499999999998</v>
      </c>
      <c r="AO768">
        <v>56.744475999999999</v>
      </c>
      <c r="AP768">
        <v>100</v>
      </c>
      <c r="AQ768">
        <v>0.52756700000000001</v>
      </c>
      <c r="AR768">
        <v>52.756661000000001</v>
      </c>
      <c r="AS768">
        <v>100</v>
      </c>
      <c r="AT768">
        <v>0.59557499999999997</v>
      </c>
      <c r="AU768">
        <v>0.46523900000000001</v>
      </c>
      <c r="AV768">
        <v>59.557479000000001</v>
      </c>
      <c r="AW768">
        <v>100</v>
      </c>
      <c r="AX768">
        <v>0.54248399999999997</v>
      </c>
      <c r="AY768">
        <v>0.47336600000000001</v>
      </c>
      <c r="AZ768">
        <v>54.248429000000002</v>
      </c>
      <c r="BA768">
        <v>100</v>
      </c>
      <c r="BB768">
        <v>0.67333699999999996</v>
      </c>
      <c r="BC768">
        <v>33.666857999999998</v>
      </c>
      <c r="BD768">
        <v>50</v>
      </c>
      <c r="BE768">
        <v>0.52227299999999999</v>
      </c>
      <c r="BF768">
        <v>26.113636</v>
      </c>
      <c r="BG768">
        <v>50</v>
      </c>
      <c r="BH768">
        <v>0</v>
      </c>
      <c r="BI768">
        <v>0.99553599999999998</v>
      </c>
      <c r="BJ768">
        <v>0.994286</v>
      </c>
      <c r="BK768">
        <v>1</v>
      </c>
      <c r="BL768">
        <v>0.99551599999999996</v>
      </c>
      <c r="BM768">
        <v>0.99425300000000005</v>
      </c>
      <c r="BN768">
        <v>1</v>
      </c>
      <c r="BO768">
        <v>1</v>
      </c>
      <c r="BP768">
        <v>1</v>
      </c>
      <c r="BQ768" t="s">
        <v>125</v>
      </c>
      <c r="BR768">
        <v>8.9371999999999993E-2</v>
      </c>
      <c r="BS768">
        <v>42.125604000000003</v>
      </c>
      <c r="BT768">
        <v>50</v>
      </c>
      <c r="BU768">
        <v>9.8413E-2</v>
      </c>
      <c r="BV768">
        <v>40.317459999999997</v>
      </c>
      <c r="BW768">
        <v>50</v>
      </c>
      <c r="BX768" t="s">
        <v>125</v>
      </c>
      <c r="BY768" t="s">
        <v>125</v>
      </c>
      <c r="BZ768" t="s">
        <v>125</v>
      </c>
      <c r="CA768" t="s">
        <v>125</v>
      </c>
      <c r="CB768" t="s">
        <v>125</v>
      </c>
      <c r="CC768" t="s">
        <v>125</v>
      </c>
      <c r="CD768" t="s">
        <v>125</v>
      </c>
      <c r="CE768" t="s">
        <v>125</v>
      </c>
      <c r="CF768" t="s">
        <v>125</v>
      </c>
      <c r="CG768" t="s">
        <v>125</v>
      </c>
      <c r="CH768" t="s">
        <v>125</v>
      </c>
      <c r="CI768" t="s">
        <v>125</v>
      </c>
      <c r="CJ768" t="s">
        <v>125</v>
      </c>
      <c r="CK768" t="s">
        <v>125</v>
      </c>
      <c r="CL768" t="s">
        <v>125</v>
      </c>
      <c r="CM768" t="s">
        <v>125</v>
      </c>
      <c r="CN768" t="s">
        <v>125</v>
      </c>
      <c r="CO768" t="s">
        <v>125</v>
      </c>
      <c r="CP768" t="s">
        <v>125</v>
      </c>
      <c r="CQ768">
        <v>0.355263</v>
      </c>
      <c r="CR768">
        <v>1.013333</v>
      </c>
      <c r="CS768">
        <v>23.684211000000001</v>
      </c>
      <c r="CT768">
        <v>50</v>
      </c>
      <c r="CU768" t="s">
        <v>125</v>
      </c>
      <c r="CV768" t="s">
        <v>125</v>
      </c>
      <c r="CW768" t="s">
        <v>125</v>
      </c>
      <c r="CX768" t="s">
        <v>125</v>
      </c>
      <c r="CY768" t="s">
        <v>125</v>
      </c>
      <c r="CZ768" t="s">
        <v>125</v>
      </c>
      <c r="DA768">
        <v>15.314097</v>
      </c>
      <c r="DB768">
        <v>17.400950000000002</v>
      </c>
      <c r="DC768">
        <v>16.332519999999999</v>
      </c>
      <c r="DD768" t="s">
        <v>125</v>
      </c>
      <c r="DE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Q768" t="s">
        <v>126</v>
      </c>
    </row>
    <row r="769" spans="1:121" x14ac:dyDescent="0.15">
      <c r="A769">
        <v>2018</v>
      </c>
      <c r="B769" t="s">
        <v>241</v>
      </c>
      <c r="C769" t="str">
        <f t="shared" si="32"/>
        <v>1040011</v>
      </c>
      <c r="D769" t="s">
        <v>924</v>
      </c>
      <c r="E769" t="str">
        <f>"1040811"</f>
        <v>1040811</v>
      </c>
      <c r="F769" t="s">
        <v>328</v>
      </c>
      <c r="G769" t="s">
        <v>339</v>
      </c>
      <c r="H769">
        <v>5</v>
      </c>
      <c r="I769" t="s">
        <v>336</v>
      </c>
      <c r="J769" t="s">
        <v>331</v>
      </c>
      <c r="K769">
        <v>578.96479399999998</v>
      </c>
      <c r="L769">
        <v>950</v>
      </c>
      <c r="M769">
        <v>60.943663000000001</v>
      </c>
      <c r="N769">
        <v>3</v>
      </c>
      <c r="O769">
        <v>0</v>
      </c>
      <c r="P769">
        <v>65.895362000000006</v>
      </c>
      <c r="Q769">
        <v>43.930242</v>
      </c>
      <c r="R769">
        <v>50</v>
      </c>
      <c r="S769">
        <v>61.888108000000003</v>
      </c>
      <c r="T769">
        <v>75</v>
      </c>
      <c r="U769">
        <v>41.258738000000001</v>
      </c>
      <c r="V769">
        <v>50</v>
      </c>
      <c r="W769">
        <v>60.840356999999997</v>
      </c>
      <c r="X769">
        <v>40.560237999999998</v>
      </c>
      <c r="Y769">
        <v>50</v>
      </c>
      <c r="Z769">
        <v>70.361619000000005</v>
      </c>
      <c r="AA769">
        <v>57.096955000000001</v>
      </c>
      <c r="AB769">
        <v>38.064636999999998</v>
      </c>
      <c r="AC769">
        <v>50</v>
      </c>
      <c r="AD769">
        <v>59.988615000000003</v>
      </c>
      <c r="AE769">
        <v>39.99241</v>
      </c>
      <c r="AF769">
        <v>50</v>
      </c>
      <c r="AG769">
        <v>53.777777999999998</v>
      </c>
      <c r="AH769" t="s">
        <v>125</v>
      </c>
      <c r="AI769">
        <v>35.851852000000001</v>
      </c>
      <c r="AJ769">
        <v>50</v>
      </c>
      <c r="AK769">
        <v>13.11</v>
      </c>
      <c r="AL769">
        <v>13.26</v>
      </c>
      <c r="AM769" t="s">
        <v>125</v>
      </c>
      <c r="AN769">
        <v>0.42984499999999998</v>
      </c>
      <c r="AO769">
        <v>42.984543000000002</v>
      </c>
      <c r="AP769">
        <v>100</v>
      </c>
      <c r="AQ769">
        <v>0.37709300000000001</v>
      </c>
      <c r="AR769">
        <v>37.709285000000001</v>
      </c>
      <c r="AS769">
        <v>100</v>
      </c>
      <c r="AT769">
        <v>0.416325</v>
      </c>
      <c r="AU769">
        <v>0.46237899999999998</v>
      </c>
      <c r="AV769">
        <v>41.632483000000001</v>
      </c>
      <c r="AW769">
        <v>100</v>
      </c>
      <c r="AX769">
        <v>0.41526999999999997</v>
      </c>
      <c r="AY769">
        <v>0.28522999999999998</v>
      </c>
      <c r="AZ769">
        <v>41.526961</v>
      </c>
      <c r="BA769">
        <v>100</v>
      </c>
      <c r="BB769">
        <v>0.79725999999999997</v>
      </c>
      <c r="BC769">
        <v>39.863017999999997</v>
      </c>
      <c r="BD769">
        <v>50</v>
      </c>
      <c r="BE769">
        <v>0.54706299999999997</v>
      </c>
      <c r="BF769">
        <v>27.353148000000001</v>
      </c>
      <c r="BG769">
        <v>50</v>
      </c>
      <c r="BH769">
        <v>0</v>
      </c>
      <c r="BI769">
        <v>0.98924699999999999</v>
      </c>
      <c r="BJ769">
        <v>0.99280599999999997</v>
      </c>
      <c r="BK769">
        <v>0.97872300000000001</v>
      </c>
      <c r="BL769">
        <v>0.98912999999999995</v>
      </c>
      <c r="BM769">
        <v>0.99270099999999994</v>
      </c>
      <c r="BN769">
        <v>0.97872300000000001</v>
      </c>
      <c r="BO769">
        <v>0.98214299999999999</v>
      </c>
      <c r="BP769">
        <v>1</v>
      </c>
      <c r="BQ769" t="s">
        <v>125</v>
      </c>
      <c r="BR769">
        <v>9.2391000000000001E-2</v>
      </c>
      <c r="BS769">
        <v>41.521738999999997</v>
      </c>
      <c r="BT769">
        <v>50</v>
      </c>
      <c r="BU769">
        <v>0.11070099999999999</v>
      </c>
      <c r="BV769">
        <v>37.859779000000003</v>
      </c>
      <c r="BW769">
        <v>50</v>
      </c>
      <c r="BX769" t="s">
        <v>125</v>
      </c>
      <c r="BY769" t="s">
        <v>125</v>
      </c>
      <c r="BZ769" t="s">
        <v>125</v>
      </c>
      <c r="CA769" t="s">
        <v>125</v>
      </c>
      <c r="CB769" t="s">
        <v>125</v>
      </c>
      <c r="CC769" t="s">
        <v>125</v>
      </c>
      <c r="CD769" t="s">
        <v>125</v>
      </c>
      <c r="CE769" t="s">
        <v>125</v>
      </c>
      <c r="CF769" t="s">
        <v>125</v>
      </c>
      <c r="CG769" t="s">
        <v>125</v>
      </c>
      <c r="CH769" t="s">
        <v>125</v>
      </c>
      <c r="CI769" t="s">
        <v>125</v>
      </c>
      <c r="CJ769" t="s">
        <v>125</v>
      </c>
      <c r="CK769" t="s">
        <v>125</v>
      </c>
      <c r="CL769" t="s">
        <v>125</v>
      </c>
      <c r="CM769" t="s">
        <v>125</v>
      </c>
      <c r="CN769" t="s">
        <v>125</v>
      </c>
      <c r="CO769" t="s">
        <v>125</v>
      </c>
      <c r="CP769" t="s">
        <v>125</v>
      </c>
      <c r="CQ769">
        <v>0.432836</v>
      </c>
      <c r="CR769">
        <v>1.0151520000000001</v>
      </c>
      <c r="CS769">
        <v>28.855720999999999</v>
      </c>
      <c r="CT769">
        <v>50</v>
      </c>
      <c r="CU769" t="s">
        <v>125</v>
      </c>
      <c r="CV769" t="s">
        <v>125</v>
      </c>
      <c r="CW769" t="s">
        <v>125</v>
      </c>
      <c r="CX769" t="s">
        <v>125</v>
      </c>
      <c r="CY769" t="s">
        <v>125</v>
      </c>
      <c r="CZ769" t="s">
        <v>125</v>
      </c>
      <c r="DA769">
        <v>15.314097</v>
      </c>
      <c r="DB769">
        <v>17.400950000000002</v>
      </c>
      <c r="DC769">
        <v>16.332519999999999</v>
      </c>
      <c r="DD769" t="s">
        <v>125</v>
      </c>
      <c r="DE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Q769" t="s">
        <v>126</v>
      </c>
    </row>
    <row r="770" spans="1:121" x14ac:dyDescent="0.15">
      <c r="A770">
        <v>2018</v>
      </c>
      <c r="B770" t="s">
        <v>241</v>
      </c>
      <c r="C770" t="str">
        <f t="shared" si="32"/>
        <v>1040011</v>
      </c>
      <c r="D770" t="s">
        <v>925</v>
      </c>
      <c r="E770" t="str">
        <f>"1045211"</f>
        <v>1045211</v>
      </c>
      <c r="F770" t="s">
        <v>328</v>
      </c>
      <c r="G770">
        <v>6</v>
      </c>
      <c r="H770">
        <v>8</v>
      </c>
      <c r="I770" t="s">
        <v>336</v>
      </c>
      <c r="J770" t="s">
        <v>331</v>
      </c>
      <c r="K770">
        <v>456.17722900000001</v>
      </c>
      <c r="L770">
        <v>950</v>
      </c>
      <c r="M770">
        <v>48.018656</v>
      </c>
      <c r="N770">
        <v>3</v>
      </c>
      <c r="O770">
        <v>1</v>
      </c>
      <c r="P770">
        <v>49.068866999999997</v>
      </c>
      <c r="Q770">
        <v>32.712578000000001</v>
      </c>
      <c r="R770">
        <v>50</v>
      </c>
      <c r="S770">
        <v>45.339886999999997</v>
      </c>
      <c r="T770">
        <v>66.449707000000004</v>
      </c>
      <c r="U770">
        <v>30.226592</v>
      </c>
      <c r="V770">
        <v>50</v>
      </c>
      <c r="W770">
        <v>41.388694999999998</v>
      </c>
      <c r="X770">
        <v>27.592462999999999</v>
      </c>
      <c r="Y770">
        <v>50</v>
      </c>
      <c r="Z770">
        <v>59.341234</v>
      </c>
      <c r="AA770">
        <v>37.537058999999999</v>
      </c>
      <c r="AB770">
        <v>25.024705999999998</v>
      </c>
      <c r="AC770">
        <v>50</v>
      </c>
      <c r="AD770">
        <v>48.969175999999997</v>
      </c>
      <c r="AE770">
        <v>32.646116999999997</v>
      </c>
      <c r="AF770">
        <v>50</v>
      </c>
      <c r="AG770">
        <v>45.112143000000003</v>
      </c>
      <c r="AH770">
        <v>64.975862000000006</v>
      </c>
      <c r="AI770">
        <v>30.074762</v>
      </c>
      <c r="AJ770">
        <v>50</v>
      </c>
      <c r="AK770">
        <v>21.1</v>
      </c>
      <c r="AL770">
        <v>21.8</v>
      </c>
      <c r="AM770">
        <v>19.86</v>
      </c>
      <c r="AN770">
        <v>0.39297700000000002</v>
      </c>
      <c r="AO770">
        <v>39.297682000000002</v>
      </c>
      <c r="AP770">
        <v>100</v>
      </c>
      <c r="AQ770">
        <v>0.35707800000000001</v>
      </c>
      <c r="AR770">
        <v>35.707825999999997</v>
      </c>
      <c r="AS770">
        <v>100</v>
      </c>
      <c r="AT770">
        <v>0.37023699999999998</v>
      </c>
      <c r="AU770">
        <v>0.48429899999999998</v>
      </c>
      <c r="AV770">
        <v>37.023657999999998</v>
      </c>
      <c r="AW770">
        <v>100</v>
      </c>
      <c r="AX770">
        <v>0.35898400000000003</v>
      </c>
      <c r="AY770">
        <v>0.34948699999999999</v>
      </c>
      <c r="AZ770">
        <v>35.898364000000001</v>
      </c>
      <c r="BA770">
        <v>100</v>
      </c>
      <c r="BB770">
        <v>0.54083999999999999</v>
      </c>
      <c r="BC770">
        <v>27.042013000000001</v>
      </c>
      <c r="BD770">
        <v>50</v>
      </c>
      <c r="BE770">
        <v>0.40429700000000002</v>
      </c>
      <c r="BF770">
        <v>20.214866000000001</v>
      </c>
      <c r="BG770">
        <v>50</v>
      </c>
      <c r="BH770">
        <v>0</v>
      </c>
      <c r="BI770">
        <v>0.98969099999999999</v>
      </c>
      <c r="BJ770">
        <v>0.98765400000000003</v>
      </c>
      <c r="BK770">
        <v>1</v>
      </c>
      <c r="BL770">
        <v>0.98453599999999997</v>
      </c>
      <c r="BM770">
        <v>0.98148100000000005</v>
      </c>
      <c r="BN770">
        <v>1</v>
      </c>
      <c r="BO770">
        <v>0.99199999999999999</v>
      </c>
      <c r="BP770">
        <v>0.99009899999999995</v>
      </c>
      <c r="BQ770">
        <v>1</v>
      </c>
      <c r="BR770">
        <v>0.142487</v>
      </c>
      <c r="BS770">
        <v>31.502590999999999</v>
      </c>
      <c r="BT770">
        <v>50</v>
      </c>
      <c r="BU770">
        <v>0.16190499999999999</v>
      </c>
      <c r="BV770">
        <v>27.619047999999999</v>
      </c>
      <c r="BW770">
        <v>50</v>
      </c>
      <c r="BX770" t="s">
        <v>125</v>
      </c>
      <c r="BY770" t="s">
        <v>125</v>
      </c>
      <c r="BZ770" t="s">
        <v>125</v>
      </c>
      <c r="CA770" t="s">
        <v>125</v>
      </c>
      <c r="CB770" t="s">
        <v>125</v>
      </c>
      <c r="CC770" t="s">
        <v>125</v>
      </c>
      <c r="CD770" t="s">
        <v>125</v>
      </c>
      <c r="CE770" t="s">
        <v>125</v>
      </c>
      <c r="CF770" t="s">
        <v>125</v>
      </c>
      <c r="CG770" t="s">
        <v>125</v>
      </c>
      <c r="CH770" t="s">
        <v>125</v>
      </c>
      <c r="CI770" t="s">
        <v>125</v>
      </c>
      <c r="CJ770" t="s">
        <v>125</v>
      </c>
      <c r="CK770" t="s">
        <v>125</v>
      </c>
      <c r="CL770" t="s">
        <v>125</v>
      </c>
      <c r="CM770" t="s">
        <v>125</v>
      </c>
      <c r="CN770" t="s">
        <v>125</v>
      </c>
      <c r="CO770" t="s">
        <v>125</v>
      </c>
      <c r="CP770" t="s">
        <v>125</v>
      </c>
      <c r="CQ770">
        <v>0.35390899999999997</v>
      </c>
      <c r="CR770">
        <v>0.95294100000000004</v>
      </c>
      <c r="CS770">
        <v>23.593964</v>
      </c>
      <c r="CT770">
        <v>50</v>
      </c>
      <c r="CU770" t="s">
        <v>125</v>
      </c>
      <c r="CV770" t="s">
        <v>125</v>
      </c>
      <c r="CW770" t="s">
        <v>125</v>
      </c>
      <c r="CX770" t="s">
        <v>125</v>
      </c>
      <c r="CY770" t="s">
        <v>125</v>
      </c>
      <c r="CZ770" t="s">
        <v>125</v>
      </c>
      <c r="DA770">
        <v>15.314097</v>
      </c>
      <c r="DB770">
        <v>17.400950000000002</v>
      </c>
      <c r="DC770">
        <v>16.332519999999999</v>
      </c>
      <c r="DD770" t="s">
        <v>125</v>
      </c>
      <c r="DE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Q770" t="s">
        <v>126</v>
      </c>
    </row>
    <row r="771" spans="1:121" x14ac:dyDescent="0.15">
      <c r="A771">
        <v>2018</v>
      </c>
      <c r="B771" t="s">
        <v>241</v>
      </c>
      <c r="C771" t="str">
        <f t="shared" si="32"/>
        <v>1040011</v>
      </c>
      <c r="D771" t="s">
        <v>926</v>
      </c>
      <c r="E771" t="str">
        <f>"1041711"</f>
        <v>1041711</v>
      </c>
      <c r="F771" t="s">
        <v>328</v>
      </c>
      <c r="G771" t="s">
        <v>329</v>
      </c>
      <c r="H771">
        <v>5</v>
      </c>
      <c r="I771" t="s">
        <v>336</v>
      </c>
      <c r="J771" t="s">
        <v>331</v>
      </c>
      <c r="K771">
        <v>790.35037199999999</v>
      </c>
      <c r="L771">
        <v>950</v>
      </c>
      <c r="M771">
        <v>83.194776000000005</v>
      </c>
      <c r="N771">
        <v>2</v>
      </c>
      <c r="O771">
        <v>0</v>
      </c>
      <c r="P771">
        <v>80.481558000000007</v>
      </c>
      <c r="Q771">
        <v>50</v>
      </c>
      <c r="R771">
        <v>50</v>
      </c>
      <c r="S771">
        <v>77.724343000000005</v>
      </c>
      <c r="T771">
        <v>75</v>
      </c>
      <c r="U771">
        <v>50</v>
      </c>
      <c r="V771">
        <v>50</v>
      </c>
      <c r="W771">
        <v>73.061954999999998</v>
      </c>
      <c r="X771">
        <v>48.707970000000003</v>
      </c>
      <c r="Y771">
        <v>50</v>
      </c>
      <c r="Z771">
        <v>75</v>
      </c>
      <c r="AA771">
        <v>71.735491999999994</v>
      </c>
      <c r="AB771">
        <v>47.823661999999999</v>
      </c>
      <c r="AC771">
        <v>50</v>
      </c>
      <c r="AD771">
        <v>69.480644999999996</v>
      </c>
      <c r="AE771">
        <v>46.320430000000002</v>
      </c>
      <c r="AF771">
        <v>50</v>
      </c>
      <c r="AG771">
        <v>66.059552999999994</v>
      </c>
      <c r="AH771" t="s">
        <v>125</v>
      </c>
      <c r="AI771">
        <v>44.039701999999998</v>
      </c>
      <c r="AJ771">
        <v>50</v>
      </c>
      <c r="AK771">
        <v>-2.72</v>
      </c>
      <c r="AL771">
        <v>3.26</v>
      </c>
      <c r="AM771" t="s">
        <v>125</v>
      </c>
      <c r="AN771">
        <v>0.79772200000000004</v>
      </c>
      <c r="AO771">
        <v>79.772204000000002</v>
      </c>
      <c r="AP771">
        <v>100</v>
      </c>
      <c r="AQ771">
        <v>0.70570600000000006</v>
      </c>
      <c r="AR771">
        <v>70.570564000000005</v>
      </c>
      <c r="AS771">
        <v>100</v>
      </c>
      <c r="AT771">
        <v>0.75656599999999996</v>
      </c>
      <c r="AU771">
        <v>0.85651600000000006</v>
      </c>
      <c r="AV771">
        <v>75.656647000000007</v>
      </c>
      <c r="AW771">
        <v>100</v>
      </c>
      <c r="AX771">
        <v>0.76282000000000005</v>
      </c>
      <c r="AY771">
        <v>0.62411399999999995</v>
      </c>
      <c r="AZ771">
        <v>76.281987000000001</v>
      </c>
      <c r="BA771">
        <v>100</v>
      </c>
      <c r="BB771">
        <v>0.52676900000000004</v>
      </c>
      <c r="BC771">
        <v>26.338443000000002</v>
      </c>
      <c r="BD771">
        <v>50</v>
      </c>
      <c r="BE771">
        <v>0.774146</v>
      </c>
      <c r="BF771">
        <v>38.707298999999999</v>
      </c>
      <c r="BG771">
        <v>50</v>
      </c>
      <c r="BH771">
        <v>0</v>
      </c>
      <c r="BI771">
        <v>0.98275900000000005</v>
      </c>
      <c r="BJ771">
        <v>0.97619</v>
      </c>
      <c r="BK771">
        <v>1</v>
      </c>
      <c r="BL771">
        <v>0.98275900000000005</v>
      </c>
      <c r="BM771">
        <v>0.97619</v>
      </c>
      <c r="BN771">
        <v>1</v>
      </c>
      <c r="BO771">
        <v>0.97727299999999995</v>
      </c>
      <c r="BP771">
        <v>0.96666700000000005</v>
      </c>
      <c r="BQ771" t="s">
        <v>125</v>
      </c>
      <c r="BR771">
        <v>8.1545000000000006E-2</v>
      </c>
      <c r="BS771">
        <v>43.690987</v>
      </c>
      <c r="BT771">
        <v>50</v>
      </c>
      <c r="BU771">
        <v>7.7381000000000005E-2</v>
      </c>
      <c r="BV771">
        <v>44.523809999999997</v>
      </c>
      <c r="BW771">
        <v>50</v>
      </c>
      <c r="BX771" t="s">
        <v>125</v>
      </c>
      <c r="BY771" t="s">
        <v>125</v>
      </c>
      <c r="BZ771" t="s">
        <v>125</v>
      </c>
      <c r="CA771" t="s">
        <v>125</v>
      </c>
      <c r="CB771" t="s">
        <v>125</v>
      </c>
      <c r="CC771" t="s">
        <v>125</v>
      </c>
      <c r="CD771" t="s">
        <v>125</v>
      </c>
      <c r="CE771" t="s">
        <v>125</v>
      </c>
      <c r="CF771" t="s">
        <v>125</v>
      </c>
      <c r="CG771" t="s">
        <v>125</v>
      </c>
      <c r="CH771" t="s">
        <v>125</v>
      </c>
      <c r="CI771" t="s">
        <v>125</v>
      </c>
      <c r="CJ771" t="s">
        <v>125</v>
      </c>
      <c r="CK771" t="s">
        <v>125</v>
      </c>
      <c r="CL771" t="s">
        <v>125</v>
      </c>
      <c r="CM771" t="s">
        <v>125</v>
      </c>
      <c r="CN771" t="s">
        <v>125</v>
      </c>
      <c r="CO771" t="s">
        <v>125</v>
      </c>
      <c r="CP771" t="s">
        <v>125</v>
      </c>
      <c r="CQ771">
        <v>0.71875</v>
      </c>
      <c r="CR771">
        <v>0.94117600000000001</v>
      </c>
      <c r="CS771">
        <v>47.916666999999997</v>
      </c>
      <c r="CT771">
        <v>50</v>
      </c>
      <c r="CU771" t="s">
        <v>125</v>
      </c>
      <c r="CV771" t="s">
        <v>125</v>
      </c>
      <c r="CW771" t="s">
        <v>125</v>
      </c>
      <c r="CX771" t="s">
        <v>125</v>
      </c>
      <c r="CY771" t="s">
        <v>125</v>
      </c>
      <c r="CZ771" t="s">
        <v>125</v>
      </c>
      <c r="DA771">
        <v>15.314097</v>
      </c>
      <c r="DB771">
        <v>17.400950000000002</v>
      </c>
      <c r="DC771">
        <v>16.332519999999999</v>
      </c>
      <c r="DD771" t="s">
        <v>125</v>
      </c>
      <c r="DE771">
        <v>0</v>
      </c>
      <c r="DH771" t="s">
        <v>332</v>
      </c>
      <c r="DI771" t="s">
        <v>529</v>
      </c>
      <c r="DJ771">
        <v>0</v>
      </c>
      <c r="DK771">
        <v>1</v>
      </c>
      <c r="DL771">
        <v>0</v>
      </c>
      <c r="DM771">
        <v>1</v>
      </c>
      <c r="DN771">
        <v>0</v>
      </c>
      <c r="DO771">
        <v>0</v>
      </c>
      <c r="DQ771" t="s">
        <v>126</v>
      </c>
    </row>
    <row r="772" spans="1:121" x14ac:dyDescent="0.15">
      <c r="A772">
        <v>2018</v>
      </c>
      <c r="B772" t="s">
        <v>241</v>
      </c>
      <c r="C772" t="str">
        <f t="shared" si="32"/>
        <v>1040011</v>
      </c>
      <c r="D772" t="s">
        <v>927</v>
      </c>
      <c r="E772" t="str">
        <f>"1041911"</f>
        <v>1041911</v>
      </c>
      <c r="F772" t="s">
        <v>328</v>
      </c>
      <c r="G772" t="s">
        <v>339</v>
      </c>
      <c r="H772">
        <v>5</v>
      </c>
      <c r="I772" t="s">
        <v>336</v>
      </c>
      <c r="J772" t="s">
        <v>331</v>
      </c>
      <c r="K772">
        <v>588.84229000000005</v>
      </c>
      <c r="L772">
        <v>950</v>
      </c>
      <c r="M772">
        <v>61.983398999999999</v>
      </c>
      <c r="N772">
        <v>3</v>
      </c>
      <c r="O772">
        <v>0</v>
      </c>
      <c r="P772">
        <v>57.576222000000001</v>
      </c>
      <c r="Q772">
        <v>38.384148000000003</v>
      </c>
      <c r="R772">
        <v>50</v>
      </c>
      <c r="S772">
        <v>56.015996000000001</v>
      </c>
      <c r="T772" t="s">
        <v>125</v>
      </c>
      <c r="U772">
        <v>37.343997000000002</v>
      </c>
      <c r="V772">
        <v>50</v>
      </c>
      <c r="W772">
        <v>58.567172999999997</v>
      </c>
      <c r="X772">
        <v>39.044781999999998</v>
      </c>
      <c r="Y772">
        <v>50</v>
      </c>
      <c r="Z772" t="s">
        <v>125</v>
      </c>
      <c r="AA772">
        <v>57.118003000000002</v>
      </c>
      <c r="AB772">
        <v>38.078668999999998</v>
      </c>
      <c r="AC772">
        <v>50</v>
      </c>
      <c r="AD772">
        <v>51.211238000000002</v>
      </c>
      <c r="AE772">
        <v>34.140825999999997</v>
      </c>
      <c r="AF772">
        <v>50</v>
      </c>
      <c r="AG772">
        <v>49.848720999999998</v>
      </c>
      <c r="AH772" t="s">
        <v>125</v>
      </c>
      <c r="AI772">
        <v>33.232481</v>
      </c>
      <c r="AJ772">
        <v>50</v>
      </c>
      <c r="AK772" t="s">
        <v>125</v>
      </c>
      <c r="AL772" t="s">
        <v>125</v>
      </c>
      <c r="AM772" t="s">
        <v>125</v>
      </c>
      <c r="AN772">
        <v>0.32935500000000001</v>
      </c>
      <c r="AO772">
        <v>32.935541999999998</v>
      </c>
      <c r="AP772">
        <v>100</v>
      </c>
      <c r="AQ772">
        <v>0.57647899999999996</v>
      </c>
      <c r="AR772">
        <v>57.647888999999999</v>
      </c>
      <c r="AS772">
        <v>100</v>
      </c>
      <c r="AT772">
        <v>0.318216</v>
      </c>
      <c r="AU772" t="s">
        <v>125</v>
      </c>
      <c r="AV772">
        <v>31.821584000000001</v>
      </c>
      <c r="AW772">
        <v>100</v>
      </c>
      <c r="AX772">
        <v>0.58241200000000004</v>
      </c>
      <c r="AY772" t="s">
        <v>125</v>
      </c>
      <c r="AZ772">
        <v>58.241177999999998</v>
      </c>
      <c r="BA772">
        <v>100</v>
      </c>
      <c r="BB772">
        <v>0.59593200000000002</v>
      </c>
      <c r="BC772">
        <v>29.796607000000002</v>
      </c>
      <c r="BD772">
        <v>50</v>
      </c>
      <c r="BE772">
        <v>0.56134099999999998</v>
      </c>
      <c r="BF772">
        <v>28.067060000000001</v>
      </c>
      <c r="BG772">
        <v>50</v>
      </c>
      <c r="BH772">
        <v>0</v>
      </c>
      <c r="BI772">
        <v>1</v>
      </c>
      <c r="BJ772">
        <v>1</v>
      </c>
      <c r="BK772" t="s">
        <v>125</v>
      </c>
      <c r="BL772">
        <v>1</v>
      </c>
      <c r="BM772">
        <v>1</v>
      </c>
      <c r="BN772" t="s">
        <v>125</v>
      </c>
      <c r="BO772">
        <v>1</v>
      </c>
      <c r="BP772">
        <v>1</v>
      </c>
      <c r="BQ772" t="s">
        <v>125</v>
      </c>
      <c r="BR772">
        <v>4.1825000000000001E-2</v>
      </c>
      <c r="BS772">
        <v>50</v>
      </c>
      <c r="BT772">
        <v>50</v>
      </c>
      <c r="BU772">
        <v>4.2553000000000001E-2</v>
      </c>
      <c r="BV772">
        <v>50</v>
      </c>
      <c r="BW772">
        <v>50</v>
      </c>
      <c r="BX772" t="s">
        <v>125</v>
      </c>
      <c r="BY772" t="s">
        <v>125</v>
      </c>
      <c r="BZ772" t="s">
        <v>125</v>
      </c>
      <c r="CA772" t="s">
        <v>125</v>
      </c>
      <c r="CB772" t="s">
        <v>125</v>
      </c>
      <c r="CC772" t="s">
        <v>125</v>
      </c>
      <c r="CD772" t="s">
        <v>125</v>
      </c>
      <c r="CE772" t="s">
        <v>125</v>
      </c>
      <c r="CF772" t="s">
        <v>125</v>
      </c>
      <c r="CG772" t="s">
        <v>125</v>
      </c>
      <c r="CH772" t="s">
        <v>125</v>
      </c>
      <c r="CI772" t="s">
        <v>125</v>
      </c>
      <c r="CJ772" t="s">
        <v>125</v>
      </c>
      <c r="CK772" t="s">
        <v>125</v>
      </c>
      <c r="CL772" t="s">
        <v>125</v>
      </c>
      <c r="CM772" t="s">
        <v>125</v>
      </c>
      <c r="CN772" t="s">
        <v>125</v>
      </c>
      <c r="CO772" t="s">
        <v>125</v>
      </c>
      <c r="CP772" t="s">
        <v>125</v>
      </c>
      <c r="CQ772">
        <v>0.45161299999999999</v>
      </c>
      <c r="CR772">
        <v>1.0333330000000001</v>
      </c>
      <c r="CS772">
        <v>30.107527000000001</v>
      </c>
      <c r="CT772">
        <v>50</v>
      </c>
      <c r="CU772" t="s">
        <v>125</v>
      </c>
      <c r="CV772" t="s">
        <v>125</v>
      </c>
      <c r="CW772" t="s">
        <v>125</v>
      </c>
      <c r="CX772" t="s">
        <v>125</v>
      </c>
      <c r="CY772" t="s">
        <v>125</v>
      </c>
      <c r="CZ772" t="s">
        <v>125</v>
      </c>
      <c r="DA772">
        <v>15.314097</v>
      </c>
      <c r="DB772">
        <v>17.400950000000002</v>
      </c>
      <c r="DC772">
        <v>16.332519999999999</v>
      </c>
      <c r="DD772" t="s">
        <v>125</v>
      </c>
      <c r="DE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Q772" t="s">
        <v>126</v>
      </c>
    </row>
    <row r="773" spans="1:121" x14ac:dyDescent="0.15">
      <c r="A773">
        <v>2018</v>
      </c>
      <c r="B773" t="s">
        <v>241</v>
      </c>
      <c r="C773" t="str">
        <f t="shared" si="32"/>
        <v>1040011</v>
      </c>
      <c r="D773" t="s">
        <v>928</v>
      </c>
      <c r="E773" t="str">
        <f>"1041811"</f>
        <v>1041811</v>
      </c>
      <c r="F773" t="s">
        <v>328</v>
      </c>
      <c r="G773" t="s">
        <v>339</v>
      </c>
      <c r="H773">
        <v>5</v>
      </c>
      <c r="I773" t="s">
        <v>336</v>
      </c>
      <c r="J773" t="s">
        <v>331</v>
      </c>
      <c r="K773">
        <v>646.20574299999998</v>
      </c>
      <c r="L773">
        <v>950</v>
      </c>
      <c r="M773">
        <v>68.021657000000005</v>
      </c>
      <c r="N773">
        <v>3</v>
      </c>
      <c r="O773">
        <v>0</v>
      </c>
      <c r="P773">
        <v>65.616686999999999</v>
      </c>
      <c r="Q773">
        <v>43.744458000000002</v>
      </c>
      <c r="R773">
        <v>50</v>
      </c>
      <c r="S773">
        <v>64.554247000000004</v>
      </c>
      <c r="T773" t="s">
        <v>125</v>
      </c>
      <c r="U773">
        <v>43.036163999999999</v>
      </c>
      <c r="V773">
        <v>50</v>
      </c>
      <c r="W773">
        <v>62.728923999999999</v>
      </c>
      <c r="X773">
        <v>41.819282999999999</v>
      </c>
      <c r="Y773">
        <v>50</v>
      </c>
      <c r="Z773" t="s">
        <v>125</v>
      </c>
      <c r="AA773">
        <v>61.733977000000003</v>
      </c>
      <c r="AB773">
        <v>41.155985000000001</v>
      </c>
      <c r="AC773">
        <v>50</v>
      </c>
      <c r="AD773">
        <v>63.818182</v>
      </c>
      <c r="AE773">
        <v>42.545454999999997</v>
      </c>
      <c r="AF773">
        <v>50</v>
      </c>
      <c r="AG773">
        <v>62.595925000000001</v>
      </c>
      <c r="AH773" t="s">
        <v>125</v>
      </c>
      <c r="AI773">
        <v>41.730617000000002</v>
      </c>
      <c r="AJ773">
        <v>50</v>
      </c>
      <c r="AK773" t="s">
        <v>125</v>
      </c>
      <c r="AL773" t="s">
        <v>125</v>
      </c>
      <c r="AM773" t="s">
        <v>125</v>
      </c>
      <c r="AN773">
        <v>0.64855799999999997</v>
      </c>
      <c r="AO773">
        <v>64.855762999999996</v>
      </c>
      <c r="AP773">
        <v>100</v>
      </c>
      <c r="AQ773">
        <v>0.54918599999999995</v>
      </c>
      <c r="AR773">
        <v>54.918607000000002</v>
      </c>
      <c r="AS773">
        <v>100</v>
      </c>
      <c r="AT773">
        <v>0.622166</v>
      </c>
      <c r="AU773" t="s">
        <v>125</v>
      </c>
      <c r="AV773">
        <v>62.216619999999999</v>
      </c>
      <c r="AW773">
        <v>100</v>
      </c>
      <c r="AX773">
        <v>0.56545400000000001</v>
      </c>
      <c r="AY773" t="s">
        <v>125</v>
      </c>
      <c r="AZ773">
        <v>56.545364999999997</v>
      </c>
      <c r="BA773">
        <v>100</v>
      </c>
      <c r="BB773">
        <v>0.58984199999999998</v>
      </c>
      <c r="BC773">
        <v>29.492083999999998</v>
      </c>
      <c r="BD773">
        <v>50</v>
      </c>
      <c r="BE773">
        <v>0.54006200000000004</v>
      </c>
      <c r="BF773">
        <v>27.003108999999998</v>
      </c>
      <c r="BG773">
        <v>50</v>
      </c>
      <c r="BH773">
        <v>0</v>
      </c>
      <c r="BI773">
        <v>1</v>
      </c>
      <c r="BJ773">
        <v>1</v>
      </c>
      <c r="BK773" t="s">
        <v>125</v>
      </c>
      <c r="BL773">
        <v>0.993506</v>
      </c>
      <c r="BM773">
        <v>0.99264699999999995</v>
      </c>
      <c r="BN773" t="s">
        <v>125</v>
      </c>
      <c r="BO773">
        <v>1</v>
      </c>
      <c r="BP773">
        <v>1</v>
      </c>
      <c r="BQ773" t="s">
        <v>125</v>
      </c>
      <c r="BR773">
        <v>0.136213</v>
      </c>
      <c r="BS773">
        <v>32.757474999999999</v>
      </c>
      <c r="BT773">
        <v>50</v>
      </c>
      <c r="BU773">
        <v>0.148289</v>
      </c>
      <c r="BV773">
        <v>30.342205</v>
      </c>
      <c r="BW773">
        <v>50</v>
      </c>
      <c r="BX773" t="s">
        <v>125</v>
      </c>
      <c r="BY773" t="s">
        <v>125</v>
      </c>
      <c r="BZ773" t="s">
        <v>125</v>
      </c>
      <c r="CA773" t="s">
        <v>125</v>
      </c>
      <c r="CB773" t="s">
        <v>125</v>
      </c>
      <c r="CC773" t="s">
        <v>125</v>
      </c>
      <c r="CD773" t="s">
        <v>125</v>
      </c>
      <c r="CE773" t="s">
        <v>125</v>
      </c>
      <c r="CF773" t="s">
        <v>125</v>
      </c>
      <c r="CG773" t="s">
        <v>125</v>
      </c>
      <c r="CH773" t="s">
        <v>125</v>
      </c>
      <c r="CI773" t="s">
        <v>125</v>
      </c>
      <c r="CJ773" t="s">
        <v>125</v>
      </c>
      <c r="CK773" t="s">
        <v>125</v>
      </c>
      <c r="CL773" t="s">
        <v>125</v>
      </c>
      <c r="CM773" t="s">
        <v>125</v>
      </c>
      <c r="CN773" t="s">
        <v>125</v>
      </c>
      <c r="CO773" t="s">
        <v>125</v>
      </c>
      <c r="CP773" t="s">
        <v>125</v>
      </c>
      <c r="CQ773">
        <v>0.51063800000000004</v>
      </c>
      <c r="CR773">
        <v>0.94</v>
      </c>
      <c r="CS773">
        <v>34.042552999999998</v>
      </c>
      <c r="CT773">
        <v>50</v>
      </c>
      <c r="CU773" t="s">
        <v>125</v>
      </c>
      <c r="CV773" t="s">
        <v>125</v>
      </c>
      <c r="CW773" t="s">
        <v>125</v>
      </c>
      <c r="CX773" t="s">
        <v>125</v>
      </c>
      <c r="CY773" t="s">
        <v>125</v>
      </c>
      <c r="CZ773" t="s">
        <v>125</v>
      </c>
      <c r="DA773">
        <v>15.314097</v>
      </c>
      <c r="DB773">
        <v>17.400950000000002</v>
      </c>
      <c r="DC773">
        <v>16.332519999999999</v>
      </c>
      <c r="DD773" t="s">
        <v>125</v>
      </c>
      <c r="DE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Q773" t="s">
        <v>126</v>
      </c>
    </row>
    <row r="774" spans="1:121" x14ac:dyDescent="0.15">
      <c r="A774">
        <v>2018</v>
      </c>
      <c r="B774" t="s">
        <v>241</v>
      </c>
      <c r="C774" t="str">
        <f t="shared" si="32"/>
        <v>1040011</v>
      </c>
      <c r="D774" t="s">
        <v>929</v>
      </c>
      <c r="E774" t="str">
        <f>"1041511"</f>
        <v>1041511</v>
      </c>
      <c r="F774" t="s">
        <v>328</v>
      </c>
      <c r="G774" t="s">
        <v>339</v>
      </c>
      <c r="H774">
        <v>5</v>
      </c>
      <c r="I774" t="s">
        <v>336</v>
      </c>
      <c r="J774" t="s">
        <v>331</v>
      </c>
      <c r="K774">
        <v>667.88756100000001</v>
      </c>
      <c r="L774">
        <v>950</v>
      </c>
      <c r="M774">
        <v>70.303954000000004</v>
      </c>
      <c r="N774">
        <v>2</v>
      </c>
      <c r="O774">
        <v>0</v>
      </c>
      <c r="P774">
        <v>66.142678000000004</v>
      </c>
      <c r="Q774">
        <v>44.095118999999997</v>
      </c>
      <c r="R774">
        <v>50</v>
      </c>
      <c r="S774">
        <v>63.275350000000003</v>
      </c>
      <c r="T774">
        <v>75</v>
      </c>
      <c r="U774">
        <v>42.183566999999996</v>
      </c>
      <c r="V774">
        <v>50</v>
      </c>
      <c r="W774">
        <v>61.605100999999998</v>
      </c>
      <c r="X774">
        <v>41.070067000000002</v>
      </c>
      <c r="Y774">
        <v>50</v>
      </c>
      <c r="Z774">
        <v>74.197883000000004</v>
      </c>
      <c r="AA774">
        <v>58.488075000000002</v>
      </c>
      <c r="AB774">
        <v>38.992049999999999</v>
      </c>
      <c r="AC774">
        <v>50</v>
      </c>
      <c r="AD774">
        <v>63.974823000000001</v>
      </c>
      <c r="AE774">
        <v>42.649881999999998</v>
      </c>
      <c r="AF774">
        <v>50</v>
      </c>
      <c r="AG774">
        <v>61.867173000000001</v>
      </c>
      <c r="AH774" t="s">
        <v>125</v>
      </c>
      <c r="AI774">
        <v>41.244782000000001</v>
      </c>
      <c r="AJ774">
        <v>50</v>
      </c>
      <c r="AK774">
        <v>11.72</v>
      </c>
      <c r="AL774">
        <v>15.7</v>
      </c>
      <c r="AM774" t="s">
        <v>125</v>
      </c>
      <c r="AN774">
        <v>0.51932999999999996</v>
      </c>
      <c r="AO774">
        <v>51.933041000000003</v>
      </c>
      <c r="AP774">
        <v>100</v>
      </c>
      <c r="AQ774">
        <v>0.53231899999999999</v>
      </c>
      <c r="AR774">
        <v>53.231856999999998</v>
      </c>
      <c r="AS774">
        <v>100</v>
      </c>
      <c r="AT774">
        <v>0.516289</v>
      </c>
      <c r="AU774" t="s">
        <v>125</v>
      </c>
      <c r="AV774">
        <v>51.628886999999999</v>
      </c>
      <c r="AW774">
        <v>100</v>
      </c>
      <c r="AX774">
        <v>0.51588000000000001</v>
      </c>
      <c r="AY774" t="s">
        <v>125</v>
      </c>
      <c r="AZ774">
        <v>51.587986999999998</v>
      </c>
      <c r="BA774">
        <v>100</v>
      </c>
      <c r="BB774">
        <v>0.76183299999999998</v>
      </c>
      <c r="BC774">
        <v>38.091655000000003</v>
      </c>
      <c r="BD774">
        <v>50</v>
      </c>
      <c r="BE774">
        <v>0.56246200000000002</v>
      </c>
      <c r="BF774">
        <v>28.123113</v>
      </c>
      <c r="BG774">
        <v>50</v>
      </c>
      <c r="BH774">
        <v>0</v>
      </c>
      <c r="BI774">
        <v>0.99295800000000001</v>
      </c>
      <c r="BJ774">
        <v>0.99145300000000003</v>
      </c>
      <c r="BK774">
        <v>1</v>
      </c>
      <c r="BL774">
        <v>0.99295800000000001</v>
      </c>
      <c r="BM774">
        <v>0.99145300000000003</v>
      </c>
      <c r="BN774">
        <v>1</v>
      </c>
      <c r="BO774">
        <v>1</v>
      </c>
      <c r="BP774">
        <v>1</v>
      </c>
      <c r="BQ774" t="s">
        <v>125</v>
      </c>
      <c r="BR774">
        <v>4.8327000000000002E-2</v>
      </c>
      <c r="BS774">
        <v>50</v>
      </c>
      <c r="BT774">
        <v>50</v>
      </c>
      <c r="BU774">
        <v>4.9773999999999999E-2</v>
      </c>
      <c r="BV774">
        <v>50</v>
      </c>
      <c r="BW774">
        <v>50</v>
      </c>
      <c r="BX774" t="s">
        <v>125</v>
      </c>
      <c r="BY774" t="s">
        <v>125</v>
      </c>
      <c r="BZ774" t="s">
        <v>125</v>
      </c>
      <c r="CA774" t="s">
        <v>125</v>
      </c>
      <c r="CB774" t="s">
        <v>125</v>
      </c>
      <c r="CC774" t="s">
        <v>125</v>
      </c>
      <c r="CD774" t="s">
        <v>125</v>
      </c>
      <c r="CE774" t="s">
        <v>125</v>
      </c>
      <c r="CF774" t="s">
        <v>125</v>
      </c>
      <c r="CG774" t="s">
        <v>125</v>
      </c>
      <c r="CH774" t="s">
        <v>125</v>
      </c>
      <c r="CI774" t="s">
        <v>125</v>
      </c>
      <c r="CJ774" t="s">
        <v>125</v>
      </c>
      <c r="CK774" t="s">
        <v>125</v>
      </c>
      <c r="CL774" t="s">
        <v>125</v>
      </c>
      <c r="CM774" t="s">
        <v>125</v>
      </c>
      <c r="CN774" t="s">
        <v>125</v>
      </c>
      <c r="CO774" t="s">
        <v>125</v>
      </c>
      <c r="CP774" t="s">
        <v>125</v>
      </c>
      <c r="CQ774">
        <v>0.64583299999999999</v>
      </c>
      <c r="CR774">
        <v>0.97959200000000002</v>
      </c>
      <c r="CS774">
        <v>43.055556000000003</v>
      </c>
      <c r="CT774">
        <v>50</v>
      </c>
      <c r="CU774" t="s">
        <v>125</v>
      </c>
      <c r="CV774" t="s">
        <v>125</v>
      </c>
      <c r="CW774" t="s">
        <v>125</v>
      </c>
      <c r="CX774" t="s">
        <v>125</v>
      </c>
      <c r="CY774" t="s">
        <v>125</v>
      </c>
      <c r="CZ774" t="s">
        <v>125</v>
      </c>
      <c r="DA774">
        <v>15.314097</v>
      </c>
      <c r="DB774">
        <v>17.400950000000002</v>
      </c>
      <c r="DC774">
        <v>16.332519999999999</v>
      </c>
      <c r="DD774" t="s">
        <v>125</v>
      </c>
      <c r="DE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Q774" t="s">
        <v>126</v>
      </c>
    </row>
    <row r="775" spans="1:121" x14ac:dyDescent="0.15">
      <c r="A775">
        <v>2018</v>
      </c>
      <c r="B775" t="s">
        <v>177</v>
      </c>
      <c r="C775" t="str">
        <f>"1060011"</f>
        <v>1060011</v>
      </c>
      <c r="D775" t="s">
        <v>930</v>
      </c>
      <c r="E775" t="str">
        <f>"1060211"</f>
        <v>1060211</v>
      </c>
      <c r="F775" t="s">
        <v>328</v>
      </c>
      <c r="G775" t="s">
        <v>329</v>
      </c>
      <c r="H775">
        <v>3</v>
      </c>
      <c r="I775" t="s">
        <v>330</v>
      </c>
      <c r="J775" t="s">
        <v>331</v>
      </c>
      <c r="K775">
        <v>439.721315</v>
      </c>
      <c r="L775">
        <v>500</v>
      </c>
      <c r="M775">
        <v>87.944263000000007</v>
      </c>
      <c r="N775">
        <v>1</v>
      </c>
      <c r="O775">
        <v>0</v>
      </c>
      <c r="P775">
        <v>71.789841999999993</v>
      </c>
      <c r="Q775">
        <v>95.719789000000006</v>
      </c>
      <c r="R775">
        <v>100</v>
      </c>
      <c r="S775">
        <v>66.144073000000006</v>
      </c>
      <c r="T775">
        <v>75</v>
      </c>
      <c r="U775">
        <v>88.192098000000001</v>
      </c>
      <c r="V775">
        <v>100</v>
      </c>
      <c r="W775">
        <v>67.757693000000003</v>
      </c>
      <c r="X775">
        <v>90.343591000000004</v>
      </c>
      <c r="Y775">
        <v>100</v>
      </c>
      <c r="Z775">
        <v>73.092105000000004</v>
      </c>
      <c r="AA775">
        <v>61.000771999999998</v>
      </c>
      <c r="AB775">
        <v>81.334361999999999</v>
      </c>
      <c r="AC775">
        <v>100</v>
      </c>
      <c r="AD775" t="s">
        <v>125</v>
      </c>
      <c r="AE775" t="s">
        <v>125</v>
      </c>
      <c r="AF775" t="s">
        <v>125</v>
      </c>
      <c r="AG775" t="s">
        <v>125</v>
      </c>
      <c r="AH775" t="s">
        <v>125</v>
      </c>
      <c r="AI775" t="s">
        <v>125</v>
      </c>
      <c r="AJ775" t="s">
        <v>125</v>
      </c>
      <c r="AK775">
        <v>8.85</v>
      </c>
      <c r="AL775">
        <v>12.09</v>
      </c>
      <c r="AM775" t="s">
        <v>125</v>
      </c>
      <c r="AN775" t="s">
        <v>125</v>
      </c>
      <c r="AO775" t="s">
        <v>125</v>
      </c>
      <c r="AP775" t="s">
        <v>125</v>
      </c>
      <c r="AQ775" t="s">
        <v>125</v>
      </c>
      <c r="AR775" t="s">
        <v>125</v>
      </c>
      <c r="AS775" t="s">
        <v>125</v>
      </c>
      <c r="AT775" t="s">
        <v>125</v>
      </c>
      <c r="AU775" t="s">
        <v>125</v>
      </c>
      <c r="AV775" t="s">
        <v>125</v>
      </c>
      <c r="AW775" t="s">
        <v>125</v>
      </c>
      <c r="AX775" t="s">
        <v>125</v>
      </c>
      <c r="AY775" t="s">
        <v>125</v>
      </c>
      <c r="AZ775" t="s">
        <v>125</v>
      </c>
      <c r="BA775" t="s">
        <v>125</v>
      </c>
      <c r="BB775" t="s">
        <v>125</v>
      </c>
      <c r="BC775" t="s">
        <v>125</v>
      </c>
      <c r="BD775" t="s">
        <v>125</v>
      </c>
      <c r="BE775" t="s">
        <v>125</v>
      </c>
      <c r="BF775" t="s">
        <v>125</v>
      </c>
      <c r="BG775" t="s">
        <v>125</v>
      </c>
      <c r="BH775">
        <v>0</v>
      </c>
      <c r="BI775">
        <v>0.98591499999999999</v>
      </c>
      <c r="BJ775">
        <v>1</v>
      </c>
      <c r="BK775">
        <v>0.97435899999999998</v>
      </c>
      <c r="BL775">
        <v>0.98591499999999999</v>
      </c>
      <c r="BM775">
        <v>1</v>
      </c>
      <c r="BN775">
        <v>0.97435899999999998</v>
      </c>
      <c r="BO775" t="s">
        <v>125</v>
      </c>
      <c r="BP775" t="s">
        <v>125</v>
      </c>
      <c r="BQ775" t="s">
        <v>125</v>
      </c>
      <c r="BR775">
        <v>7.7491000000000004E-2</v>
      </c>
      <c r="BS775">
        <v>44.501845000000003</v>
      </c>
      <c r="BT775">
        <v>50</v>
      </c>
      <c r="BU775">
        <v>0.101852</v>
      </c>
      <c r="BV775">
        <v>39.629629999999999</v>
      </c>
      <c r="BW775">
        <v>50</v>
      </c>
      <c r="BX775" t="s">
        <v>125</v>
      </c>
      <c r="BY775" t="s">
        <v>125</v>
      </c>
      <c r="BZ775" t="s">
        <v>125</v>
      </c>
      <c r="CA775" t="s">
        <v>125</v>
      </c>
      <c r="CB775" t="s">
        <v>125</v>
      </c>
      <c r="CC775" t="s">
        <v>125</v>
      </c>
      <c r="CD775" t="s">
        <v>125</v>
      </c>
      <c r="CE775" t="s">
        <v>125</v>
      </c>
      <c r="CF775" t="s">
        <v>125</v>
      </c>
      <c r="CG775" t="s">
        <v>125</v>
      </c>
      <c r="CH775" t="s">
        <v>125</v>
      </c>
      <c r="CI775" t="s">
        <v>125</v>
      </c>
      <c r="CJ775" t="s">
        <v>125</v>
      </c>
      <c r="CK775" t="s">
        <v>125</v>
      </c>
      <c r="CL775" t="s">
        <v>125</v>
      </c>
      <c r="CM775" t="s">
        <v>125</v>
      </c>
      <c r="CN775" t="s">
        <v>125</v>
      </c>
      <c r="CO775" t="s">
        <v>125</v>
      </c>
      <c r="CP775" t="s">
        <v>125</v>
      </c>
      <c r="CQ775" t="s">
        <v>125</v>
      </c>
      <c r="CR775" t="s">
        <v>125</v>
      </c>
      <c r="CS775" t="s">
        <v>125</v>
      </c>
      <c r="CT775" t="s">
        <v>125</v>
      </c>
      <c r="CU775" t="s">
        <v>125</v>
      </c>
      <c r="CV775" t="s">
        <v>125</v>
      </c>
      <c r="CW775" t="s">
        <v>125</v>
      </c>
      <c r="CX775" t="s">
        <v>125</v>
      </c>
      <c r="CY775" t="s">
        <v>125</v>
      </c>
      <c r="CZ775" t="s">
        <v>125</v>
      </c>
      <c r="DA775">
        <v>15.314097</v>
      </c>
      <c r="DB775">
        <v>17.400950000000002</v>
      </c>
      <c r="DC775">
        <v>16.332519999999999</v>
      </c>
      <c r="DD775" t="s">
        <v>125</v>
      </c>
      <c r="DE775">
        <v>0</v>
      </c>
      <c r="DH775" t="s">
        <v>332</v>
      </c>
      <c r="DI775" t="s">
        <v>333</v>
      </c>
      <c r="DJ775">
        <v>1</v>
      </c>
      <c r="DK775">
        <v>0</v>
      </c>
      <c r="DL775">
        <v>0</v>
      </c>
      <c r="DM775">
        <v>0</v>
      </c>
      <c r="DN775">
        <v>0</v>
      </c>
      <c r="DO775">
        <v>0</v>
      </c>
      <c r="DQ775" t="s">
        <v>126</v>
      </c>
    </row>
    <row r="776" spans="1:121" x14ac:dyDescent="0.15">
      <c r="A776">
        <v>2018</v>
      </c>
      <c r="B776" t="s">
        <v>177</v>
      </c>
      <c r="C776" t="str">
        <f>"1060011"</f>
        <v>1060011</v>
      </c>
      <c r="D776" t="s">
        <v>931</v>
      </c>
      <c r="E776" t="str">
        <f>"1065211"</f>
        <v>1065211</v>
      </c>
      <c r="F776" t="s">
        <v>328</v>
      </c>
      <c r="G776">
        <v>4</v>
      </c>
      <c r="H776">
        <v>8</v>
      </c>
      <c r="J776" t="s">
        <v>331</v>
      </c>
      <c r="K776">
        <v>773.58590100000004</v>
      </c>
      <c r="L776">
        <v>900</v>
      </c>
      <c r="M776">
        <v>85.953989000000007</v>
      </c>
      <c r="N776">
        <v>1</v>
      </c>
      <c r="O776">
        <v>0</v>
      </c>
      <c r="P776">
        <v>78.639972</v>
      </c>
      <c r="Q776">
        <v>50</v>
      </c>
      <c r="R776">
        <v>50</v>
      </c>
      <c r="S776">
        <v>69.279251000000002</v>
      </c>
      <c r="T776">
        <v>75</v>
      </c>
      <c r="U776">
        <v>46.186168000000002</v>
      </c>
      <c r="V776">
        <v>50</v>
      </c>
      <c r="W776">
        <v>74.474635000000006</v>
      </c>
      <c r="X776">
        <v>49.649755999999996</v>
      </c>
      <c r="Y776">
        <v>50</v>
      </c>
      <c r="Z776">
        <v>75</v>
      </c>
      <c r="AA776">
        <v>64.818448000000004</v>
      </c>
      <c r="AB776">
        <v>43.212299000000002</v>
      </c>
      <c r="AC776">
        <v>50</v>
      </c>
      <c r="AD776">
        <v>76.908044000000004</v>
      </c>
      <c r="AE776">
        <v>50</v>
      </c>
      <c r="AF776">
        <v>50</v>
      </c>
      <c r="AG776">
        <v>65.810631999999998</v>
      </c>
      <c r="AH776">
        <v>75</v>
      </c>
      <c r="AI776">
        <v>43.873755000000003</v>
      </c>
      <c r="AJ776">
        <v>50</v>
      </c>
      <c r="AK776">
        <v>5.72</v>
      </c>
      <c r="AL776">
        <v>10.18</v>
      </c>
      <c r="AM776">
        <v>9.18</v>
      </c>
      <c r="AN776">
        <v>0.78573599999999999</v>
      </c>
      <c r="AO776">
        <v>78.573566</v>
      </c>
      <c r="AP776">
        <v>100</v>
      </c>
      <c r="AQ776">
        <v>0.80858300000000005</v>
      </c>
      <c r="AR776">
        <v>80.858277999999999</v>
      </c>
      <c r="AS776">
        <v>100</v>
      </c>
      <c r="AT776">
        <v>0.764351</v>
      </c>
      <c r="AU776">
        <v>0.798566</v>
      </c>
      <c r="AV776">
        <v>76.435109999999995</v>
      </c>
      <c r="AW776">
        <v>100</v>
      </c>
      <c r="AX776">
        <v>0.77885499999999996</v>
      </c>
      <c r="AY776">
        <v>0.82655299999999998</v>
      </c>
      <c r="AZ776">
        <v>77.885452999999998</v>
      </c>
      <c r="BA776">
        <v>100</v>
      </c>
      <c r="BB776" t="s">
        <v>125</v>
      </c>
      <c r="BC776" t="s">
        <v>125</v>
      </c>
      <c r="BD776" t="s">
        <v>125</v>
      </c>
      <c r="BE776" t="s">
        <v>125</v>
      </c>
      <c r="BF776" t="s">
        <v>125</v>
      </c>
      <c r="BG776" t="s">
        <v>125</v>
      </c>
      <c r="BH776">
        <v>0</v>
      </c>
      <c r="BI776">
        <v>0.98051900000000003</v>
      </c>
      <c r="BJ776">
        <v>0.98295500000000002</v>
      </c>
      <c r="BK776">
        <v>0.97902100000000003</v>
      </c>
      <c r="BL776">
        <v>0.98051900000000003</v>
      </c>
      <c r="BM776">
        <v>0.98863599999999996</v>
      </c>
      <c r="BN776">
        <v>0.97552399999999995</v>
      </c>
      <c r="BO776">
        <v>0.982456</v>
      </c>
      <c r="BP776">
        <v>0.98412699999999997</v>
      </c>
      <c r="BQ776">
        <v>0.98148100000000005</v>
      </c>
      <c r="BR776">
        <v>3.8961000000000003E-2</v>
      </c>
      <c r="BS776">
        <v>50</v>
      </c>
      <c r="BT776">
        <v>50</v>
      </c>
      <c r="BU776">
        <v>7.7381000000000005E-2</v>
      </c>
      <c r="BV776">
        <v>44.523809999999997</v>
      </c>
      <c r="BW776">
        <v>50</v>
      </c>
      <c r="BX776" t="s">
        <v>125</v>
      </c>
      <c r="BY776" t="s">
        <v>125</v>
      </c>
      <c r="BZ776" t="s">
        <v>125</v>
      </c>
      <c r="CA776" t="s">
        <v>125</v>
      </c>
      <c r="CB776" t="s">
        <v>125</v>
      </c>
      <c r="CC776" t="s">
        <v>125</v>
      </c>
      <c r="CD776">
        <v>0.98936199999999996</v>
      </c>
      <c r="CE776">
        <v>50</v>
      </c>
      <c r="CF776">
        <v>50</v>
      </c>
      <c r="CG776" t="s">
        <v>125</v>
      </c>
      <c r="CH776" t="s">
        <v>125</v>
      </c>
      <c r="CI776" t="s">
        <v>125</v>
      </c>
      <c r="CJ776" t="s">
        <v>125</v>
      </c>
      <c r="CK776" t="s">
        <v>125</v>
      </c>
      <c r="CL776" t="s">
        <v>125</v>
      </c>
      <c r="CM776" t="s">
        <v>125</v>
      </c>
      <c r="CN776" t="s">
        <v>125</v>
      </c>
      <c r="CO776" t="s">
        <v>125</v>
      </c>
      <c r="CP776" t="s">
        <v>125</v>
      </c>
      <c r="CQ776">
        <v>0.48581600000000003</v>
      </c>
      <c r="CR776">
        <v>0.98947399999999996</v>
      </c>
      <c r="CS776">
        <v>32.387706999999999</v>
      </c>
      <c r="CT776">
        <v>50</v>
      </c>
      <c r="CU776" t="s">
        <v>125</v>
      </c>
      <c r="CV776" t="s">
        <v>125</v>
      </c>
      <c r="CW776" t="s">
        <v>125</v>
      </c>
      <c r="CX776" t="s">
        <v>125</v>
      </c>
      <c r="CY776" t="s">
        <v>125</v>
      </c>
      <c r="CZ776" t="s">
        <v>125</v>
      </c>
      <c r="DA776">
        <v>15.314097</v>
      </c>
      <c r="DB776">
        <v>17.400950000000002</v>
      </c>
      <c r="DC776">
        <v>16.332519999999999</v>
      </c>
      <c r="DD776" t="s">
        <v>125</v>
      </c>
      <c r="DE776">
        <v>0</v>
      </c>
      <c r="DH776" t="s">
        <v>332</v>
      </c>
      <c r="DI776" t="s">
        <v>529</v>
      </c>
      <c r="DJ776">
        <v>0</v>
      </c>
      <c r="DK776">
        <v>1</v>
      </c>
      <c r="DL776">
        <v>0</v>
      </c>
      <c r="DM776">
        <v>1</v>
      </c>
      <c r="DN776">
        <v>0</v>
      </c>
      <c r="DO776">
        <v>0</v>
      </c>
      <c r="DQ776" t="s">
        <v>126</v>
      </c>
    </row>
    <row r="777" spans="1:121" x14ac:dyDescent="0.15">
      <c r="A777">
        <v>2018</v>
      </c>
      <c r="B777" t="s">
        <v>177</v>
      </c>
      <c r="C777" t="str">
        <f>"1060011"</f>
        <v>1060011</v>
      </c>
      <c r="D777" t="s">
        <v>932</v>
      </c>
      <c r="E777" t="str">
        <f>"1066111"</f>
        <v>1066111</v>
      </c>
      <c r="F777" t="s">
        <v>328</v>
      </c>
      <c r="G777">
        <v>9</v>
      </c>
      <c r="H777">
        <v>12</v>
      </c>
      <c r="J777" t="s">
        <v>331</v>
      </c>
      <c r="K777">
        <v>1157.3266630000001</v>
      </c>
      <c r="L777">
        <v>1450</v>
      </c>
      <c r="M777">
        <v>79.815631999999994</v>
      </c>
      <c r="N777">
        <v>3</v>
      </c>
      <c r="O777">
        <v>0</v>
      </c>
      <c r="P777">
        <v>60.702019999999997</v>
      </c>
      <c r="Q777">
        <v>121.40403999999999</v>
      </c>
      <c r="R777">
        <v>150</v>
      </c>
      <c r="S777">
        <v>53.792327999999998</v>
      </c>
      <c r="T777">
        <v>64.375527000000005</v>
      </c>
      <c r="U777">
        <v>107.584656</v>
      </c>
      <c r="V777">
        <v>150</v>
      </c>
      <c r="W777">
        <v>60.121212</v>
      </c>
      <c r="X777">
        <v>120.242424</v>
      </c>
      <c r="Y777">
        <v>150</v>
      </c>
      <c r="Z777">
        <v>65.327004000000002</v>
      </c>
      <c r="AA777">
        <v>50.329365000000003</v>
      </c>
      <c r="AB777">
        <v>100.65873000000001</v>
      </c>
      <c r="AC777">
        <v>150</v>
      </c>
      <c r="AD777">
        <v>61.172161000000003</v>
      </c>
      <c r="AE777">
        <v>81.562882000000002</v>
      </c>
      <c r="AF777">
        <v>100</v>
      </c>
      <c r="AG777">
        <v>49.932558</v>
      </c>
      <c r="AH777">
        <v>66.200405000000003</v>
      </c>
      <c r="AI777">
        <v>66.576744000000005</v>
      </c>
      <c r="AJ777">
        <v>100</v>
      </c>
      <c r="AK777">
        <v>10.58</v>
      </c>
      <c r="AL777">
        <v>14.99</v>
      </c>
      <c r="AM777">
        <v>16.260000000000002</v>
      </c>
      <c r="AN777" t="s">
        <v>125</v>
      </c>
      <c r="AO777" t="s">
        <v>125</v>
      </c>
      <c r="AP777" t="s">
        <v>125</v>
      </c>
      <c r="AQ777" t="s">
        <v>125</v>
      </c>
      <c r="AR777" t="s">
        <v>125</v>
      </c>
      <c r="AS777" t="s">
        <v>125</v>
      </c>
      <c r="AT777" t="s">
        <v>125</v>
      </c>
      <c r="AU777" t="s">
        <v>125</v>
      </c>
      <c r="AV777" t="s">
        <v>125</v>
      </c>
      <c r="AW777" t="s">
        <v>125</v>
      </c>
      <c r="AX777" t="s">
        <v>125</v>
      </c>
      <c r="AY777" t="s">
        <v>125</v>
      </c>
      <c r="AZ777" t="s">
        <v>125</v>
      </c>
      <c r="BA777" t="s">
        <v>125</v>
      </c>
      <c r="BB777" t="s">
        <v>125</v>
      </c>
      <c r="BC777" t="s">
        <v>125</v>
      </c>
      <c r="BD777" t="s">
        <v>125</v>
      </c>
      <c r="BE777" t="s">
        <v>125</v>
      </c>
      <c r="BF777" t="s">
        <v>125</v>
      </c>
      <c r="BG777" t="s">
        <v>125</v>
      </c>
      <c r="BH777">
        <v>1</v>
      </c>
      <c r="BI777">
        <v>0.953125</v>
      </c>
      <c r="BJ777">
        <v>0.89583299999999999</v>
      </c>
      <c r="BK777">
        <v>0.98750000000000004</v>
      </c>
      <c r="BL777">
        <v>0.953125</v>
      </c>
      <c r="BM777">
        <v>0.89583299999999999</v>
      </c>
      <c r="BN777">
        <v>0.98750000000000004</v>
      </c>
      <c r="BO777">
        <v>0.86718799999999996</v>
      </c>
      <c r="BP777">
        <v>0.72916700000000001</v>
      </c>
      <c r="BQ777">
        <v>0.95</v>
      </c>
      <c r="BR777">
        <v>0.12212000000000001</v>
      </c>
      <c r="BS777">
        <v>35.576036999999999</v>
      </c>
      <c r="BT777">
        <v>50</v>
      </c>
      <c r="BU777">
        <v>0.22981399999999999</v>
      </c>
      <c r="BV777">
        <v>14.037267</v>
      </c>
      <c r="BW777">
        <v>50</v>
      </c>
      <c r="BX777">
        <v>0.83898300000000003</v>
      </c>
      <c r="BY777">
        <v>50</v>
      </c>
      <c r="BZ777">
        <v>50</v>
      </c>
      <c r="CA777">
        <v>0.63135600000000003</v>
      </c>
      <c r="CB777">
        <v>42.090395000000001</v>
      </c>
      <c r="CC777">
        <v>50</v>
      </c>
      <c r="CD777">
        <v>0.97894700000000001</v>
      </c>
      <c r="CE777">
        <v>50</v>
      </c>
      <c r="CF777">
        <v>50</v>
      </c>
      <c r="CG777">
        <v>0.96363600000000005</v>
      </c>
      <c r="CH777">
        <v>100</v>
      </c>
      <c r="CI777">
        <v>100</v>
      </c>
      <c r="CJ777">
        <v>0</v>
      </c>
      <c r="CK777">
        <v>0.91666700000000001</v>
      </c>
      <c r="CL777">
        <v>97.51773</v>
      </c>
      <c r="CM777">
        <v>100</v>
      </c>
      <c r="CN777">
        <v>0.85321100000000005</v>
      </c>
      <c r="CO777">
        <v>100</v>
      </c>
      <c r="CP777">
        <v>100</v>
      </c>
      <c r="CQ777">
        <v>0.60227299999999995</v>
      </c>
      <c r="CR777">
        <v>0.85436900000000005</v>
      </c>
      <c r="CS777">
        <v>20.075758</v>
      </c>
      <c r="CT777">
        <v>50</v>
      </c>
      <c r="CU777">
        <v>0.76958499999999996</v>
      </c>
      <c r="CV777">
        <v>50</v>
      </c>
      <c r="CW777">
        <v>50</v>
      </c>
      <c r="CX777">
        <v>0.91666700000000001</v>
      </c>
      <c r="CY777">
        <v>0.94</v>
      </c>
      <c r="CZ777">
        <v>2.3333E-2</v>
      </c>
      <c r="DA777">
        <v>15.314097</v>
      </c>
      <c r="DB777">
        <v>17.400950000000002</v>
      </c>
      <c r="DC777">
        <v>16.332519999999999</v>
      </c>
      <c r="DD777">
        <v>7.9891730000000001</v>
      </c>
      <c r="DE777">
        <v>1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Q777" t="s">
        <v>126</v>
      </c>
    </row>
    <row r="778" spans="1:121" x14ac:dyDescent="0.15">
      <c r="A778">
        <v>2018</v>
      </c>
      <c r="B778" t="s">
        <v>154</v>
      </c>
      <c r="C778" t="str">
        <f>"1070011"</f>
        <v>1070011</v>
      </c>
      <c r="D778" t="s">
        <v>933</v>
      </c>
      <c r="E778" t="str">
        <f>"1070211"</f>
        <v>1070211</v>
      </c>
      <c r="F778" t="s">
        <v>328</v>
      </c>
      <c r="G778" t="s">
        <v>329</v>
      </c>
      <c r="H778" t="s">
        <v>339</v>
      </c>
      <c r="I778" t="s">
        <v>330</v>
      </c>
      <c r="J778" t="s">
        <v>331</v>
      </c>
      <c r="K778">
        <v>54.971159999999998</v>
      </c>
      <c r="L778">
        <v>100</v>
      </c>
      <c r="M778">
        <v>54.971159999999998</v>
      </c>
      <c r="N778" t="s">
        <v>125</v>
      </c>
      <c r="O778" t="s">
        <v>125</v>
      </c>
      <c r="P778" t="s">
        <v>125</v>
      </c>
      <c r="Q778" t="s">
        <v>125</v>
      </c>
      <c r="R778" t="s">
        <v>125</v>
      </c>
      <c r="S778" t="s">
        <v>125</v>
      </c>
      <c r="T778" t="s">
        <v>125</v>
      </c>
      <c r="U778" t="s">
        <v>125</v>
      </c>
      <c r="V778" t="s">
        <v>125</v>
      </c>
      <c r="W778" t="s">
        <v>125</v>
      </c>
      <c r="X778" t="s">
        <v>125</v>
      </c>
      <c r="Y778" t="s">
        <v>125</v>
      </c>
      <c r="Z778" t="s">
        <v>125</v>
      </c>
      <c r="AA778" t="s">
        <v>125</v>
      </c>
      <c r="AB778" t="s">
        <v>125</v>
      </c>
      <c r="AC778" t="s">
        <v>125</v>
      </c>
      <c r="AD778" t="s">
        <v>125</v>
      </c>
      <c r="AE778" t="s">
        <v>125</v>
      </c>
      <c r="AF778" t="s">
        <v>125</v>
      </c>
      <c r="AG778" t="s">
        <v>125</v>
      </c>
      <c r="AH778" t="s">
        <v>125</v>
      </c>
      <c r="AI778" t="s">
        <v>125</v>
      </c>
      <c r="AJ778" t="s">
        <v>125</v>
      </c>
      <c r="AK778" t="s">
        <v>125</v>
      </c>
      <c r="AL778" t="s">
        <v>125</v>
      </c>
      <c r="AM778" t="s">
        <v>125</v>
      </c>
      <c r="AN778" t="s">
        <v>125</v>
      </c>
      <c r="AO778" t="s">
        <v>125</v>
      </c>
      <c r="AP778" t="s">
        <v>125</v>
      </c>
      <c r="AQ778" t="s">
        <v>125</v>
      </c>
      <c r="AR778" t="s">
        <v>125</v>
      </c>
      <c r="AS778" t="s">
        <v>125</v>
      </c>
      <c r="AT778" t="s">
        <v>125</v>
      </c>
      <c r="AU778" t="s">
        <v>125</v>
      </c>
      <c r="AV778" t="s">
        <v>125</v>
      </c>
      <c r="AW778" t="s">
        <v>125</v>
      </c>
      <c r="AX778" t="s">
        <v>125</v>
      </c>
      <c r="AY778" t="s">
        <v>125</v>
      </c>
      <c r="AZ778" t="s">
        <v>125</v>
      </c>
      <c r="BA778" t="s">
        <v>125</v>
      </c>
      <c r="BB778" t="s">
        <v>125</v>
      </c>
      <c r="BC778" t="s">
        <v>125</v>
      </c>
      <c r="BD778" t="s">
        <v>125</v>
      </c>
      <c r="BE778" t="s">
        <v>125</v>
      </c>
      <c r="BF778" t="s">
        <v>125</v>
      </c>
      <c r="BG778" t="s">
        <v>125</v>
      </c>
      <c r="BH778" t="s">
        <v>125</v>
      </c>
      <c r="BI778" t="s">
        <v>125</v>
      </c>
      <c r="BJ778" t="s">
        <v>125</v>
      </c>
      <c r="BK778" t="s">
        <v>125</v>
      </c>
      <c r="BL778" t="s">
        <v>125</v>
      </c>
      <c r="BM778" t="s">
        <v>125</v>
      </c>
      <c r="BN778" t="s">
        <v>125</v>
      </c>
      <c r="BO778" t="s">
        <v>125</v>
      </c>
      <c r="BP778" t="s">
        <v>125</v>
      </c>
      <c r="BQ778" t="s">
        <v>125</v>
      </c>
      <c r="BR778">
        <v>9.9337999999999996E-2</v>
      </c>
      <c r="BS778">
        <v>40.132449999999999</v>
      </c>
      <c r="BT778">
        <v>50</v>
      </c>
      <c r="BU778">
        <v>0.22580600000000001</v>
      </c>
      <c r="BV778">
        <v>14.838710000000001</v>
      </c>
      <c r="BW778">
        <v>50</v>
      </c>
      <c r="BX778" t="s">
        <v>125</v>
      </c>
      <c r="BY778" t="s">
        <v>125</v>
      </c>
      <c r="BZ778" t="s">
        <v>125</v>
      </c>
      <c r="CA778" t="s">
        <v>125</v>
      </c>
      <c r="CB778" t="s">
        <v>125</v>
      </c>
      <c r="CC778" t="s">
        <v>125</v>
      </c>
      <c r="CD778" t="s">
        <v>125</v>
      </c>
      <c r="CE778" t="s">
        <v>125</v>
      </c>
      <c r="CF778" t="s">
        <v>125</v>
      </c>
      <c r="CG778" t="s">
        <v>125</v>
      </c>
      <c r="CH778" t="s">
        <v>125</v>
      </c>
      <c r="CI778" t="s">
        <v>125</v>
      </c>
      <c r="CJ778" t="s">
        <v>125</v>
      </c>
      <c r="CK778" t="s">
        <v>125</v>
      </c>
      <c r="CL778" t="s">
        <v>125</v>
      </c>
      <c r="CM778" t="s">
        <v>125</v>
      </c>
      <c r="CN778" t="s">
        <v>125</v>
      </c>
      <c r="CO778" t="s">
        <v>125</v>
      </c>
      <c r="CP778" t="s">
        <v>125</v>
      </c>
      <c r="CQ778" t="s">
        <v>125</v>
      </c>
      <c r="CR778" t="s">
        <v>125</v>
      </c>
      <c r="CS778" t="s">
        <v>125</v>
      </c>
      <c r="CT778" t="s">
        <v>125</v>
      </c>
      <c r="CU778" t="s">
        <v>125</v>
      </c>
      <c r="CV778" t="s">
        <v>125</v>
      </c>
      <c r="CW778" t="s">
        <v>125</v>
      </c>
      <c r="CX778" t="s">
        <v>125</v>
      </c>
      <c r="CY778" t="s">
        <v>125</v>
      </c>
      <c r="CZ778" t="s">
        <v>125</v>
      </c>
      <c r="DA778" t="s">
        <v>125</v>
      </c>
      <c r="DB778" t="s">
        <v>125</v>
      </c>
      <c r="DC778" t="s">
        <v>125</v>
      </c>
      <c r="DD778" t="s">
        <v>125</v>
      </c>
      <c r="DE778" t="s">
        <v>125</v>
      </c>
      <c r="DJ778" t="s">
        <v>125</v>
      </c>
      <c r="DK778" t="s">
        <v>125</v>
      </c>
      <c r="DL778" t="s">
        <v>125</v>
      </c>
      <c r="DM778" t="s">
        <v>125</v>
      </c>
      <c r="DN778" t="s">
        <v>125</v>
      </c>
      <c r="DO778" t="s">
        <v>125</v>
      </c>
      <c r="DQ778" t="s">
        <v>126</v>
      </c>
    </row>
    <row r="779" spans="1:121" x14ac:dyDescent="0.15">
      <c r="A779">
        <v>2018</v>
      </c>
      <c r="B779" t="s">
        <v>154</v>
      </c>
      <c r="C779" t="str">
        <f>"1070011"</f>
        <v>1070011</v>
      </c>
      <c r="D779" t="s">
        <v>934</v>
      </c>
      <c r="E779" t="str">
        <f>"1070511"</f>
        <v>1070511</v>
      </c>
      <c r="F779" t="s">
        <v>328</v>
      </c>
      <c r="G779">
        <v>1</v>
      </c>
      <c r="H779">
        <v>6</v>
      </c>
      <c r="J779" t="s">
        <v>331</v>
      </c>
      <c r="K779">
        <v>636.69217300000003</v>
      </c>
      <c r="L779">
        <v>800</v>
      </c>
      <c r="M779">
        <v>79.586522000000002</v>
      </c>
      <c r="N779">
        <v>2</v>
      </c>
      <c r="O779">
        <v>0</v>
      </c>
      <c r="P779">
        <v>80.342990999999998</v>
      </c>
      <c r="Q779">
        <v>50</v>
      </c>
      <c r="R779">
        <v>50</v>
      </c>
      <c r="S779">
        <v>70.397470999999996</v>
      </c>
      <c r="T779">
        <v>75</v>
      </c>
      <c r="U779">
        <v>46.931646999999998</v>
      </c>
      <c r="V779">
        <v>50</v>
      </c>
      <c r="W779">
        <v>76.205093000000005</v>
      </c>
      <c r="X779">
        <v>50</v>
      </c>
      <c r="Y779">
        <v>50</v>
      </c>
      <c r="Z779">
        <v>75</v>
      </c>
      <c r="AA779">
        <v>69.054648999999998</v>
      </c>
      <c r="AB779">
        <v>46.036433000000002</v>
      </c>
      <c r="AC779">
        <v>50</v>
      </c>
      <c r="AD779">
        <v>77.300247999999996</v>
      </c>
      <c r="AE779">
        <v>50</v>
      </c>
      <c r="AF779">
        <v>50</v>
      </c>
      <c r="AG779" t="s">
        <v>125</v>
      </c>
      <c r="AH779">
        <v>75</v>
      </c>
      <c r="AI779" t="s">
        <v>125</v>
      </c>
      <c r="AJ779" t="s">
        <v>125</v>
      </c>
      <c r="AK779">
        <v>4.5999999999999996</v>
      </c>
      <c r="AL779">
        <v>5.94</v>
      </c>
      <c r="AM779" t="s">
        <v>125</v>
      </c>
      <c r="AN779">
        <v>0.70496599999999998</v>
      </c>
      <c r="AO779">
        <v>70.496596999999994</v>
      </c>
      <c r="AP779">
        <v>100</v>
      </c>
      <c r="AQ779">
        <v>0.74516700000000002</v>
      </c>
      <c r="AR779">
        <v>74.516718999999995</v>
      </c>
      <c r="AS779">
        <v>100</v>
      </c>
      <c r="AT779">
        <v>0.51266800000000001</v>
      </c>
      <c r="AU779">
        <v>0.75005699999999997</v>
      </c>
      <c r="AV779">
        <v>51.266751999999997</v>
      </c>
      <c r="AW779">
        <v>100</v>
      </c>
      <c r="AX779">
        <v>0.69387299999999996</v>
      </c>
      <c r="AY779">
        <v>0.75719499999999995</v>
      </c>
      <c r="AZ779">
        <v>69.387344999999996</v>
      </c>
      <c r="BA779">
        <v>100</v>
      </c>
      <c r="BB779" t="s">
        <v>125</v>
      </c>
      <c r="BC779" t="s">
        <v>125</v>
      </c>
      <c r="BD779" t="s">
        <v>125</v>
      </c>
      <c r="BE779" t="s">
        <v>125</v>
      </c>
      <c r="BF779" t="s">
        <v>125</v>
      </c>
      <c r="BG779" t="s">
        <v>125</v>
      </c>
      <c r="BH779">
        <v>0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 t="s">
        <v>125</v>
      </c>
      <c r="BQ779">
        <v>1</v>
      </c>
      <c r="BR779">
        <v>2.6315999999999999E-2</v>
      </c>
      <c r="BS779">
        <v>50</v>
      </c>
      <c r="BT779">
        <v>50</v>
      </c>
      <c r="BU779">
        <v>7.8947000000000003E-2</v>
      </c>
      <c r="BV779">
        <v>44.210526000000002</v>
      </c>
      <c r="BW779">
        <v>50</v>
      </c>
      <c r="BX779" t="s">
        <v>125</v>
      </c>
      <c r="BY779" t="s">
        <v>125</v>
      </c>
      <c r="BZ779" t="s">
        <v>125</v>
      </c>
      <c r="CA779" t="s">
        <v>125</v>
      </c>
      <c r="CB779" t="s">
        <v>125</v>
      </c>
      <c r="CC779" t="s">
        <v>125</v>
      </c>
      <c r="CD779" t="s">
        <v>125</v>
      </c>
      <c r="CE779" t="s">
        <v>125</v>
      </c>
      <c r="CF779" t="s">
        <v>125</v>
      </c>
      <c r="CG779" t="s">
        <v>125</v>
      </c>
      <c r="CH779" t="s">
        <v>125</v>
      </c>
      <c r="CI779" t="s">
        <v>125</v>
      </c>
      <c r="CJ779" t="s">
        <v>125</v>
      </c>
      <c r="CK779" t="s">
        <v>125</v>
      </c>
      <c r="CL779" t="s">
        <v>125</v>
      </c>
      <c r="CM779" t="s">
        <v>125</v>
      </c>
      <c r="CN779" t="s">
        <v>125</v>
      </c>
      <c r="CO779" t="s">
        <v>125</v>
      </c>
      <c r="CP779" t="s">
        <v>125</v>
      </c>
      <c r="CQ779">
        <v>0.50769200000000003</v>
      </c>
      <c r="CR779">
        <v>0.99236599999999997</v>
      </c>
      <c r="CS779">
        <v>33.846153999999999</v>
      </c>
      <c r="CT779">
        <v>50</v>
      </c>
      <c r="CU779" t="s">
        <v>125</v>
      </c>
      <c r="CV779" t="s">
        <v>125</v>
      </c>
      <c r="CW779" t="s">
        <v>125</v>
      </c>
      <c r="CX779" t="s">
        <v>125</v>
      </c>
      <c r="CY779" t="s">
        <v>125</v>
      </c>
      <c r="CZ779" t="s">
        <v>125</v>
      </c>
      <c r="DA779">
        <v>15.314097</v>
      </c>
      <c r="DB779">
        <v>17.400950000000002</v>
      </c>
      <c r="DC779">
        <v>16.332519999999999</v>
      </c>
      <c r="DD779" t="s">
        <v>125</v>
      </c>
      <c r="DE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Q779" t="s">
        <v>126</v>
      </c>
    </row>
    <row r="780" spans="1:121" x14ac:dyDescent="0.15">
      <c r="A780">
        <v>2018</v>
      </c>
      <c r="B780" t="s">
        <v>154</v>
      </c>
      <c r="C780" t="str">
        <f>"1070011"</f>
        <v>1070011</v>
      </c>
      <c r="D780" t="s">
        <v>935</v>
      </c>
      <c r="E780" t="str">
        <f>"1070311"</f>
        <v>1070311</v>
      </c>
      <c r="F780" t="s">
        <v>328</v>
      </c>
      <c r="G780">
        <v>1</v>
      </c>
      <c r="H780">
        <v>6</v>
      </c>
      <c r="I780" t="s">
        <v>330</v>
      </c>
      <c r="J780" t="s">
        <v>331</v>
      </c>
      <c r="K780">
        <v>667.58456200000001</v>
      </c>
      <c r="L780">
        <v>900</v>
      </c>
      <c r="M780">
        <v>74.176062000000002</v>
      </c>
      <c r="N780">
        <v>2</v>
      </c>
      <c r="O780">
        <v>0</v>
      </c>
      <c r="P780">
        <v>78.332956999999993</v>
      </c>
      <c r="Q780">
        <v>50</v>
      </c>
      <c r="R780">
        <v>50</v>
      </c>
      <c r="S780">
        <v>65.901426000000001</v>
      </c>
      <c r="T780">
        <v>75</v>
      </c>
      <c r="U780">
        <v>43.934283999999998</v>
      </c>
      <c r="V780">
        <v>50</v>
      </c>
      <c r="W780">
        <v>72.379110999999995</v>
      </c>
      <c r="X780">
        <v>48.252741</v>
      </c>
      <c r="Y780">
        <v>50</v>
      </c>
      <c r="Z780">
        <v>75</v>
      </c>
      <c r="AA780">
        <v>60.018935999999997</v>
      </c>
      <c r="AB780">
        <v>40.012624000000002</v>
      </c>
      <c r="AC780">
        <v>50</v>
      </c>
      <c r="AD780">
        <v>73.980757999999994</v>
      </c>
      <c r="AE780">
        <v>49.320506000000002</v>
      </c>
      <c r="AF780">
        <v>50</v>
      </c>
      <c r="AG780" t="s">
        <v>125</v>
      </c>
      <c r="AH780">
        <v>75</v>
      </c>
      <c r="AI780" t="s">
        <v>125</v>
      </c>
      <c r="AJ780" t="s">
        <v>125</v>
      </c>
      <c r="AK780">
        <v>9.09</v>
      </c>
      <c r="AL780">
        <v>14.98</v>
      </c>
      <c r="AM780" t="s">
        <v>125</v>
      </c>
      <c r="AN780">
        <v>0.72770000000000001</v>
      </c>
      <c r="AO780">
        <v>72.769987999999998</v>
      </c>
      <c r="AP780">
        <v>100</v>
      </c>
      <c r="AQ780">
        <v>0.64241999999999999</v>
      </c>
      <c r="AR780">
        <v>64.241973000000002</v>
      </c>
      <c r="AS780">
        <v>100</v>
      </c>
      <c r="AT780">
        <v>0.63903500000000002</v>
      </c>
      <c r="AU780">
        <v>0.76140699999999994</v>
      </c>
      <c r="AV780">
        <v>63.903508000000002</v>
      </c>
      <c r="AW780">
        <v>100</v>
      </c>
      <c r="AX780">
        <v>0.44709100000000002</v>
      </c>
      <c r="AY780">
        <v>0.71667700000000001</v>
      </c>
      <c r="AZ780">
        <v>44.709111</v>
      </c>
      <c r="BA780">
        <v>100</v>
      </c>
      <c r="BB780">
        <v>0.458644</v>
      </c>
      <c r="BC780">
        <v>22.932183999999999</v>
      </c>
      <c r="BD780">
        <v>50</v>
      </c>
      <c r="BE780">
        <v>0.55698700000000001</v>
      </c>
      <c r="BF780">
        <v>27.849357999999999</v>
      </c>
      <c r="BG780">
        <v>50</v>
      </c>
      <c r="BH780">
        <v>0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 t="s">
        <v>125</v>
      </c>
      <c r="BQ780">
        <v>1</v>
      </c>
      <c r="BR780">
        <v>2.7855000000000001E-2</v>
      </c>
      <c r="BS780">
        <v>50</v>
      </c>
      <c r="BT780">
        <v>50</v>
      </c>
      <c r="BU780">
        <v>6.3829999999999998E-2</v>
      </c>
      <c r="BV780">
        <v>47.234043</v>
      </c>
      <c r="BW780">
        <v>50</v>
      </c>
      <c r="BX780" t="s">
        <v>125</v>
      </c>
      <c r="BY780" t="s">
        <v>125</v>
      </c>
      <c r="BZ780" t="s">
        <v>125</v>
      </c>
      <c r="CA780" t="s">
        <v>125</v>
      </c>
      <c r="CB780" t="s">
        <v>125</v>
      </c>
      <c r="CC780" t="s">
        <v>125</v>
      </c>
      <c r="CD780" t="s">
        <v>125</v>
      </c>
      <c r="CE780" t="s">
        <v>125</v>
      </c>
      <c r="CF780" t="s">
        <v>125</v>
      </c>
      <c r="CG780" t="s">
        <v>125</v>
      </c>
      <c r="CH780" t="s">
        <v>125</v>
      </c>
      <c r="CI780" t="s">
        <v>125</v>
      </c>
      <c r="CJ780" t="s">
        <v>125</v>
      </c>
      <c r="CK780" t="s">
        <v>125</v>
      </c>
      <c r="CL780" t="s">
        <v>125</v>
      </c>
      <c r="CM780" t="s">
        <v>125</v>
      </c>
      <c r="CN780" t="s">
        <v>125</v>
      </c>
      <c r="CO780" t="s">
        <v>125</v>
      </c>
      <c r="CP780" t="s">
        <v>125</v>
      </c>
      <c r="CQ780">
        <v>0.63636400000000004</v>
      </c>
      <c r="CR780">
        <v>0.99180299999999999</v>
      </c>
      <c r="CS780">
        <v>42.424242</v>
      </c>
      <c r="CT780">
        <v>50</v>
      </c>
      <c r="CU780" t="s">
        <v>125</v>
      </c>
      <c r="CV780" t="s">
        <v>125</v>
      </c>
      <c r="CW780" t="s">
        <v>125</v>
      </c>
      <c r="CX780" t="s">
        <v>125</v>
      </c>
      <c r="CY780" t="s">
        <v>125</v>
      </c>
      <c r="CZ780" t="s">
        <v>125</v>
      </c>
      <c r="DA780">
        <v>15.314097</v>
      </c>
      <c r="DB780">
        <v>17.400950000000002</v>
      </c>
      <c r="DC780">
        <v>16.332519999999999</v>
      </c>
      <c r="DD780" t="s">
        <v>125</v>
      </c>
      <c r="DE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Q780" t="s">
        <v>126</v>
      </c>
    </row>
    <row r="781" spans="1:121" x14ac:dyDescent="0.15">
      <c r="A781">
        <v>2018</v>
      </c>
      <c r="B781" t="s">
        <v>154</v>
      </c>
      <c r="C781" t="str">
        <f>"1070011"</f>
        <v>1070011</v>
      </c>
      <c r="D781" t="s">
        <v>936</v>
      </c>
      <c r="E781" t="str">
        <f>"1070411"</f>
        <v>1070411</v>
      </c>
      <c r="F781" t="s">
        <v>328</v>
      </c>
      <c r="G781">
        <v>1</v>
      </c>
      <c r="H781">
        <v>6</v>
      </c>
      <c r="J781" t="s">
        <v>331</v>
      </c>
      <c r="K781">
        <v>681.63733100000002</v>
      </c>
      <c r="L781">
        <v>800</v>
      </c>
      <c r="M781">
        <v>85.204666000000003</v>
      </c>
      <c r="N781">
        <v>1</v>
      </c>
      <c r="O781">
        <v>0</v>
      </c>
      <c r="P781">
        <v>81.334271999999999</v>
      </c>
      <c r="Q781">
        <v>50</v>
      </c>
      <c r="R781">
        <v>50</v>
      </c>
      <c r="S781">
        <v>66.516868000000002</v>
      </c>
      <c r="T781">
        <v>75</v>
      </c>
      <c r="U781">
        <v>44.344577999999998</v>
      </c>
      <c r="V781">
        <v>50</v>
      </c>
      <c r="W781">
        <v>76.403285999999994</v>
      </c>
      <c r="X781">
        <v>50</v>
      </c>
      <c r="Y781">
        <v>50</v>
      </c>
      <c r="Z781">
        <v>75</v>
      </c>
      <c r="AA781">
        <v>63.692979000000001</v>
      </c>
      <c r="AB781">
        <v>42.461986000000003</v>
      </c>
      <c r="AC781">
        <v>50</v>
      </c>
      <c r="AD781">
        <v>71.158809000000005</v>
      </c>
      <c r="AE781">
        <v>47.439205999999999</v>
      </c>
      <c r="AF781">
        <v>50</v>
      </c>
      <c r="AG781" t="s">
        <v>125</v>
      </c>
      <c r="AH781">
        <v>75</v>
      </c>
      <c r="AI781" t="s">
        <v>125</v>
      </c>
      <c r="AJ781" t="s">
        <v>125</v>
      </c>
      <c r="AK781">
        <v>8.48</v>
      </c>
      <c r="AL781">
        <v>11.3</v>
      </c>
      <c r="AM781" t="s">
        <v>125</v>
      </c>
      <c r="AN781">
        <v>0.76547799999999999</v>
      </c>
      <c r="AO781">
        <v>76.547827999999996</v>
      </c>
      <c r="AP781">
        <v>100</v>
      </c>
      <c r="AQ781">
        <v>0.94830199999999998</v>
      </c>
      <c r="AR781">
        <v>94.830192999999994</v>
      </c>
      <c r="AS781">
        <v>100</v>
      </c>
      <c r="AT781">
        <v>0.52546700000000002</v>
      </c>
      <c r="AU781">
        <v>0.82396800000000003</v>
      </c>
      <c r="AV781">
        <v>52.546714000000001</v>
      </c>
      <c r="AW781">
        <v>100</v>
      </c>
      <c r="AX781">
        <v>0.85466799999999998</v>
      </c>
      <c r="AY781">
        <v>0.97070999999999996</v>
      </c>
      <c r="AZ781">
        <v>85.466825999999998</v>
      </c>
      <c r="BA781">
        <v>100</v>
      </c>
      <c r="BB781" t="s">
        <v>125</v>
      </c>
      <c r="BC781" t="s">
        <v>125</v>
      </c>
      <c r="BD781" t="s">
        <v>125</v>
      </c>
      <c r="BE781" t="s">
        <v>125</v>
      </c>
      <c r="BF781" t="s">
        <v>125</v>
      </c>
      <c r="BG781" t="s">
        <v>125</v>
      </c>
      <c r="BH781">
        <v>0</v>
      </c>
      <c r="BI781">
        <v>0.99507400000000001</v>
      </c>
      <c r="BJ781">
        <v>0.980769</v>
      </c>
      <c r="BK781">
        <v>1</v>
      </c>
      <c r="BL781">
        <v>0.98522200000000004</v>
      </c>
      <c r="BM781">
        <v>0.980769</v>
      </c>
      <c r="BN781">
        <v>0.98675500000000005</v>
      </c>
      <c r="BO781">
        <v>1</v>
      </c>
      <c r="BP781" t="s">
        <v>125</v>
      </c>
      <c r="BQ781">
        <v>1</v>
      </c>
      <c r="BR781">
        <v>2.0478E-2</v>
      </c>
      <c r="BS781">
        <v>50</v>
      </c>
      <c r="BT781">
        <v>50</v>
      </c>
      <c r="BU781">
        <v>1.5625E-2</v>
      </c>
      <c r="BV781">
        <v>50</v>
      </c>
      <c r="BW781">
        <v>50</v>
      </c>
      <c r="BX781" t="s">
        <v>125</v>
      </c>
      <c r="BY781" t="s">
        <v>125</v>
      </c>
      <c r="BZ781" t="s">
        <v>125</v>
      </c>
      <c r="CA781" t="s">
        <v>125</v>
      </c>
      <c r="CB781" t="s">
        <v>125</v>
      </c>
      <c r="CC781" t="s">
        <v>125</v>
      </c>
      <c r="CD781" t="s">
        <v>125</v>
      </c>
      <c r="CE781" t="s">
        <v>125</v>
      </c>
      <c r="CF781" t="s">
        <v>125</v>
      </c>
      <c r="CG781" t="s">
        <v>125</v>
      </c>
      <c r="CH781" t="s">
        <v>125</v>
      </c>
      <c r="CI781" t="s">
        <v>125</v>
      </c>
      <c r="CJ781" t="s">
        <v>125</v>
      </c>
      <c r="CK781" t="s">
        <v>125</v>
      </c>
      <c r="CL781" t="s">
        <v>125</v>
      </c>
      <c r="CM781" t="s">
        <v>125</v>
      </c>
      <c r="CN781" t="s">
        <v>125</v>
      </c>
      <c r="CO781" t="s">
        <v>125</v>
      </c>
      <c r="CP781" t="s">
        <v>125</v>
      </c>
      <c r="CQ781">
        <v>0.56999999999999995</v>
      </c>
      <c r="CR781">
        <v>0.98039200000000004</v>
      </c>
      <c r="CS781">
        <v>38</v>
      </c>
      <c r="CT781">
        <v>50</v>
      </c>
      <c r="CU781" t="s">
        <v>125</v>
      </c>
      <c r="CV781" t="s">
        <v>125</v>
      </c>
      <c r="CW781" t="s">
        <v>125</v>
      </c>
      <c r="CX781" t="s">
        <v>125</v>
      </c>
      <c r="CY781" t="s">
        <v>125</v>
      </c>
      <c r="CZ781" t="s">
        <v>125</v>
      </c>
      <c r="DA781">
        <v>15.314097</v>
      </c>
      <c r="DB781">
        <v>17.400950000000002</v>
      </c>
      <c r="DC781">
        <v>16.332519999999999</v>
      </c>
      <c r="DD781" t="s">
        <v>125</v>
      </c>
      <c r="DE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Q781" t="s">
        <v>126</v>
      </c>
    </row>
    <row r="782" spans="1:121" x14ac:dyDescent="0.15">
      <c r="A782">
        <v>2018</v>
      </c>
      <c r="B782" t="s">
        <v>155</v>
      </c>
      <c r="C782" t="str">
        <f>"1080011"</f>
        <v>1080011</v>
      </c>
      <c r="D782" t="s">
        <v>937</v>
      </c>
      <c r="E782" t="str">
        <f>"1085111"</f>
        <v>1085111</v>
      </c>
      <c r="F782" t="s">
        <v>328</v>
      </c>
      <c r="G782">
        <v>6</v>
      </c>
      <c r="H782">
        <v>8</v>
      </c>
      <c r="J782" t="s">
        <v>331</v>
      </c>
      <c r="K782">
        <v>633.76661000000001</v>
      </c>
      <c r="L782">
        <v>900</v>
      </c>
      <c r="M782">
        <v>70.418512000000007</v>
      </c>
      <c r="N782">
        <v>2</v>
      </c>
      <c r="O782">
        <v>0</v>
      </c>
      <c r="P782">
        <v>73.024084999999999</v>
      </c>
      <c r="Q782">
        <v>48.682723000000003</v>
      </c>
      <c r="R782">
        <v>50</v>
      </c>
      <c r="S782">
        <v>62.170878000000002</v>
      </c>
      <c r="T782">
        <v>75</v>
      </c>
      <c r="U782">
        <v>41.447251999999999</v>
      </c>
      <c r="V782">
        <v>50</v>
      </c>
      <c r="W782">
        <v>66.394051000000005</v>
      </c>
      <c r="X782">
        <v>44.262701</v>
      </c>
      <c r="Y782">
        <v>50</v>
      </c>
      <c r="Z782">
        <v>69.706894000000005</v>
      </c>
      <c r="AA782">
        <v>55.709387999999997</v>
      </c>
      <c r="AB782">
        <v>37.139592</v>
      </c>
      <c r="AC782">
        <v>50</v>
      </c>
      <c r="AD782">
        <v>69.565972000000002</v>
      </c>
      <c r="AE782">
        <v>46.377313999999998</v>
      </c>
      <c r="AF782">
        <v>50</v>
      </c>
      <c r="AG782">
        <v>59.931033999999997</v>
      </c>
      <c r="AH782">
        <v>71.849807999999996</v>
      </c>
      <c r="AI782">
        <v>39.954022999999999</v>
      </c>
      <c r="AJ782">
        <v>50</v>
      </c>
      <c r="AK782">
        <v>12.82</v>
      </c>
      <c r="AL782">
        <v>13.99</v>
      </c>
      <c r="AM782">
        <v>11.91</v>
      </c>
      <c r="AN782">
        <v>0.61735700000000004</v>
      </c>
      <c r="AO782">
        <v>61.735689000000001</v>
      </c>
      <c r="AP782">
        <v>100</v>
      </c>
      <c r="AQ782">
        <v>0.51883999999999997</v>
      </c>
      <c r="AR782">
        <v>51.884013000000003</v>
      </c>
      <c r="AS782">
        <v>100</v>
      </c>
      <c r="AT782">
        <v>0.62899400000000005</v>
      </c>
      <c r="AU782">
        <v>0.61435200000000001</v>
      </c>
      <c r="AV782">
        <v>62.899439999999998</v>
      </c>
      <c r="AW782">
        <v>100</v>
      </c>
      <c r="AX782">
        <v>0.41909600000000002</v>
      </c>
      <c r="AY782">
        <v>0.54459800000000003</v>
      </c>
      <c r="AZ782">
        <v>41.909632000000002</v>
      </c>
      <c r="BA782">
        <v>100</v>
      </c>
      <c r="BB782" t="s">
        <v>125</v>
      </c>
      <c r="BC782" t="s">
        <v>125</v>
      </c>
      <c r="BD782" t="s">
        <v>125</v>
      </c>
      <c r="BE782" t="s">
        <v>125</v>
      </c>
      <c r="BF782" t="s">
        <v>125</v>
      </c>
      <c r="BG782" t="s">
        <v>125</v>
      </c>
      <c r="BH782">
        <v>0</v>
      </c>
      <c r="BI782">
        <v>0.99368400000000001</v>
      </c>
      <c r="BJ782">
        <v>1</v>
      </c>
      <c r="BK782">
        <v>0.99175800000000003</v>
      </c>
      <c r="BL782">
        <v>0.99369700000000005</v>
      </c>
      <c r="BM782">
        <v>1</v>
      </c>
      <c r="BN782">
        <v>0.99178100000000002</v>
      </c>
      <c r="BO782">
        <v>0.99404800000000004</v>
      </c>
      <c r="BP782">
        <v>1</v>
      </c>
      <c r="BQ782">
        <v>0.99264699999999995</v>
      </c>
      <c r="BR782">
        <v>7.9832E-2</v>
      </c>
      <c r="BS782">
        <v>44.033613000000003</v>
      </c>
      <c r="BT782">
        <v>50</v>
      </c>
      <c r="BU782">
        <v>0.10909099999999999</v>
      </c>
      <c r="BV782">
        <v>38.181818</v>
      </c>
      <c r="BW782">
        <v>50</v>
      </c>
      <c r="BX782" t="s">
        <v>125</v>
      </c>
      <c r="BY782" t="s">
        <v>125</v>
      </c>
      <c r="BZ782" t="s">
        <v>125</v>
      </c>
      <c r="CA782" t="s">
        <v>125</v>
      </c>
      <c r="CB782" t="s">
        <v>125</v>
      </c>
      <c r="CC782" t="s">
        <v>125</v>
      </c>
      <c r="CD782">
        <v>0.95104900000000003</v>
      </c>
      <c r="CE782">
        <v>50</v>
      </c>
      <c r="CF782">
        <v>50</v>
      </c>
      <c r="CG782" t="s">
        <v>125</v>
      </c>
      <c r="CH782" t="s">
        <v>125</v>
      </c>
      <c r="CI782" t="s">
        <v>125</v>
      </c>
      <c r="CJ782" t="s">
        <v>125</v>
      </c>
      <c r="CK782" t="s">
        <v>125</v>
      </c>
      <c r="CL782" t="s">
        <v>125</v>
      </c>
      <c r="CM782" t="s">
        <v>125</v>
      </c>
      <c r="CN782" t="s">
        <v>125</v>
      </c>
      <c r="CO782" t="s">
        <v>125</v>
      </c>
      <c r="CP782" t="s">
        <v>125</v>
      </c>
      <c r="CQ782">
        <v>0.378882</v>
      </c>
      <c r="CR782">
        <v>1</v>
      </c>
      <c r="CS782">
        <v>25.258799</v>
      </c>
      <c r="CT782">
        <v>50</v>
      </c>
      <c r="CU782" t="s">
        <v>125</v>
      </c>
      <c r="CV782" t="s">
        <v>125</v>
      </c>
      <c r="CW782" t="s">
        <v>125</v>
      </c>
      <c r="CX782" t="s">
        <v>125</v>
      </c>
      <c r="CY782" t="s">
        <v>125</v>
      </c>
      <c r="CZ782" t="s">
        <v>125</v>
      </c>
      <c r="DA782">
        <v>15.314097</v>
      </c>
      <c r="DB782">
        <v>17.400950000000002</v>
      </c>
      <c r="DC782">
        <v>16.332519999999999</v>
      </c>
      <c r="DD782" t="s">
        <v>125</v>
      </c>
      <c r="DE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Q782" t="s">
        <v>126</v>
      </c>
    </row>
    <row r="783" spans="1:121" x14ac:dyDescent="0.15">
      <c r="A783">
        <v>2018</v>
      </c>
      <c r="B783" t="s">
        <v>155</v>
      </c>
      <c r="C783" t="str">
        <f>"1080011"</f>
        <v>1080011</v>
      </c>
      <c r="D783" t="s">
        <v>938</v>
      </c>
      <c r="E783" t="str">
        <f>"1080111"</f>
        <v>1080111</v>
      </c>
      <c r="F783" t="s">
        <v>328</v>
      </c>
      <c r="G783">
        <v>3</v>
      </c>
      <c r="H783">
        <v>5</v>
      </c>
      <c r="I783" t="s">
        <v>330</v>
      </c>
      <c r="J783" t="s">
        <v>331</v>
      </c>
      <c r="K783">
        <v>698.26237800000001</v>
      </c>
      <c r="L783">
        <v>850</v>
      </c>
      <c r="M783">
        <v>82.148515000000003</v>
      </c>
      <c r="N783">
        <v>2</v>
      </c>
      <c r="O783">
        <v>0</v>
      </c>
      <c r="P783">
        <v>75.028569000000005</v>
      </c>
      <c r="Q783">
        <v>50</v>
      </c>
      <c r="R783">
        <v>50</v>
      </c>
      <c r="S783">
        <v>66.773666000000006</v>
      </c>
      <c r="T783">
        <v>75</v>
      </c>
      <c r="U783">
        <v>44.515777999999997</v>
      </c>
      <c r="V783">
        <v>50</v>
      </c>
      <c r="W783">
        <v>72.878758000000005</v>
      </c>
      <c r="X783">
        <v>48.585839</v>
      </c>
      <c r="Y783">
        <v>50</v>
      </c>
      <c r="Z783">
        <v>75</v>
      </c>
      <c r="AA783">
        <v>63.266238999999999</v>
      </c>
      <c r="AB783">
        <v>42.177492999999998</v>
      </c>
      <c r="AC783">
        <v>50</v>
      </c>
      <c r="AD783">
        <v>75.561684</v>
      </c>
      <c r="AE783">
        <v>50</v>
      </c>
      <c r="AF783">
        <v>50</v>
      </c>
      <c r="AG783">
        <v>64.629587999999998</v>
      </c>
      <c r="AH783">
        <v>75</v>
      </c>
      <c r="AI783">
        <v>43.086391999999996</v>
      </c>
      <c r="AJ783">
        <v>50</v>
      </c>
      <c r="AK783">
        <v>8.2200000000000006</v>
      </c>
      <c r="AL783">
        <v>11.73</v>
      </c>
      <c r="AM783">
        <v>10.37</v>
      </c>
      <c r="AN783">
        <v>0.651092</v>
      </c>
      <c r="AO783">
        <v>65.109234999999998</v>
      </c>
      <c r="AP783">
        <v>100</v>
      </c>
      <c r="AQ783">
        <v>0.80057599999999995</v>
      </c>
      <c r="AR783">
        <v>80.057580999999999</v>
      </c>
      <c r="AS783">
        <v>100</v>
      </c>
      <c r="AT783">
        <v>0.59780800000000001</v>
      </c>
      <c r="AU783">
        <v>0.66913599999999995</v>
      </c>
      <c r="AV783">
        <v>59.780842999999997</v>
      </c>
      <c r="AW783">
        <v>100</v>
      </c>
      <c r="AX783">
        <v>0.74004300000000001</v>
      </c>
      <c r="AY783">
        <v>0.821183</v>
      </c>
      <c r="AZ783">
        <v>74.004337000000007</v>
      </c>
      <c r="BA783">
        <v>100</v>
      </c>
      <c r="BB783" t="s">
        <v>125</v>
      </c>
      <c r="BC783" t="s">
        <v>125</v>
      </c>
      <c r="BD783" t="s">
        <v>125</v>
      </c>
      <c r="BE783" t="s">
        <v>125</v>
      </c>
      <c r="BF783" t="s">
        <v>125</v>
      </c>
      <c r="BG783" t="s">
        <v>125</v>
      </c>
      <c r="BH783">
        <v>0</v>
      </c>
      <c r="BI783">
        <v>0.98707999999999996</v>
      </c>
      <c r="BJ783">
        <v>0.96396400000000004</v>
      </c>
      <c r="BK783">
        <v>0.99637699999999996</v>
      </c>
      <c r="BL783">
        <v>0.98449600000000004</v>
      </c>
      <c r="BM783">
        <v>0.96396400000000004</v>
      </c>
      <c r="BN783">
        <v>0.99275400000000003</v>
      </c>
      <c r="BO783">
        <v>0.99259299999999995</v>
      </c>
      <c r="BP783">
        <v>0.96774199999999999</v>
      </c>
      <c r="BQ783">
        <v>1</v>
      </c>
      <c r="BR783">
        <v>2.5773000000000001E-2</v>
      </c>
      <c r="BS783">
        <v>50</v>
      </c>
      <c r="BT783">
        <v>50</v>
      </c>
      <c r="BU783">
        <v>3.7037E-2</v>
      </c>
      <c r="BV783">
        <v>50</v>
      </c>
      <c r="BW783">
        <v>50</v>
      </c>
      <c r="BX783" t="s">
        <v>125</v>
      </c>
      <c r="BY783" t="s">
        <v>125</v>
      </c>
      <c r="BZ783" t="s">
        <v>125</v>
      </c>
      <c r="CA783" t="s">
        <v>125</v>
      </c>
      <c r="CB783" t="s">
        <v>125</v>
      </c>
      <c r="CC783" t="s">
        <v>125</v>
      </c>
      <c r="CD783" t="s">
        <v>125</v>
      </c>
      <c r="CE783" t="s">
        <v>125</v>
      </c>
      <c r="CF783" t="s">
        <v>125</v>
      </c>
      <c r="CG783" t="s">
        <v>125</v>
      </c>
      <c r="CH783" t="s">
        <v>125</v>
      </c>
      <c r="CI783" t="s">
        <v>125</v>
      </c>
      <c r="CJ783" t="s">
        <v>125</v>
      </c>
      <c r="CK783" t="s">
        <v>125</v>
      </c>
      <c r="CL783" t="s">
        <v>125</v>
      </c>
      <c r="CM783" t="s">
        <v>125</v>
      </c>
      <c r="CN783" t="s">
        <v>125</v>
      </c>
      <c r="CO783" t="s">
        <v>125</v>
      </c>
      <c r="CP783" t="s">
        <v>125</v>
      </c>
      <c r="CQ783">
        <v>0.61417299999999997</v>
      </c>
      <c r="CR783">
        <v>1</v>
      </c>
      <c r="CS783">
        <v>40.944882</v>
      </c>
      <c r="CT783">
        <v>50</v>
      </c>
      <c r="CU783" t="s">
        <v>125</v>
      </c>
      <c r="CV783" t="s">
        <v>125</v>
      </c>
      <c r="CW783" t="s">
        <v>125</v>
      </c>
      <c r="CX783" t="s">
        <v>125</v>
      </c>
      <c r="CY783" t="s">
        <v>125</v>
      </c>
      <c r="CZ783" t="s">
        <v>125</v>
      </c>
      <c r="DA783">
        <v>15.314097</v>
      </c>
      <c r="DB783">
        <v>17.400950000000002</v>
      </c>
      <c r="DC783">
        <v>16.332519999999999</v>
      </c>
      <c r="DD783" t="s">
        <v>125</v>
      </c>
      <c r="DE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Q783" t="s">
        <v>126</v>
      </c>
    </row>
    <row r="784" spans="1:121" x14ac:dyDescent="0.15">
      <c r="A784">
        <v>2018</v>
      </c>
      <c r="B784" t="s">
        <v>155</v>
      </c>
      <c r="C784" t="str">
        <f>"1080011"</f>
        <v>1080011</v>
      </c>
      <c r="D784" t="s">
        <v>939</v>
      </c>
      <c r="E784" t="str">
        <f>"1086011"</f>
        <v>1086011</v>
      </c>
      <c r="F784" t="s">
        <v>328</v>
      </c>
      <c r="G784">
        <v>9</v>
      </c>
      <c r="H784">
        <v>12</v>
      </c>
      <c r="J784" t="s">
        <v>331</v>
      </c>
      <c r="K784">
        <v>1153.772661</v>
      </c>
      <c r="L784">
        <v>1450</v>
      </c>
      <c r="M784">
        <v>79.570527999999996</v>
      </c>
      <c r="N784">
        <v>3</v>
      </c>
      <c r="O784">
        <v>1</v>
      </c>
      <c r="P784">
        <v>59.608991000000003</v>
      </c>
      <c r="Q784">
        <v>119.21798099999999</v>
      </c>
      <c r="R784">
        <v>150</v>
      </c>
      <c r="S784">
        <v>49.452990999999997</v>
      </c>
      <c r="T784">
        <v>62.123809999999999</v>
      </c>
      <c r="U784">
        <v>98.905983000000006</v>
      </c>
      <c r="V784">
        <v>150</v>
      </c>
      <c r="W784">
        <v>53.334606000000001</v>
      </c>
      <c r="X784">
        <v>106.669211</v>
      </c>
      <c r="Y784">
        <v>150</v>
      </c>
      <c r="Z784">
        <v>56.222222000000002</v>
      </c>
      <c r="AA784">
        <v>41.673076999999999</v>
      </c>
      <c r="AB784">
        <v>83.346153999999999</v>
      </c>
      <c r="AC784">
        <v>150</v>
      </c>
      <c r="AD784">
        <v>58.135672999999997</v>
      </c>
      <c r="AE784">
        <v>77.514230999999995</v>
      </c>
      <c r="AF784">
        <v>100</v>
      </c>
      <c r="AG784">
        <v>42.699775000000002</v>
      </c>
      <c r="AH784">
        <v>62.032114</v>
      </c>
      <c r="AI784">
        <v>56.933033000000002</v>
      </c>
      <c r="AJ784">
        <v>100</v>
      </c>
      <c r="AK784">
        <v>12.67</v>
      </c>
      <c r="AL784">
        <v>14.54</v>
      </c>
      <c r="AM784">
        <v>19.329999999999998</v>
      </c>
      <c r="AN784" t="s">
        <v>125</v>
      </c>
      <c r="AO784" t="s">
        <v>125</v>
      </c>
      <c r="AP784" t="s">
        <v>125</v>
      </c>
      <c r="AQ784" t="s">
        <v>125</v>
      </c>
      <c r="AR784" t="s">
        <v>125</v>
      </c>
      <c r="AS784" t="s">
        <v>125</v>
      </c>
      <c r="AT784" t="s">
        <v>125</v>
      </c>
      <c r="AU784" t="s">
        <v>125</v>
      </c>
      <c r="AV784" t="s">
        <v>125</v>
      </c>
      <c r="AW784" t="s">
        <v>125</v>
      </c>
      <c r="AX784" t="s">
        <v>125</v>
      </c>
      <c r="AY784" t="s">
        <v>125</v>
      </c>
      <c r="AZ784" t="s">
        <v>125</v>
      </c>
      <c r="BA784" t="s">
        <v>125</v>
      </c>
      <c r="BB784" t="s">
        <v>125</v>
      </c>
      <c r="BC784" t="s">
        <v>125</v>
      </c>
      <c r="BD784" t="s">
        <v>125</v>
      </c>
      <c r="BE784" t="s">
        <v>125</v>
      </c>
      <c r="BF784" t="s">
        <v>125</v>
      </c>
      <c r="BG784" t="s">
        <v>125</v>
      </c>
      <c r="BH784">
        <v>1</v>
      </c>
      <c r="BI784">
        <v>0.97777800000000004</v>
      </c>
      <c r="BJ784">
        <v>0.92857100000000004</v>
      </c>
      <c r="BK784">
        <v>0.99065400000000003</v>
      </c>
      <c r="BL784">
        <v>0.97777800000000004</v>
      </c>
      <c r="BM784">
        <v>0.92857100000000004</v>
      </c>
      <c r="BN784">
        <v>0.99065400000000003</v>
      </c>
      <c r="BO784">
        <v>0.97014900000000004</v>
      </c>
      <c r="BP784">
        <v>0.92857100000000004</v>
      </c>
      <c r="BQ784">
        <v>0.981132</v>
      </c>
      <c r="BR784">
        <v>3.3210000000000003E-2</v>
      </c>
      <c r="BS784">
        <v>50</v>
      </c>
      <c r="BT784">
        <v>50</v>
      </c>
      <c r="BU784">
        <v>8.4112000000000006E-2</v>
      </c>
      <c r="BV784">
        <v>43.177570000000003</v>
      </c>
      <c r="BW784">
        <v>50</v>
      </c>
      <c r="BX784">
        <v>0.87543300000000002</v>
      </c>
      <c r="BY784">
        <v>50</v>
      </c>
      <c r="BZ784">
        <v>50</v>
      </c>
      <c r="CA784">
        <v>0.49481000000000003</v>
      </c>
      <c r="CB784">
        <v>32.987313</v>
      </c>
      <c r="CC784">
        <v>50</v>
      </c>
      <c r="CD784">
        <v>0.94166700000000003</v>
      </c>
      <c r="CE784">
        <v>50</v>
      </c>
      <c r="CF784">
        <v>50</v>
      </c>
      <c r="CG784">
        <v>0.96268699999999996</v>
      </c>
      <c r="CH784">
        <v>100</v>
      </c>
      <c r="CI784">
        <v>100</v>
      </c>
      <c r="CJ784">
        <v>0</v>
      </c>
      <c r="CK784">
        <v>0.90322599999999997</v>
      </c>
      <c r="CL784">
        <v>96.087851999999998</v>
      </c>
      <c r="CM784">
        <v>100</v>
      </c>
      <c r="CN784">
        <v>0.87692300000000001</v>
      </c>
      <c r="CO784">
        <v>100</v>
      </c>
      <c r="CP784">
        <v>100</v>
      </c>
      <c r="CQ784">
        <v>0.58399999999999996</v>
      </c>
      <c r="CR784">
        <v>0.93984999999999996</v>
      </c>
      <c r="CS784">
        <v>38.933332999999998</v>
      </c>
      <c r="CT784">
        <v>50</v>
      </c>
      <c r="CU784">
        <v>0.61992599999999998</v>
      </c>
      <c r="CV784">
        <v>50</v>
      </c>
      <c r="CW784">
        <v>50</v>
      </c>
      <c r="CX784">
        <v>0.90322599999999997</v>
      </c>
      <c r="CY784">
        <v>0.94</v>
      </c>
      <c r="CZ784">
        <v>3.6774000000000001E-2</v>
      </c>
      <c r="DA784">
        <v>15.314097</v>
      </c>
      <c r="DB784">
        <v>17.400950000000002</v>
      </c>
      <c r="DC784">
        <v>16.332519999999999</v>
      </c>
      <c r="DD784">
        <v>7.9891730000000001</v>
      </c>
      <c r="DE784">
        <v>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Q784" t="s">
        <v>126</v>
      </c>
    </row>
    <row r="785" spans="1:121" x14ac:dyDescent="0.15">
      <c r="A785">
        <v>2018</v>
      </c>
      <c r="B785" t="s">
        <v>155</v>
      </c>
      <c r="C785" t="str">
        <f>"1080011"</f>
        <v>1080011</v>
      </c>
      <c r="D785" t="s">
        <v>940</v>
      </c>
      <c r="E785" t="str">
        <f>"1080311"</f>
        <v>1080311</v>
      </c>
      <c r="F785" t="s">
        <v>328</v>
      </c>
      <c r="G785" t="s">
        <v>329</v>
      </c>
      <c r="H785">
        <v>2</v>
      </c>
      <c r="I785" t="s">
        <v>330</v>
      </c>
      <c r="J785" t="s">
        <v>331</v>
      </c>
      <c r="K785">
        <v>95.185185000000004</v>
      </c>
      <c r="L785">
        <v>100</v>
      </c>
      <c r="M785">
        <v>95.185185000000004</v>
      </c>
      <c r="N785" t="s">
        <v>125</v>
      </c>
      <c r="O785" t="s">
        <v>125</v>
      </c>
      <c r="P785" t="s">
        <v>125</v>
      </c>
      <c r="Q785" t="s">
        <v>125</v>
      </c>
      <c r="R785" t="s">
        <v>125</v>
      </c>
      <c r="S785" t="s">
        <v>125</v>
      </c>
      <c r="T785" t="s">
        <v>125</v>
      </c>
      <c r="U785" t="s">
        <v>125</v>
      </c>
      <c r="V785" t="s">
        <v>125</v>
      </c>
      <c r="W785" t="s">
        <v>125</v>
      </c>
      <c r="X785" t="s">
        <v>125</v>
      </c>
      <c r="Y785" t="s">
        <v>125</v>
      </c>
      <c r="Z785" t="s">
        <v>125</v>
      </c>
      <c r="AA785" t="s">
        <v>125</v>
      </c>
      <c r="AB785" t="s">
        <v>125</v>
      </c>
      <c r="AC785" t="s">
        <v>125</v>
      </c>
      <c r="AD785" t="s">
        <v>125</v>
      </c>
      <c r="AE785" t="s">
        <v>125</v>
      </c>
      <c r="AF785" t="s">
        <v>125</v>
      </c>
      <c r="AG785" t="s">
        <v>125</v>
      </c>
      <c r="AH785" t="s">
        <v>125</v>
      </c>
      <c r="AI785" t="s">
        <v>125</v>
      </c>
      <c r="AJ785" t="s">
        <v>125</v>
      </c>
      <c r="AK785" t="s">
        <v>125</v>
      </c>
      <c r="AL785" t="s">
        <v>125</v>
      </c>
      <c r="AM785" t="s">
        <v>125</v>
      </c>
      <c r="AN785" t="s">
        <v>125</v>
      </c>
      <c r="AO785" t="s">
        <v>125</v>
      </c>
      <c r="AP785" t="s">
        <v>125</v>
      </c>
      <c r="AQ785" t="s">
        <v>125</v>
      </c>
      <c r="AR785" t="s">
        <v>125</v>
      </c>
      <c r="AS785" t="s">
        <v>125</v>
      </c>
      <c r="AT785" t="s">
        <v>125</v>
      </c>
      <c r="AU785" t="s">
        <v>125</v>
      </c>
      <c r="AV785" t="s">
        <v>125</v>
      </c>
      <c r="AW785" t="s">
        <v>125</v>
      </c>
      <c r="AX785" t="s">
        <v>125</v>
      </c>
      <c r="AY785" t="s">
        <v>125</v>
      </c>
      <c r="AZ785" t="s">
        <v>125</v>
      </c>
      <c r="BA785" t="s">
        <v>125</v>
      </c>
      <c r="BB785" t="s">
        <v>125</v>
      </c>
      <c r="BC785" t="s">
        <v>125</v>
      </c>
      <c r="BD785" t="s">
        <v>125</v>
      </c>
      <c r="BE785" t="s">
        <v>125</v>
      </c>
      <c r="BF785" t="s">
        <v>125</v>
      </c>
      <c r="BG785" t="s">
        <v>125</v>
      </c>
      <c r="BH785" t="s">
        <v>125</v>
      </c>
      <c r="BI785" t="s">
        <v>125</v>
      </c>
      <c r="BJ785" t="s">
        <v>125</v>
      </c>
      <c r="BK785" t="s">
        <v>125</v>
      </c>
      <c r="BL785" t="s">
        <v>125</v>
      </c>
      <c r="BM785" t="s">
        <v>125</v>
      </c>
      <c r="BN785" t="s">
        <v>125</v>
      </c>
      <c r="BO785" t="s">
        <v>125</v>
      </c>
      <c r="BP785" t="s">
        <v>125</v>
      </c>
      <c r="BQ785" t="s">
        <v>125</v>
      </c>
      <c r="BR785">
        <v>2.0289999999999999E-2</v>
      </c>
      <c r="BS785">
        <v>50</v>
      </c>
      <c r="BT785">
        <v>50</v>
      </c>
      <c r="BU785">
        <v>7.4074000000000001E-2</v>
      </c>
      <c r="BV785">
        <v>45.185184999999997</v>
      </c>
      <c r="BW785">
        <v>50</v>
      </c>
      <c r="BX785" t="s">
        <v>125</v>
      </c>
      <c r="BY785" t="s">
        <v>125</v>
      </c>
      <c r="BZ785" t="s">
        <v>125</v>
      </c>
      <c r="CA785" t="s">
        <v>125</v>
      </c>
      <c r="CB785" t="s">
        <v>125</v>
      </c>
      <c r="CC785" t="s">
        <v>125</v>
      </c>
      <c r="CD785" t="s">
        <v>125</v>
      </c>
      <c r="CE785" t="s">
        <v>125</v>
      </c>
      <c r="CF785" t="s">
        <v>125</v>
      </c>
      <c r="CG785" t="s">
        <v>125</v>
      </c>
      <c r="CH785" t="s">
        <v>125</v>
      </c>
      <c r="CI785" t="s">
        <v>125</v>
      </c>
      <c r="CJ785" t="s">
        <v>125</v>
      </c>
      <c r="CK785" t="s">
        <v>125</v>
      </c>
      <c r="CL785" t="s">
        <v>125</v>
      </c>
      <c r="CM785" t="s">
        <v>125</v>
      </c>
      <c r="CN785" t="s">
        <v>125</v>
      </c>
      <c r="CO785" t="s">
        <v>125</v>
      </c>
      <c r="CP785" t="s">
        <v>125</v>
      </c>
      <c r="CQ785" t="s">
        <v>125</v>
      </c>
      <c r="CR785" t="s">
        <v>125</v>
      </c>
      <c r="CS785" t="s">
        <v>125</v>
      </c>
      <c r="CT785" t="s">
        <v>125</v>
      </c>
      <c r="CU785" t="s">
        <v>125</v>
      </c>
      <c r="CV785" t="s">
        <v>125</v>
      </c>
      <c r="CW785" t="s">
        <v>125</v>
      </c>
      <c r="CX785" t="s">
        <v>125</v>
      </c>
      <c r="CY785" t="s">
        <v>125</v>
      </c>
      <c r="CZ785" t="s">
        <v>125</v>
      </c>
      <c r="DA785" t="s">
        <v>125</v>
      </c>
      <c r="DB785" t="s">
        <v>125</v>
      </c>
      <c r="DC785" t="s">
        <v>125</v>
      </c>
      <c r="DD785" t="s">
        <v>125</v>
      </c>
      <c r="DE785" t="s">
        <v>125</v>
      </c>
      <c r="DJ785" t="s">
        <v>125</v>
      </c>
      <c r="DK785" t="s">
        <v>125</v>
      </c>
      <c r="DL785" t="s">
        <v>125</v>
      </c>
      <c r="DM785" t="s">
        <v>125</v>
      </c>
      <c r="DN785" t="s">
        <v>125</v>
      </c>
      <c r="DO785" t="s">
        <v>125</v>
      </c>
      <c r="DQ785" t="s">
        <v>126</v>
      </c>
    </row>
    <row r="786" spans="1:121" x14ac:dyDescent="0.15">
      <c r="A786">
        <v>2018</v>
      </c>
      <c r="B786" t="s">
        <v>298</v>
      </c>
      <c r="C786" t="str">
        <f>"1090011"</f>
        <v>1090011</v>
      </c>
      <c r="D786" t="s">
        <v>941</v>
      </c>
      <c r="E786" t="str">
        <f>"1090111"</f>
        <v>1090111</v>
      </c>
      <c r="F786" t="s">
        <v>328</v>
      </c>
      <c r="G786" t="s">
        <v>329</v>
      </c>
      <c r="H786">
        <v>3</v>
      </c>
      <c r="I786" t="s">
        <v>330</v>
      </c>
      <c r="J786" t="s">
        <v>331</v>
      </c>
      <c r="K786">
        <v>435.95793900000001</v>
      </c>
      <c r="L786">
        <v>500</v>
      </c>
      <c r="M786">
        <v>87.191587999999996</v>
      </c>
      <c r="N786">
        <v>1</v>
      </c>
      <c r="O786">
        <v>0</v>
      </c>
      <c r="P786">
        <v>72.944334999999995</v>
      </c>
      <c r="Q786">
        <v>97.259113999999997</v>
      </c>
      <c r="R786">
        <v>100</v>
      </c>
      <c r="S786">
        <v>68.018280000000004</v>
      </c>
      <c r="T786">
        <v>75</v>
      </c>
      <c r="U786">
        <v>90.691040000000001</v>
      </c>
      <c r="V786">
        <v>100</v>
      </c>
      <c r="W786">
        <v>67.381789999999995</v>
      </c>
      <c r="X786">
        <v>89.842387000000002</v>
      </c>
      <c r="Y786">
        <v>100</v>
      </c>
      <c r="Z786">
        <v>73.825031999999993</v>
      </c>
      <c r="AA786">
        <v>63.319746000000002</v>
      </c>
      <c r="AB786">
        <v>84.426328999999996</v>
      </c>
      <c r="AC786">
        <v>100</v>
      </c>
      <c r="AD786" t="s">
        <v>125</v>
      </c>
      <c r="AE786" t="s">
        <v>125</v>
      </c>
      <c r="AF786" t="s">
        <v>125</v>
      </c>
      <c r="AG786" t="s">
        <v>125</v>
      </c>
      <c r="AH786" t="s">
        <v>125</v>
      </c>
      <c r="AI786" t="s">
        <v>125</v>
      </c>
      <c r="AJ786" t="s">
        <v>125</v>
      </c>
      <c r="AK786">
        <v>6.98</v>
      </c>
      <c r="AL786">
        <v>10.5</v>
      </c>
      <c r="AM786" t="s">
        <v>125</v>
      </c>
      <c r="AN786" t="s">
        <v>125</v>
      </c>
      <c r="AO786" t="s">
        <v>125</v>
      </c>
      <c r="AP786" t="s">
        <v>125</v>
      </c>
      <c r="AQ786" t="s">
        <v>125</v>
      </c>
      <c r="AR786" t="s">
        <v>125</v>
      </c>
      <c r="AS786" t="s">
        <v>125</v>
      </c>
      <c r="AT786" t="s">
        <v>125</v>
      </c>
      <c r="AU786" t="s">
        <v>125</v>
      </c>
      <c r="AV786" t="s">
        <v>125</v>
      </c>
      <c r="AW786" t="s">
        <v>125</v>
      </c>
      <c r="AX786" t="s">
        <v>125</v>
      </c>
      <c r="AY786" t="s">
        <v>125</v>
      </c>
      <c r="AZ786" t="s">
        <v>125</v>
      </c>
      <c r="BA786" t="s">
        <v>125</v>
      </c>
      <c r="BB786" t="s">
        <v>125</v>
      </c>
      <c r="BC786" t="s">
        <v>125</v>
      </c>
      <c r="BD786" t="s">
        <v>125</v>
      </c>
      <c r="BE786" t="s">
        <v>125</v>
      </c>
      <c r="BF786" t="s">
        <v>125</v>
      </c>
      <c r="BG786" t="s">
        <v>125</v>
      </c>
      <c r="BH786">
        <v>0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 t="s">
        <v>125</v>
      </c>
      <c r="BP786" t="s">
        <v>125</v>
      </c>
      <c r="BQ786" t="s">
        <v>125</v>
      </c>
      <c r="BR786">
        <v>9.4463000000000005E-2</v>
      </c>
      <c r="BS786">
        <v>41.107492000000001</v>
      </c>
      <c r="BT786">
        <v>50</v>
      </c>
      <c r="BU786">
        <v>0.13684199999999999</v>
      </c>
      <c r="BV786">
        <v>32.631579000000002</v>
      </c>
      <c r="BW786">
        <v>50</v>
      </c>
      <c r="BX786" t="s">
        <v>125</v>
      </c>
      <c r="BY786" t="s">
        <v>125</v>
      </c>
      <c r="BZ786" t="s">
        <v>125</v>
      </c>
      <c r="CA786" t="s">
        <v>125</v>
      </c>
      <c r="CB786" t="s">
        <v>125</v>
      </c>
      <c r="CC786" t="s">
        <v>125</v>
      </c>
      <c r="CD786" t="s">
        <v>125</v>
      </c>
      <c r="CE786" t="s">
        <v>125</v>
      </c>
      <c r="CF786" t="s">
        <v>125</v>
      </c>
      <c r="CG786" t="s">
        <v>125</v>
      </c>
      <c r="CH786" t="s">
        <v>125</v>
      </c>
      <c r="CI786" t="s">
        <v>125</v>
      </c>
      <c r="CJ786" t="s">
        <v>125</v>
      </c>
      <c r="CK786" t="s">
        <v>125</v>
      </c>
      <c r="CL786" t="s">
        <v>125</v>
      </c>
      <c r="CM786" t="s">
        <v>125</v>
      </c>
      <c r="CN786" t="s">
        <v>125</v>
      </c>
      <c r="CO786" t="s">
        <v>125</v>
      </c>
      <c r="CP786" t="s">
        <v>125</v>
      </c>
      <c r="CQ786" t="s">
        <v>125</v>
      </c>
      <c r="CR786" t="s">
        <v>125</v>
      </c>
      <c r="CS786" t="s">
        <v>125</v>
      </c>
      <c r="CT786" t="s">
        <v>125</v>
      </c>
      <c r="CU786" t="s">
        <v>125</v>
      </c>
      <c r="CV786" t="s">
        <v>125</v>
      </c>
      <c r="CW786" t="s">
        <v>125</v>
      </c>
      <c r="CX786" t="s">
        <v>125</v>
      </c>
      <c r="CY786" t="s">
        <v>125</v>
      </c>
      <c r="CZ786" t="s">
        <v>125</v>
      </c>
      <c r="DA786">
        <v>15.314097</v>
      </c>
      <c r="DB786">
        <v>17.400950000000002</v>
      </c>
      <c r="DC786">
        <v>16.332519999999999</v>
      </c>
      <c r="DD786" t="s">
        <v>125</v>
      </c>
      <c r="DE786">
        <v>0</v>
      </c>
      <c r="DH786" t="s">
        <v>332</v>
      </c>
      <c r="DI786" t="s">
        <v>333</v>
      </c>
      <c r="DJ786">
        <v>1</v>
      </c>
      <c r="DK786">
        <v>0</v>
      </c>
      <c r="DL786">
        <v>0</v>
      </c>
      <c r="DM786">
        <v>0</v>
      </c>
      <c r="DN786">
        <v>0</v>
      </c>
      <c r="DO786">
        <v>0</v>
      </c>
      <c r="DQ786" t="s">
        <v>126</v>
      </c>
    </row>
    <row r="787" spans="1:121" x14ac:dyDescent="0.15">
      <c r="A787">
        <v>2018</v>
      </c>
      <c r="B787" t="s">
        <v>298</v>
      </c>
      <c r="C787" t="str">
        <f>"1090011"</f>
        <v>1090011</v>
      </c>
      <c r="D787" t="s">
        <v>942</v>
      </c>
      <c r="E787" t="str">
        <f>"1095111"</f>
        <v>1095111</v>
      </c>
      <c r="F787" t="s">
        <v>328</v>
      </c>
      <c r="G787">
        <v>6</v>
      </c>
      <c r="H787">
        <v>8</v>
      </c>
      <c r="I787" t="s">
        <v>336</v>
      </c>
      <c r="J787" t="s">
        <v>331</v>
      </c>
      <c r="K787">
        <v>638.82588899999996</v>
      </c>
      <c r="L787">
        <v>900</v>
      </c>
      <c r="M787">
        <v>70.980654000000001</v>
      </c>
      <c r="N787">
        <v>2</v>
      </c>
      <c r="O787">
        <v>0</v>
      </c>
      <c r="P787">
        <v>70.623203000000004</v>
      </c>
      <c r="Q787">
        <v>47.082135000000001</v>
      </c>
      <c r="R787">
        <v>50</v>
      </c>
      <c r="S787">
        <v>65.905676</v>
      </c>
      <c r="T787">
        <v>75</v>
      </c>
      <c r="U787">
        <v>43.937117999999998</v>
      </c>
      <c r="V787">
        <v>50</v>
      </c>
      <c r="W787">
        <v>61.423239000000002</v>
      </c>
      <c r="X787">
        <v>40.948825999999997</v>
      </c>
      <c r="Y787">
        <v>50</v>
      </c>
      <c r="Z787">
        <v>69.476247999999998</v>
      </c>
      <c r="AA787">
        <v>56.283605999999999</v>
      </c>
      <c r="AB787">
        <v>37.522404000000002</v>
      </c>
      <c r="AC787">
        <v>50</v>
      </c>
      <c r="AD787">
        <v>60.835543999999999</v>
      </c>
      <c r="AE787">
        <v>40.557029</v>
      </c>
      <c r="AF787">
        <v>50</v>
      </c>
      <c r="AG787">
        <v>57.910887000000002</v>
      </c>
      <c r="AH787">
        <v>64.720534999999998</v>
      </c>
      <c r="AI787">
        <v>38.607258000000002</v>
      </c>
      <c r="AJ787">
        <v>50</v>
      </c>
      <c r="AK787">
        <v>9.09</v>
      </c>
      <c r="AL787">
        <v>13.19</v>
      </c>
      <c r="AM787">
        <v>6.8</v>
      </c>
      <c r="AN787">
        <v>0.59692900000000004</v>
      </c>
      <c r="AO787">
        <v>59.692886000000001</v>
      </c>
      <c r="AP787">
        <v>100</v>
      </c>
      <c r="AQ787">
        <v>0.542794</v>
      </c>
      <c r="AR787">
        <v>54.279404</v>
      </c>
      <c r="AS787">
        <v>100</v>
      </c>
      <c r="AT787">
        <v>0.62788999999999995</v>
      </c>
      <c r="AU787">
        <v>0.549821</v>
      </c>
      <c r="AV787">
        <v>62.788995999999997</v>
      </c>
      <c r="AW787">
        <v>100</v>
      </c>
      <c r="AX787">
        <v>0.52804399999999996</v>
      </c>
      <c r="AY787">
        <v>0.56511599999999995</v>
      </c>
      <c r="AZ787">
        <v>52.804392999999997</v>
      </c>
      <c r="BA787">
        <v>100</v>
      </c>
      <c r="BB787" t="s">
        <v>125</v>
      </c>
      <c r="BC787" t="s">
        <v>125</v>
      </c>
      <c r="BD787" t="s">
        <v>125</v>
      </c>
      <c r="BE787" t="s">
        <v>125</v>
      </c>
      <c r="BF787" t="s">
        <v>125</v>
      </c>
      <c r="BG787" t="s">
        <v>125</v>
      </c>
      <c r="BH787">
        <v>0</v>
      </c>
      <c r="BI787">
        <v>0.98039200000000004</v>
      </c>
      <c r="BJ787">
        <v>0.97492199999999996</v>
      </c>
      <c r="BK787">
        <v>0.98952899999999999</v>
      </c>
      <c r="BL787">
        <v>0.98043100000000005</v>
      </c>
      <c r="BM787">
        <v>0.97187500000000004</v>
      </c>
      <c r="BN787">
        <v>0.99476399999999998</v>
      </c>
      <c r="BO787">
        <v>0.97619</v>
      </c>
      <c r="BP787">
        <v>0.96039600000000003</v>
      </c>
      <c r="BQ787">
        <v>1</v>
      </c>
      <c r="BR787">
        <v>8.4149000000000002E-2</v>
      </c>
      <c r="BS787">
        <v>43.170254</v>
      </c>
      <c r="BT787">
        <v>50</v>
      </c>
      <c r="BU787">
        <v>0.11562500000000001</v>
      </c>
      <c r="BV787">
        <v>36.875</v>
      </c>
      <c r="BW787">
        <v>50</v>
      </c>
      <c r="BX787" t="s">
        <v>125</v>
      </c>
      <c r="BY787" t="s">
        <v>125</v>
      </c>
      <c r="BZ787" t="s">
        <v>125</v>
      </c>
      <c r="CA787" t="s">
        <v>125</v>
      </c>
      <c r="CB787" t="s">
        <v>125</v>
      </c>
      <c r="CC787" t="s">
        <v>125</v>
      </c>
      <c r="CD787">
        <v>0.93548399999999998</v>
      </c>
      <c r="CE787">
        <v>49.759779999999999</v>
      </c>
      <c r="CF787">
        <v>50</v>
      </c>
      <c r="CG787" t="s">
        <v>125</v>
      </c>
      <c r="CH787" t="s">
        <v>125</v>
      </c>
      <c r="CI787" t="s">
        <v>125</v>
      </c>
      <c r="CJ787" t="s">
        <v>125</v>
      </c>
      <c r="CK787" t="s">
        <v>125</v>
      </c>
      <c r="CL787" t="s">
        <v>125</v>
      </c>
      <c r="CM787" t="s">
        <v>125</v>
      </c>
      <c r="CN787" t="s">
        <v>125</v>
      </c>
      <c r="CO787" t="s">
        <v>125</v>
      </c>
      <c r="CP787" t="s">
        <v>125</v>
      </c>
      <c r="CQ787">
        <v>0.46200599999999997</v>
      </c>
      <c r="CR787">
        <v>0.96198799999999995</v>
      </c>
      <c r="CS787">
        <v>30.800405000000001</v>
      </c>
      <c r="CT787">
        <v>50</v>
      </c>
      <c r="CU787" t="s">
        <v>125</v>
      </c>
      <c r="CV787" t="s">
        <v>125</v>
      </c>
      <c r="CW787" t="s">
        <v>125</v>
      </c>
      <c r="CX787" t="s">
        <v>125</v>
      </c>
      <c r="CY787" t="s">
        <v>125</v>
      </c>
      <c r="CZ787" t="s">
        <v>125</v>
      </c>
      <c r="DA787">
        <v>15.314097</v>
      </c>
      <c r="DB787">
        <v>17.400950000000002</v>
      </c>
      <c r="DC787">
        <v>16.332519999999999</v>
      </c>
      <c r="DD787" t="s">
        <v>125</v>
      </c>
      <c r="DE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Q787" t="s">
        <v>126</v>
      </c>
    </row>
    <row r="788" spans="1:121" x14ac:dyDescent="0.15">
      <c r="A788">
        <v>2018</v>
      </c>
      <c r="B788" t="s">
        <v>298</v>
      </c>
      <c r="C788" t="str">
        <f>"1090011"</f>
        <v>1090011</v>
      </c>
      <c r="D788" t="s">
        <v>943</v>
      </c>
      <c r="E788" t="str">
        <f>"1096111"</f>
        <v>1096111</v>
      </c>
      <c r="F788" t="s">
        <v>328</v>
      </c>
      <c r="G788">
        <v>9</v>
      </c>
      <c r="H788">
        <v>12</v>
      </c>
      <c r="J788" t="s">
        <v>331</v>
      </c>
      <c r="K788">
        <v>947.26117599999998</v>
      </c>
      <c r="L788">
        <v>1450</v>
      </c>
      <c r="M788">
        <v>65.328356999999997</v>
      </c>
      <c r="N788">
        <v>3</v>
      </c>
      <c r="O788">
        <v>0</v>
      </c>
      <c r="P788">
        <v>52.689605999999998</v>
      </c>
      <c r="Q788">
        <v>105.379211</v>
      </c>
      <c r="R788">
        <v>150</v>
      </c>
      <c r="S788">
        <v>48.338133999999997</v>
      </c>
      <c r="T788">
        <v>57.452703</v>
      </c>
      <c r="U788">
        <v>96.676269000000005</v>
      </c>
      <c r="V788">
        <v>150</v>
      </c>
      <c r="W788">
        <v>46.369534000000002</v>
      </c>
      <c r="X788">
        <v>92.739068000000003</v>
      </c>
      <c r="Y788">
        <v>150</v>
      </c>
      <c r="Z788">
        <v>49.921171000000001</v>
      </c>
      <c r="AA788">
        <v>43.124828999999998</v>
      </c>
      <c r="AB788">
        <v>86.249656999999999</v>
      </c>
      <c r="AC788">
        <v>150</v>
      </c>
      <c r="AD788">
        <v>50.625782000000001</v>
      </c>
      <c r="AE788">
        <v>67.501042999999996</v>
      </c>
      <c r="AF788">
        <v>100</v>
      </c>
      <c r="AG788">
        <v>48.508369999999999</v>
      </c>
      <c r="AH788">
        <v>53.154915000000003</v>
      </c>
      <c r="AI788">
        <v>64.677825999999996</v>
      </c>
      <c r="AJ788">
        <v>100</v>
      </c>
      <c r="AK788">
        <v>9.11</v>
      </c>
      <c r="AL788">
        <v>6.79</v>
      </c>
      <c r="AM788">
        <v>4.6399999999999997</v>
      </c>
      <c r="AN788" t="s">
        <v>125</v>
      </c>
      <c r="AO788" t="s">
        <v>125</v>
      </c>
      <c r="AP788" t="s">
        <v>125</v>
      </c>
      <c r="AQ788" t="s">
        <v>125</v>
      </c>
      <c r="AR788" t="s">
        <v>125</v>
      </c>
      <c r="AS788" t="s">
        <v>125</v>
      </c>
      <c r="AT788" t="s">
        <v>125</v>
      </c>
      <c r="AU788" t="s">
        <v>125</v>
      </c>
      <c r="AV788" t="s">
        <v>125</v>
      </c>
      <c r="AW788" t="s">
        <v>125</v>
      </c>
      <c r="AX788" t="s">
        <v>125</v>
      </c>
      <c r="AY788" t="s">
        <v>125</v>
      </c>
      <c r="AZ788" t="s">
        <v>125</v>
      </c>
      <c r="BA788" t="s">
        <v>125</v>
      </c>
      <c r="BB788" t="s">
        <v>125</v>
      </c>
      <c r="BC788" t="s">
        <v>125</v>
      </c>
      <c r="BD788" t="s">
        <v>125</v>
      </c>
      <c r="BE788" t="s">
        <v>125</v>
      </c>
      <c r="BF788" t="s">
        <v>125</v>
      </c>
      <c r="BG788" t="s">
        <v>125</v>
      </c>
      <c r="BH788">
        <v>1</v>
      </c>
      <c r="BI788">
        <v>0.93604699999999996</v>
      </c>
      <c r="BJ788">
        <v>0.88541700000000001</v>
      </c>
      <c r="BK788">
        <v>1</v>
      </c>
      <c r="BL788">
        <v>0.93604699999999996</v>
      </c>
      <c r="BM788">
        <v>0.88541700000000001</v>
      </c>
      <c r="BN788">
        <v>1</v>
      </c>
      <c r="BO788">
        <v>0.94767400000000002</v>
      </c>
      <c r="BP788">
        <v>0.92708299999999999</v>
      </c>
      <c r="BQ788">
        <v>0.97368399999999999</v>
      </c>
      <c r="BR788">
        <v>0.22479299999999999</v>
      </c>
      <c r="BS788">
        <v>15.041321999999999</v>
      </c>
      <c r="BT788">
        <v>50</v>
      </c>
      <c r="BU788">
        <v>0.30275200000000002</v>
      </c>
      <c r="BV788">
        <v>0</v>
      </c>
      <c r="BW788">
        <v>50</v>
      </c>
      <c r="BX788">
        <v>0.72782899999999995</v>
      </c>
      <c r="BY788">
        <v>48.521915999999997</v>
      </c>
      <c r="BZ788">
        <v>50</v>
      </c>
      <c r="CA788">
        <v>0.23853199999999999</v>
      </c>
      <c r="CB788">
        <v>15.902141</v>
      </c>
      <c r="CC788">
        <v>50</v>
      </c>
      <c r="CD788">
        <v>0.92682900000000001</v>
      </c>
      <c r="CE788">
        <v>49.299429000000003</v>
      </c>
      <c r="CF788">
        <v>50</v>
      </c>
      <c r="CG788">
        <v>0.84795299999999996</v>
      </c>
      <c r="CH788">
        <v>90.207789000000005</v>
      </c>
      <c r="CI788">
        <v>100</v>
      </c>
      <c r="CJ788">
        <v>1</v>
      </c>
      <c r="CK788">
        <v>0.75471699999999997</v>
      </c>
      <c r="CL788">
        <v>80.289040999999997</v>
      </c>
      <c r="CM788">
        <v>100</v>
      </c>
      <c r="CN788">
        <v>0.52287600000000001</v>
      </c>
      <c r="CO788">
        <v>69.716775999999996</v>
      </c>
      <c r="CP788">
        <v>100</v>
      </c>
      <c r="CQ788">
        <v>0.33333299999999999</v>
      </c>
      <c r="CR788">
        <v>1.1612899999999999</v>
      </c>
      <c r="CS788">
        <v>22.222221999999999</v>
      </c>
      <c r="CT788">
        <v>50</v>
      </c>
      <c r="CU788">
        <v>0.51405000000000001</v>
      </c>
      <c r="CV788">
        <v>42.837465999999999</v>
      </c>
      <c r="CW788">
        <v>50</v>
      </c>
      <c r="CX788">
        <v>0.75471699999999997</v>
      </c>
      <c r="CY788">
        <v>0.94</v>
      </c>
      <c r="CZ788">
        <v>0.185283</v>
      </c>
      <c r="DA788">
        <v>15.314097</v>
      </c>
      <c r="DB788">
        <v>17.400950000000002</v>
      </c>
      <c r="DC788">
        <v>16.332519999999999</v>
      </c>
      <c r="DD788">
        <v>7.9891730000000001</v>
      </c>
      <c r="DE788">
        <v>1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Q788" t="s">
        <v>126</v>
      </c>
    </row>
    <row r="789" spans="1:121" x14ac:dyDescent="0.15">
      <c r="A789">
        <v>2018</v>
      </c>
      <c r="B789" t="s">
        <v>298</v>
      </c>
      <c r="C789" t="str">
        <f>"1090011"</f>
        <v>1090011</v>
      </c>
      <c r="D789" t="s">
        <v>944</v>
      </c>
      <c r="E789" t="str">
        <f>"1090311"</f>
        <v>1090311</v>
      </c>
      <c r="F789" t="s">
        <v>328</v>
      </c>
      <c r="G789">
        <v>4</v>
      </c>
      <c r="H789">
        <v>5</v>
      </c>
      <c r="I789" t="s">
        <v>330</v>
      </c>
      <c r="J789" t="s">
        <v>331</v>
      </c>
      <c r="K789">
        <v>659.253467</v>
      </c>
      <c r="L789">
        <v>850</v>
      </c>
      <c r="M789">
        <v>77.559230999999997</v>
      </c>
      <c r="N789">
        <v>2</v>
      </c>
      <c r="O789">
        <v>0</v>
      </c>
      <c r="P789">
        <v>69.267386000000002</v>
      </c>
      <c r="Q789">
        <v>46.178257000000002</v>
      </c>
      <c r="R789">
        <v>50</v>
      </c>
      <c r="S789">
        <v>64.453688999999997</v>
      </c>
      <c r="T789">
        <v>75</v>
      </c>
      <c r="U789">
        <v>42.969126000000003</v>
      </c>
      <c r="V789">
        <v>50</v>
      </c>
      <c r="W789">
        <v>67.269478000000007</v>
      </c>
      <c r="X789">
        <v>44.846319000000001</v>
      </c>
      <c r="Y789">
        <v>50</v>
      </c>
      <c r="Z789">
        <v>73.292968999999999</v>
      </c>
      <c r="AA789">
        <v>63.117693000000003</v>
      </c>
      <c r="AB789">
        <v>42.078462000000002</v>
      </c>
      <c r="AC789">
        <v>50</v>
      </c>
      <c r="AD789">
        <v>66.891914999999997</v>
      </c>
      <c r="AE789">
        <v>44.594610000000003</v>
      </c>
      <c r="AF789">
        <v>50</v>
      </c>
      <c r="AG789">
        <v>62.354567000000003</v>
      </c>
      <c r="AH789">
        <v>72.660829000000007</v>
      </c>
      <c r="AI789">
        <v>41.569710999999998</v>
      </c>
      <c r="AJ789">
        <v>50</v>
      </c>
      <c r="AK789">
        <v>10.54</v>
      </c>
      <c r="AL789">
        <v>10.17</v>
      </c>
      <c r="AM789">
        <v>10.3</v>
      </c>
      <c r="AN789">
        <v>0.64527699999999999</v>
      </c>
      <c r="AO789">
        <v>64.527660999999995</v>
      </c>
      <c r="AP789">
        <v>100</v>
      </c>
      <c r="AQ789">
        <v>0.67630000000000001</v>
      </c>
      <c r="AR789">
        <v>67.630018000000007</v>
      </c>
      <c r="AS789">
        <v>100</v>
      </c>
      <c r="AT789">
        <v>0.60792900000000005</v>
      </c>
      <c r="AU789">
        <v>0.69651399999999997</v>
      </c>
      <c r="AV789">
        <v>60.792910999999997</v>
      </c>
      <c r="AW789">
        <v>100</v>
      </c>
      <c r="AX789">
        <v>0.62269699999999994</v>
      </c>
      <c r="AY789">
        <v>0.749838</v>
      </c>
      <c r="AZ789">
        <v>62.269700999999998</v>
      </c>
      <c r="BA789">
        <v>100</v>
      </c>
      <c r="BB789" t="s">
        <v>125</v>
      </c>
      <c r="BC789" t="s">
        <v>125</v>
      </c>
      <c r="BD789" t="s">
        <v>125</v>
      </c>
      <c r="BE789" t="s">
        <v>125</v>
      </c>
      <c r="BF789" t="s">
        <v>125</v>
      </c>
      <c r="BG789" t="s">
        <v>125</v>
      </c>
      <c r="BH789">
        <v>0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4.5161E-2</v>
      </c>
      <c r="BS789">
        <v>50</v>
      </c>
      <c r="BT789">
        <v>50</v>
      </c>
      <c r="BU789">
        <v>5.8511000000000001E-2</v>
      </c>
      <c r="BV789">
        <v>48.297871999999998</v>
      </c>
      <c r="BW789">
        <v>50</v>
      </c>
      <c r="BX789" t="s">
        <v>125</v>
      </c>
      <c r="BY789" t="s">
        <v>125</v>
      </c>
      <c r="BZ789" t="s">
        <v>125</v>
      </c>
      <c r="CA789" t="s">
        <v>125</v>
      </c>
      <c r="CB789" t="s">
        <v>125</v>
      </c>
      <c r="CC789" t="s">
        <v>125</v>
      </c>
      <c r="CD789" t="s">
        <v>125</v>
      </c>
      <c r="CE789" t="s">
        <v>125</v>
      </c>
      <c r="CF789" t="s">
        <v>125</v>
      </c>
      <c r="CG789" t="s">
        <v>125</v>
      </c>
      <c r="CH789" t="s">
        <v>125</v>
      </c>
      <c r="CI789" t="s">
        <v>125</v>
      </c>
      <c r="CJ789" t="s">
        <v>125</v>
      </c>
      <c r="CK789" t="s">
        <v>125</v>
      </c>
      <c r="CL789" t="s">
        <v>125</v>
      </c>
      <c r="CM789" t="s">
        <v>125</v>
      </c>
      <c r="CN789" t="s">
        <v>125</v>
      </c>
      <c r="CO789" t="s">
        <v>125</v>
      </c>
      <c r="CP789" t="s">
        <v>125</v>
      </c>
      <c r="CQ789">
        <v>0.65248200000000001</v>
      </c>
      <c r="CR789">
        <v>0.98601399999999995</v>
      </c>
      <c r="CS789">
        <v>43.498818</v>
      </c>
      <c r="CT789">
        <v>50</v>
      </c>
      <c r="CU789" t="s">
        <v>125</v>
      </c>
      <c r="CV789" t="s">
        <v>125</v>
      </c>
      <c r="CW789" t="s">
        <v>125</v>
      </c>
      <c r="CX789" t="s">
        <v>125</v>
      </c>
      <c r="CY789" t="s">
        <v>125</v>
      </c>
      <c r="CZ789" t="s">
        <v>125</v>
      </c>
      <c r="DA789">
        <v>15.314097</v>
      </c>
      <c r="DB789">
        <v>17.400950000000002</v>
      </c>
      <c r="DC789">
        <v>16.332519999999999</v>
      </c>
      <c r="DD789" t="s">
        <v>125</v>
      </c>
      <c r="DE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Q789" t="s">
        <v>126</v>
      </c>
    </row>
    <row r="790" spans="1:121" x14ac:dyDescent="0.15">
      <c r="A790">
        <v>2018</v>
      </c>
      <c r="B790" t="s">
        <v>298</v>
      </c>
      <c r="C790" t="str">
        <f>"1090011"</f>
        <v>1090011</v>
      </c>
      <c r="D790" t="s">
        <v>945</v>
      </c>
      <c r="E790" t="str">
        <f>"1090411"</f>
        <v>1090411</v>
      </c>
      <c r="F790" t="s">
        <v>328</v>
      </c>
      <c r="G790" t="s">
        <v>329</v>
      </c>
      <c r="H790">
        <v>3</v>
      </c>
      <c r="I790" t="s">
        <v>330</v>
      </c>
      <c r="J790" t="s">
        <v>331</v>
      </c>
      <c r="K790">
        <v>404.20425</v>
      </c>
      <c r="L790">
        <v>500</v>
      </c>
      <c r="M790">
        <v>80.840850000000003</v>
      </c>
      <c r="N790">
        <v>2</v>
      </c>
      <c r="O790">
        <v>0</v>
      </c>
      <c r="P790">
        <v>66.201702999999995</v>
      </c>
      <c r="Q790">
        <v>88.268936999999994</v>
      </c>
      <c r="R790">
        <v>100</v>
      </c>
      <c r="S790">
        <v>65.068410999999998</v>
      </c>
      <c r="T790" t="s">
        <v>125</v>
      </c>
      <c r="U790">
        <v>86.757881999999995</v>
      </c>
      <c r="V790">
        <v>100</v>
      </c>
      <c r="W790">
        <v>62.199745</v>
      </c>
      <c r="X790">
        <v>82.932992999999996</v>
      </c>
      <c r="Y790">
        <v>100</v>
      </c>
      <c r="Z790" t="s">
        <v>125</v>
      </c>
      <c r="AA790">
        <v>60.442708000000003</v>
      </c>
      <c r="AB790">
        <v>80.590277999999998</v>
      </c>
      <c r="AC790">
        <v>100</v>
      </c>
      <c r="AD790" t="s">
        <v>125</v>
      </c>
      <c r="AE790" t="s">
        <v>125</v>
      </c>
      <c r="AF790" t="s">
        <v>125</v>
      </c>
      <c r="AG790" t="s">
        <v>125</v>
      </c>
      <c r="AH790" t="s">
        <v>125</v>
      </c>
      <c r="AI790" t="s">
        <v>125</v>
      </c>
      <c r="AJ790" t="s">
        <v>125</v>
      </c>
      <c r="AK790" t="s">
        <v>125</v>
      </c>
      <c r="AL790" t="s">
        <v>125</v>
      </c>
      <c r="AM790" t="s">
        <v>125</v>
      </c>
      <c r="AN790" t="s">
        <v>125</v>
      </c>
      <c r="AO790" t="s">
        <v>125</v>
      </c>
      <c r="AP790" t="s">
        <v>125</v>
      </c>
      <c r="AQ790" t="s">
        <v>125</v>
      </c>
      <c r="AR790" t="s">
        <v>125</v>
      </c>
      <c r="AS790" t="s">
        <v>125</v>
      </c>
      <c r="AT790" t="s">
        <v>125</v>
      </c>
      <c r="AU790" t="s">
        <v>125</v>
      </c>
      <c r="AV790" t="s">
        <v>125</v>
      </c>
      <c r="AW790" t="s">
        <v>125</v>
      </c>
      <c r="AX790" t="s">
        <v>125</v>
      </c>
      <c r="AY790" t="s">
        <v>125</v>
      </c>
      <c r="AZ790" t="s">
        <v>125</v>
      </c>
      <c r="BA790" t="s">
        <v>125</v>
      </c>
      <c r="BB790" t="s">
        <v>125</v>
      </c>
      <c r="BC790" t="s">
        <v>125</v>
      </c>
      <c r="BD790" t="s">
        <v>125</v>
      </c>
      <c r="BE790" t="s">
        <v>125</v>
      </c>
      <c r="BF790" t="s">
        <v>125</v>
      </c>
      <c r="BG790" t="s">
        <v>125</v>
      </c>
      <c r="BH790">
        <v>0</v>
      </c>
      <c r="BI790">
        <v>1</v>
      </c>
      <c r="BJ790">
        <v>1</v>
      </c>
      <c r="BK790" t="s">
        <v>125</v>
      </c>
      <c r="BL790">
        <v>1</v>
      </c>
      <c r="BM790">
        <v>1</v>
      </c>
      <c r="BN790" t="s">
        <v>125</v>
      </c>
      <c r="BO790" t="s">
        <v>125</v>
      </c>
      <c r="BP790" t="s">
        <v>125</v>
      </c>
      <c r="BQ790" t="s">
        <v>125</v>
      </c>
      <c r="BR790">
        <v>0.125806</v>
      </c>
      <c r="BS790">
        <v>34.838709999999999</v>
      </c>
      <c r="BT790">
        <v>50</v>
      </c>
      <c r="BU790">
        <v>0.145923</v>
      </c>
      <c r="BV790">
        <v>30.815450999999999</v>
      </c>
      <c r="BW790">
        <v>50</v>
      </c>
      <c r="BX790" t="s">
        <v>125</v>
      </c>
      <c r="BY790" t="s">
        <v>125</v>
      </c>
      <c r="BZ790" t="s">
        <v>125</v>
      </c>
      <c r="CA790" t="s">
        <v>125</v>
      </c>
      <c r="CB790" t="s">
        <v>125</v>
      </c>
      <c r="CC790" t="s">
        <v>125</v>
      </c>
      <c r="CD790" t="s">
        <v>125</v>
      </c>
      <c r="CE790" t="s">
        <v>125</v>
      </c>
      <c r="CF790" t="s">
        <v>125</v>
      </c>
      <c r="CG790" t="s">
        <v>125</v>
      </c>
      <c r="CH790" t="s">
        <v>125</v>
      </c>
      <c r="CI790" t="s">
        <v>125</v>
      </c>
      <c r="CJ790" t="s">
        <v>125</v>
      </c>
      <c r="CK790" t="s">
        <v>125</v>
      </c>
      <c r="CL790" t="s">
        <v>125</v>
      </c>
      <c r="CM790" t="s">
        <v>125</v>
      </c>
      <c r="CN790" t="s">
        <v>125</v>
      </c>
      <c r="CO790" t="s">
        <v>125</v>
      </c>
      <c r="CP790" t="s">
        <v>125</v>
      </c>
      <c r="CQ790" t="s">
        <v>125</v>
      </c>
      <c r="CR790" t="s">
        <v>125</v>
      </c>
      <c r="CS790" t="s">
        <v>125</v>
      </c>
      <c r="CT790" t="s">
        <v>125</v>
      </c>
      <c r="CU790" t="s">
        <v>125</v>
      </c>
      <c r="CV790" t="s">
        <v>125</v>
      </c>
      <c r="CW790" t="s">
        <v>125</v>
      </c>
      <c r="CX790" t="s">
        <v>125</v>
      </c>
      <c r="CY790" t="s">
        <v>125</v>
      </c>
      <c r="CZ790" t="s">
        <v>125</v>
      </c>
      <c r="DA790">
        <v>15.314097</v>
      </c>
      <c r="DB790">
        <v>17.400950000000002</v>
      </c>
      <c r="DC790">
        <v>16.332519999999999</v>
      </c>
      <c r="DD790" t="s">
        <v>125</v>
      </c>
      <c r="DE790">
        <v>0</v>
      </c>
      <c r="DH790" t="s">
        <v>332</v>
      </c>
      <c r="DI790" t="s">
        <v>946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Q790" t="s">
        <v>126</v>
      </c>
    </row>
    <row r="791" spans="1:121" x14ac:dyDescent="0.15">
      <c r="A791">
        <v>2018</v>
      </c>
      <c r="B791" t="s">
        <v>299</v>
      </c>
      <c r="C791" t="str">
        <f>"1100011"</f>
        <v>1100011</v>
      </c>
      <c r="D791" t="s">
        <v>947</v>
      </c>
      <c r="E791" t="str">
        <f>"1100411"</f>
        <v>1100411</v>
      </c>
      <c r="F791" t="s">
        <v>328</v>
      </c>
      <c r="G791" t="s">
        <v>329</v>
      </c>
      <c r="H791">
        <v>5</v>
      </c>
      <c r="I791" t="s">
        <v>330</v>
      </c>
      <c r="J791" t="s">
        <v>331</v>
      </c>
      <c r="K791">
        <v>639.71643900000004</v>
      </c>
      <c r="L791">
        <v>950</v>
      </c>
      <c r="M791">
        <v>67.338572999999997</v>
      </c>
      <c r="N791">
        <v>3</v>
      </c>
      <c r="O791">
        <v>0</v>
      </c>
      <c r="P791">
        <v>75.040386999999996</v>
      </c>
      <c r="Q791">
        <v>50</v>
      </c>
      <c r="R791">
        <v>50</v>
      </c>
      <c r="S791">
        <v>70.437326999999996</v>
      </c>
      <c r="T791">
        <v>75</v>
      </c>
      <c r="U791">
        <v>46.958218000000002</v>
      </c>
      <c r="V791">
        <v>50</v>
      </c>
      <c r="W791">
        <v>68.377409999999998</v>
      </c>
      <c r="X791">
        <v>45.584940000000003</v>
      </c>
      <c r="Y791">
        <v>50</v>
      </c>
      <c r="Z791">
        <v>73.385493999999994</v>
      </c>
      <c r="AA791">
        <v>62.382883999999997</v>
      </c>
      <c r="AB791">
        <v>41.588590000000003</v>
      </c>
      <c r="AC791">
        <v>50</v>
      </c>
      <c r="AD791">
        <v>64.708819000000005</v>
      </c>
      <c r="AE791">
        <v>43.139212999999998</v>
      </c>
      <c r="AF791">
        <v>50</v>
      </c>
      <c r="AG791">
        <v>63.207222999999999</v>
      </c>
      <c r="AH791">
        <v>66.147848999999994</v>
      </c>
      <c r="AI791">
        <v>42.138148999999999</v>
      </c>
      <c r="AJ791">
        <v>50</v>
      </c>
      <c r="AK791">
        <v>4.5599999999999996</v>
      </c>
      <c r="AL791">
        <v>11</v>
      </c>
      <c r="AM791">
        <v>2.94</v>
      </c>
      <c r="AN791">
        <v>0.63103799999999999</v>
      </c>
      <c r="AO791">
        <v>63.103771999999999</v>
      </c>
      <c r="AP791">
        <v>100</v>
      </c>
      <c r="AQ791">
        <v>0.60991600000000001</v>
      </c>
      <c r="AR791">
        <v>60.991568000000001</v>
      </c>
      <c r="AS791">
        <v>100</v>
      </c>
      <c r="AT791">
        <v>0.53808199999999995</v>
      </c>
      <c r="AU791">
        <v>0.68811599999999995</v>
      </c>
      <c r="AV791">
        <v>53.808238000000003</v>
      </c>
      <c r="AW791">
        <v>100</v>
      </c>
      <c r="AX791">
        <v>0.495842</v>
      </c>
      <c r="AY791">
        <v>0.67996100000000004</v>
      </c>
      <c r="AZ791">
        <v>49.584243999999998</v>
      </c>
      <c r="BA791">
        <v>100</v>
      </c>
      <c r="BB791">
        <v>0.45711000000000002</v>
      </c>
      <c r="BC791">
        <v>22.855499999999999</v>
      </c>
      <c r="BD791">
        <v>50</v>
      </c>
      <c r="BE791">
        <v>0.34426000000000001</v>
      </c>
      <c r="BF791">
        <v>17.212979000000001</v>
      </c>
      <c r="BG791">
        <v>50</v>
      </c>
      <c r="BH791">
        <v>0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7.0175000000000001E-2</v>
      </c>
      <c r="BS791">
        <v>45.964911999999998</v>
      </c>
      <c r="BT791">
        <v>50</v>
      </c>
      <c r="BU791">
        <v>0.11811000000000001</v>
      </c>
      <c r="BV791">
        <v>36.377952999999998</v>
      </c>
      <c r="BW791">
        <v>50</v>
      </c>
      <c r="BX791" t="s">
        <v>125</v>
      </c>
      <c r="BY791" t="s">
        <v>125</v>
      </c>
      <c r="BZ791" t="s">
        <v>125</v>
      </c>
      <c r="CA791" t="s">
        <v>125</v>
      </c>
      <c r="CB791" t="s">
        <v>125</v>
      </c>
      <c r="CC791" t="s">
        <v>125</v>
      </c>
      <c r="CD791" t="s">
        <v>125</v>
      </c>
      <c r="CE791" t="s">
        <v>125</v>
      </c>
      <c r="CF791" t="s">
        <v>125</v>
      </c>
      <c r="CG791" t="s">
        <v>125</v>
      </c>
      <c r="CH791" t="s">
        <v>125</v>
      </c>
      <c r="CI791" t="s">
        <v>125</v>
      </c>
      <c r="CJ791" t="s">
        <v>125</v>
      </c>
      <c r="CK791" t="s">
        <v>125</v>
      </c>
      <c r="CL791" t="s">
        <v>125</v>
      </c>
      <c r="CM791" t="s">
        <v>125</v>
      </c>
      <c r="CN791" t="s">
        <v>125</v>
      </c>
      <c r="CO791" t="s">
        <v>125</v>
      </c>
      <c r="CP791" t="s">
        <v>125</v>
      </c>
      <c r="CQ791">
        <v>0.30612200000000001</v>
      </c>
      <c r="CR791">
        <v>1.0425530000000001</v>
      </c>
      <c r="CS791">
        <v>20.408162999999998</v>
      </c>
      <c r="CT791">
        <v>50</v>
      </c>
      <c r="CU791" t="s">
        <v>125</v>
      </c>
      <c r="CV791" t="s">
        <v>125</v>
      </c>
      <c r="CW791" t="s">
        <v>125</v>
      </c>
      <c r="CX791" t="s">
        <v>125</v>
      </c>
      <c r="CY791" t="s">
        <v>125</v>
      </c>
      <c r="CZ791" t="s">
        <v>125</v>
      </c>
      <c r="DA791">
        <v>15.314097</v>
      </c>
      <c r="DB791">
        <v>17.400950000000002</v>
      </c>
      <c r="DC791">
        <v>16.332519999999999</v>
      </c>
      <c r="DD791" t="s">
        <v>125</v>
      </c>
      <c r="DE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Q791" t="s">
        <v>126</v>
      </c>
    </row>
    <row r="792" spans="1:121" x14ac:dyDescent="0.15">
      <c r="A792">
        <v>2018</v>
      </c>
      <c r="B792" t="s">
        <v>299</v>
      </c>
      <c r="C792" t="str">
        <f>"1100011"</f>
        <v>1100011</v>
      </c>
      <c r="D792" t="s">
        <v>948</v>
      </c>
      <c r="E792" t="str">
        <f>"1100211"</f>
        <v>1100211</v>
      </c>
      <c r="F792" t="s">
        <v>328</v>
      </c>
      <c r="G792" t="s">
        <v>329</v>
      </c>
      <c r="H792">
        <v>5</v>
      </c>
      <c r="I792" t="s">
        <v>330</v>
      </c>
      <c r="J792" t="s">
        <v>331</v>
      </c>
      <c r="K792">
        <v>704.46855400000004</v>
      </c>
      <c r="L792">
        <v>950</v>
      </c>
      <c r="M792">
        <v>74.154584999999997</v>
      </c>
      <c r="N792">
        <v>2</v>
      </c>
      <c r="O792">
        <v>0</v>
      </c>
      <c r="P792">
        <v>72.273403999999999</v>
      </c>
      <c r="Q792">
        <v>48.182270000000003</v>
      </c>
      <c r="R792">
        <v>50</v>
      </c>
      <c r="S792">
        <v>67.025299000000004</v>
      </c>
      <c r="T792">
        <v>75</v>
      </c>
      <c r="U792">
        <v>44.683532</v>
      </c>
      <c r="V792">
        <v>50</v>
      </c>
      <c r="W792">
        <v>66.378001999999995</v>
      </c>
      <c r="X792">
        <v>44.252001</v>
      </c>
      <c r="Y792">
        <v>50</v>
      </c>
      <c r="Z792">
        <v>72.098765</v>
      </c>
      <c r="AA792">
        <v>62.003301</v>
      </c>
      <c r="AB792">
        <v>41.335534000000003</v>
      </c>
      <c r="AC792">
        <v>50</v>
      </c>
      <c r="AD792">
        <v>63.326179000000003</v>
      </c>
      <c r="AE792">
        <v>42.217452000000002</v>
      </c>
      <c r="AF792">
        <v>50</v>
      </c>
      <c r="AG792">
        <v>60.433622999999997</v>
      </c>
      <c r="AH792">
        <v>67.665012000000004</v>
      </c>
      <c r="AI792">
        <v>40.289082000000001</v>
      </c>
      <c r="AJ792">
        <v>50</v>
      </c>
      <c r="AK792">
        <v>7.97</v>
      </c>
      <c r="AL792">
        <v>10.09</v>
      </c>
      <c r="AM792">
        <v>7.23</v>
      </c>
      <c r="AN792">
        <v>0.64128600000000002</v>
      </c>
      <c r="AO792">
        <v>64.128551000000002</v>
      </c>
      <c r="AP792">
        <v>100</v>
      </c>
      <c r="AQ792">
        <v>0.69334799999999996</v>
      </c>
      <c r="AR792">
        <v>69.334768999999994</v>
      </c>
      <c r="AS792">
        <v>100</v>
      </c>
      <c r="AT792">
        <v>0.55072100000000002</v>
      </c>
      <c r="AU792">
        <v>0.75902000000000003</v>
      </c>
      <c r="AV792">
        <v>55.072077999999998</v>
      </c>
      <c r="AW792">
        <v>100</v>
      </c>
      <c r="AX792">
        <v>0.59511800000000004</v>
      </c>
      <c r="AY792">
        <v>0.82104600000000005</v>
      </c>
      <c r="AZ792">
        <v>59.511797000000001</v>
      </c>
      <c r="BA792">
        <v>100</v>
      </c>
      <c r="BB792">
        <v>0.69214900000000001</v>
      </c>
      <c r="BC792">
        <v>34.607455999999999</v>
      </c>
      <c r="BD792">
        <v>50</v>
      </c>
      <c r="BE792">
        <v>0.72582199999999997</v>
      </c>
      <c r="BF792">
        <v>36.291083999999998</v>
      </c>
      <c r="BG792">
        <v>50</v>
      </c>
      <c r="BH792">
        <v>0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7.1233000000000005E-2</v>
      </c>
      <c r="BS792">
        <v>45.753425</v>
      </c>
      <c r="BT792">
        <v>50</v>
      </c>
      <c r="BU792">
        <v>0.114286</v>
      </c>
      <c r="BV792">
        <v>37.142856999999999</v>
      </c>
      <c r="BW792">
        <v>50</v>
      </c>
      <c r="BX792" t="s">
        <v>125</v>
      </c>
      <c r="BY792" t="s">
        <v>125</v>
      </c>
      <c r="BZ792" t="s">
        <v>125</v>
      </c>
      <c r="CA792" t="s">
        <v>125</v>
      </c>
      <c r="CB792" t="s">
        <v>125</v>
      </c>
      <c r="CC792" t="s">
        <v>125</v>
      </c>
      <c r="CD792" t="s">
        <v>125</v>
      </c>
      <c r="CE792" t="s">
        <v>125</v>
      </c>
      <c r="CF792" t="s">
        <v>125</v>
      </c>
      <c r="CG792" t="s">
        <v>125</v>
      </c>
      <c r="CH792" t="s">
        <v>125</v>
      </c>
      <c r="CI792" t="s">
        <v>125</v>
      </c>
      <c r="CJ792" t="s">
        <v>125</v>
      </c>
      <c r="CK792" t="s">
        <v>125</v>
      </c>
      <c r="CL792" t="s">
        <v>125</v>
      </c>
      <c r="CM792" t="s">
        <v>125</v>
      </c>
      <c r="CN792" t="s">
        <v>125</v>
      </c>
      <c r="CO792" t="s">
        <v>125</v>
      </c>
      <c r="CP792" t="s">
        <v>125</v>
      </c>
      <c r="CQ792">
        <v>0.625</v>
      </c>
      <c r="CR792">
        <v>1</v>
      </c>
      <c r="CS792">
        <v>41.666666999999997</v>
      </c>
      <c r="CT792">
        <v>50</v>
      </c>
      <c r="CU792" t="s">
        <v>125</v>
      </c>
      <c r="CV792" t="s">
        <v>125</v>
      </c>
      <c r="CW792" t="s">
        <v>125</v>
      </c>
      <c r="CX792" t="s">
        <v>125</v>
      </c>
      <c r="CY792" t="s">
        <v>125</v>
      </c>
      <c r="CZ792" t="s">
        <v>125</v>
      </c>
      <c r="DA792">
        <v>15.314097</v>
      </c>
      <c r="DB792">
        <v>17.400950000000002</v>
      </c>
      <c r="DC792">
        <v>16.332519999999999</v>
      </c>
      <c r="DD792" t="s">
        <v>125</v>
      </c>
      <c r="DE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Q792" t="s">
        <v>126</v>
      </c>
    </row>
    <row r="793" spans="1:121" x14ac:dyDescent="0.15">
      <c r="A793">
        <v>2018</v>
      </c>
      <c r="B793" t="s">
        <v>299</v>
      </c>
      <c r="C793" t="str">
        <f>"1100011"</f>
        <v>1100011</v>
      </c>
      <c r="D793" t="s">
        <v>949</v>
      </c>
      <c r="E793" t="str">
        <f>"1100511"</f>
        <v>1100511</v>
      </c>
      <c r="F793" t="s">
        <v>328</v>
      </c>
      <c r="G793" t="s">
        <v>329</v>
      </c>
      <c r="H793">
        <v>5</v>
      </c>
      <c r="I793" t="s">
        <v>330</v>
      </c>
      <c r="J793" t="s">
        <v>331</v>
      </c>
      <c r="K793">
        <v>671.27732000000003</v>
      </c>
      <c r="L793">
        <v>850</v>
      </c>
      <c r="M793">
        <v>78.973802000000006</v>
      </c>
      <c r="N793">
        <v>2</v>
      </c>
      <c r="O793">
        <v>0</v>
      </c>
      <c r="P793">
        <v>78.470292000000001</v>
      </c>
      <c r="Q793">
        <v>50</v>
      </c>
      <c r="R793">
        <v>50</v>
      </c>
      <c r="S793">
        <v>70.841717000000003</v>
      </c>
      <c r="T793">
        <v>75</v>
      </c>
      <c r="U793">
        <v>47.227812</v>
      </c>
      <c r="V793">
        <v>50</v>
      </c>
      <c r="W793">
        <v>76.225364999999996</v>
      </c>
      <c r="X793">
        <v>50</v>
      </c>
      <c r="Y793">
        <v>50</v>
      </c>
      <c r="Z793">
        <v>75</v>
      </c>
      <c r="AA793">
        <v>68.436818000000002</v>
      </c>
      <c r="AB793">
        <v>45.624546000000002</v>
      </c>
      <c r="AC793">
        <v>50</v>
      </c>
      <c r="AD793">
        <v>70.780913999999996</v>
      </c>
      <c r="AE793">
        <v>47.187275999999997</v>
      </c>
      <c r="AF793">
        <v>50</v>
      </c>
      <c r="AG793">
        <v>64.303426999999999</v>
      </c>
      <c r="AH793">
        <v>74.482335000000006</v>
      </c>
      <c r="AI793">
        <v>42.868952</v>
      </c>
      <c r="AJ793">
        <v>50</v>
      </c>
      <c r="AK793">
        <v>4.1500000000000004</v>
      </c>
      <c r="AL793">
        <v>6.56</v>
      </c>
      <c r="AM793">
        <v>10.17</v>
      </c>
      <c r="AN793">
        <v>0.67178099999999996</v>
      </c>
      <c r="AO793">
        <v>67.178144000000003</v>
      </c>
      <c r="AP793">
        <v>100</v>
      </c>
      <c r="AQ793">
        <v>0.65326399999999996</v>
      </c>
      <c r="AR793">
        <v>65.326426999999995</v>
      </c>
      <c r="AS793">
        <v>100</v>
      </c>
      <c r="AT793">
        <v>0.66492700000000005</v>
      </c>
      <c r="AU793">
        <v>0.67553700000000005</v>
      </c>
      <c r="AV793">
        <v>66.492734999999996</v>
      </c>
      <c r="AW793">
        <v>100</v>
      </c>
      <c r="AX793">
        <v>0.60611599999999999</v>
      </c>
      <c r="AY793">
        <v>0.67909900000000001</v>
      </c>
      <c r="AZ793">
        <v>60.611606000000002</v>
      </c>
      <c r="BA793">
        <v>100</v>
      </c>
      <c r="BB793" t="s">
        <v>125</v>
      </c>
      <c r="BC793" t="s">
        <v>125</v>
      </c>
      <c r="BD793" t="s">
        <v>125</v>
      </c>
      <c r="BE793" t="s">
        <v>125</v>
      </c>
      <c r="BF793" t="s">
        <v>125</v>
      </c>
      <c r="BG793" t="s">
        <v>125</v>
      </c>
      <c r="BH793">
        <v>0</v>
      </c>
      <c r="BI793">
        <v>0.99450499999999997</v>
      </c>
      <c r="BJ793">
        <v>0.98734200000000005</v>
      </c>
      <c r="BK793">
        <v>1</v>
      </c>
      <c r="BL793">
        <v>0.99441299999999999</v>
      </c>
      <c r="BM793">
        <v>0.986842</v>
      </c>
      <c r="BN793">
        <v>1</v>
      </c>
      <c r="BO793">
        <v>1</v>
      </c>
      <c r="BP793">
        <v>1</v>
      </c>
      <c r="BQ793">
        <v>1</v>
      </c>
      <c r="BR793">
        <v>5.7221000000000001E-2</v>
      </c>
      <c r="BS793">
        <v>48.555858000000001</v>
      </c>
      <c r="BT793">
        <v>50</v>
      </c>
      <c r="BU793">
        <v>0.103659</v>
      </c>
      <c r="BV793">
        <v>39.268293</v>
      </c>
      <c r="BW793">
        <v>50</v>
      </c>
      <c r="BX793" t="s">
        <v>125</v>
      </c>
      <c r="BY793" t="s">
        <v>125</v>
      </c>
      <c r="BZ793" t="s">
        <v>125</v>
      </c>
      <c r="CA793" t="s">
        <v>125</v>
      </c>
      <c r="CB793" t="s">
        <v>125</v>
      </c>
      <c r="CC793" t="s">
        <v>125</v>
      </c>
      <c r="CD793" t="s">
        <v>125</v>
      </c>
      <c r="CE793" t="s">
        <v>125</v>
      </c>
      <c r="CF793" t="s">
        <v>125</v>
      </c>
      <c r="CG793" t="s">
        <v>125</v>
      </c>
      <c r="CH793" t="s">
        <v>125</v>
      </c>
      <c r="CI793" t="s">
        <v>125</v>
      </c>
      <c r="CJ793" t="s">
        <v>125</v>
      </c>
      <c r="CK793" t="s">
        <v>125</v>
      </c>
      <c r="CL793" t="s">
        <v>125</v>
      </c>
      <c r="CM793" t="s">
        <v>125</v>
      </c>
      <c r="CN793" t="s">
        <v>125</v>
      </c>
      <c r="CO793" t="s">
        <v>125</v>
      </c>
      <c r="CP793" t="s">
        <v>125</v>
      </c>
      <c r="CQ793">
        <v>0.614035</v>
      </c>
      <c r="CR793">
        <v>0.98275900000000005</v>
      </c>
      <c r="CS793">
        <v>40.935673000000001</v>
      </c>
      <c r="CT793">
        <v>50</v>
      </c>
      <c r="CU793" t="s">
        <v>125</v>
      </c>
      <c r="CV793" t="s">
        <v>125</v>
      </c>
      <c r="CW793" t="s">
        <v>125</v>
      </c>
      <c r="CX793" t="s">
        <v>125</v>
      </c>
      <c r="CY793" t="s">
        <v>125</v>
      </c>
      <c r="CZ793" t="s">
        <v>125</v>
      </c>
      <c r="DA793">
        <v>15.314097</v>
      </c>
      <c r="DB793">
        <v>17.400950000000002</v>
      </c>
      <c r="DC793">
        <v>16.332519999999999</v>
      </c>
      <c r="DD793" t="s">
        <v>125</v>
      </c>
      <c r="DE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Q793" t="s">
        <v>126</v>
      </c>
    </row>
    <row r="794" spans="1:121" x14ac:dyDescent="0.15">
      <c r="A794">
        <v>2018</v>
      </c>
      <c r="B794" t="s">
        <v>299</v>
      </c>
      <c r="C794" t="str">
        <f>"1100011"</f>
        <v>1100011</v>
      </c>
      <c r="D794" t="s">
        <v>950</v>
      </c>
      <c r="E794" t="str">
        <f>"1105211"</f>
        <v>1105211</v>
      </c>
      <c r="F794" t="s">
        <v>328</v>
      </c>
      <c r="G794">
        <v>6</v>
      </c>
      <c r="H794">
        <v>8</v>
      </c>
      <c r="I794" t="s">
        <v>330</v>
      </c>
      <c r="J794" t="s">
        <v>331</v>
      </c>
      <c r="K794">
        <v>668.10083599999996</v>
      </c>
      <c r="L794">
        <v>900</v>
      </c>
      <c r="M794">
        <v>74.233425999999994</v>
      </c>
      <c r="N794">
        <v>2</v>
      </c>
      <c r="O794">
        <v>0</v>
      </c>
      <c r="P794">
        <v>70.608653000000004</v>
      </c>
      <c r="Q794">
        <v>47.072434999999999</v>
      </c>
      <c r="R794">
        <v>50</v>
      </c>
      <c r="S794">
        <v>65.537351999999998</v>
      </c>
      <c r="T794">
        <v>75</v>
      </c>
      <c r="U794">
        <v>43.691567999999997</v>
      </c>
      <c r="V794">
        <v>50</v>
      </c>
      <c r="W794">
        <v>65.490859</v>
      </c>
      <c r="X794">
        <v>43.660572000000002</v>
      </c>
      <c r="Y794">
        <v>50</v>
      </c>
      <c r="Z794">
        <v>73.818954000000005</v>
      </c>
      <c r="AA794">
        <v>57.726318999999997</v>
      </c>
      <c r="AB794">
        <v>38.484212999999997</v>
      </c>
      <c r="AC794">
        <v>50</v>
      </c>
      <c r="AD794">
        <v>66.191571999999994</v>
      </c>
      <c r="AE794">
        <v>44.127715000000002</v>
      </c>
      <c r="AF794">
        <v>50</v>
      </c>
      <c r="AG794">
        <v>58.300902999999998</v>
      </c>
      <c r="AH794">
        <v>73.488320000000002</v>
      </c>
      <c r="AI794">
        <v>38.867269</v>
      </c>
      <c r="AJ794">
        <v>50</v>
      </c>
      <c r="AK794">
        <v>9.4600000000000009</v>
      </c>
      <c r="AL794">
        <v>16.09</v>
      </c>
      <c r="AM794">
        <v>15.18</v>
      </c>
      <c r="AN794">
        <v>0.63081299999999996</v>
      </c>
      <c r="AO794">
        <v>63.081296999999999</v>
      </c>
      <c r="AP794">
        <v>100</v>
      </c>
      <c r="AQ794">
        <v>0.626054</v>
      </c>
      <c r="AR794">
        <v>62.605353999999998</v>
      </c>
      <c r="AS794">
        <v>100</v>
      </c>
      <c r="AT794">
        <v>0.64667600000000003</v>
      </c>
      <c r="AU794">
        <v>0.61639699999999997</v>
      </c>
      <c r="AV794">
        <v>64.667638999999994</v>
      </c>
      <c r="AW794">
        <v>100</v>
      </c>
      <c r="AX794">
        <v>0.56349300000000002</v>
      </c>
      <c r="AY794">
        <v>0.68290499999999998</v>
      </c>
      <c r="AZ794">
        <v>56.349305000000001</v>
      </c>
      <c r="BA794">
        <v>100</v>
      </c>
      <c r="BB794" t="s">
        <v>125</v>
      </c>
      <c r="BC794" t="s">
        <v>125</v>
      </c>
      <c r="BD794" t="s">
        <v>125</v>
      </c>
      <c r="BE794" t="s">
        <v>125</v>
      </c>
      <c r="BF794" t="s">
        <v>125</v>
      </c>
      <c r="BG794" t="s">
        <v>125</v>
      </c>
      <c r="BH794">
        <v>0</v>
      </c>
      <c r="BI794">
        <v>0.99622599999999994</v>
      </c>
      <c r="BJ794">
        <v>0.99288299999999996</v>
      </c>
      <c r="BK794">
        <v>1</v>
      </c>
      <c r="BL794">
        <v>0.99622599999999994</v>
      </c>
      <c r="BM794">
        <v>0.99288299999999996</v>
      </c>
      <c r="BN794">
        <v>1</v>
      </c>
      <c r="BO794">
        <v>0.98907100000000003</v>
      </c>
      <c r="BP794">
        <v>0.97777800000000004</v>
      </c>
      <c r="BQ794">
        <v>1</v>
      </c>
      <c r="BR794">
        <v>8.6957000000000007E-2</v>
      </c>
      <c r="BS794">
        <v>42.608696000000002</v>
      </c>
      <c r="BT794">
        <v>50</v>
      </c>
      <c r="BU794">
        <v>0.131579</v>
      </c>
      <c r="BV794">
        <v>33.684210999999998</v>
      </c>
      <c r="BW794">
        <v>50</v>
      </c>
      <c r="BX794" t="s">
        <v>125</v>
      </c>
      <c r="BY794" t="s">
        <v>125</v>
      </c>
      <c r="BZ794" t="s">
        <v>125</v>
      </c>
      <c r="CA794" t="s">
        <v>125</v>
      </c>
      <c r="CB794" t="s">
        <v>125</v>
      </c>
      <c r="CC794" t="s">
        <v>125</v>
      </c>
      <c r="CD794">
        <v>0.93820199999999998</v>
      </c>
      <c r="CE794">
        <v>49.904375000000002</v>
      </c>
      <c r="CF794">
        <v>50</v>
      </c>
      <c r="CG794" t="s">
        <v>125</v>
      </c>
      <c r="CH794" t="s">
        <v>125</v>
      </c>
      <c r="CI794" t="s">
        <v>125</v>
      </c>
      <c r="CJ794" t="s">
        <v>125</v>
      </c>
      <c r="CK794" t="s">
        <v>125</v>
      </c>
      <c r="CL794" t="s">
        <v>125</v>
      </c>
      <c r="CM794" t="s">
        <v>125</v>
      </c>
      <c r="CN794" t="s">
        <v>125</v>
      </c>
      <c r="CO794" t="s">
        <v>125</v>
      </c>
      <c r="CP794" t="s">
        <v>125</v>
      </c>
      <c r="CQ794">
        <v>0.58944300000000005</v>
      </c>
      <c r="CR794">
        <v>0.97150999999999998</v>
      </c>
      <c r="CS794">
        <v>39.296188000000001</v>
      </c>
      <c r="CT794">
        <v>50</v>
      </c>
      <c r="CU794" t="s">
        <v>125</v>
      </c>
      <c r="CV794" t="s">
        <v>125</v>
      </c>
      <c r="CW794" t="s">
        <v>125</v>
      </c>
      <c r="CX794" t="s">
        <v>125</v>
      </c>
      <c r="CY794" t="s">
        <v>125</v>
      </c>
      <c r="CZ794" t="s">
        <v>125</v>
      </c>
      <c r="DA794">
        <v>15.314097</v>
      </c>
      <c r="DB794">
        <v>17.400950000000002</v>
      </c>
      <c r="DC794">
        <v>16.332519999999999</v>
      </c>
      <c r="DD794" t="s">
        <v>125</v>
      </c>
      <c r="DE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Q794" t="s">
        <v>126</v>
      </c>
    </row>
    <row r="795" spans="1:121" x14ac:dyDescent="0.15">
      <c r="A795">
        <v>2018</v>
      </c>
      <c r="B795" t="s">
        <v>299</v>
      </c>
      <c r="C795" t="str">
        <f>"1100011"</f>
        <v>1100011</v>
      </c>
      <c r="D795" t="s">
        <v>951</v>
      </c>
      <c r="E795" t="str">
        <f>"1106111"</f>
        <v>1106111</v>
      </c>
      <c r="F795" t="s">
        <v>328</v>
      </c>
      <c r="G795">
        <v>9</v>
      </c>
      <c r="H795">
        <v>12</v>
      </c>
      <c r="I795" t="s">
        <v>330</v>
      </c>
      <c r="J795" t="s">
        <v>331</v>
      </c>
      <c r="K795">
        <v>1099.043848</v>
      </c>
      <c r="L795">
        <v>1450</v>
      </c>
      <c r="M795">
        <v>75.796126999999998</v>
      </c>
      <c r="N795">
        <v>3</v>
      </c>
      <c r="O795">
        <v>0</v>
      </c>
      <c r="P795">
        <v>56.052688000000003</v>
      </c>
      <c r="Q795">
        <v>112.10537600000001</v>
      </c>
      <c r="R795">
        <v>150</v>
      </c>
      <c r="S795">
        <v>48.663742999999997</v>
      </c>
      <c r="T795">
        <v>60.350340000000003</v>
      </c>
      <c r="U795">
        <v>97.327484999999996</v>
      </c>
      <c r="V795">
        <v>150</v>
      </c>
      <c r="W795">
        <v>54.515053999999999</v>
      </c>
      <c r="X795">
        <v>109.030108</v>
      </c>
      <c r="Y795">
        <v>150</v>
      </c>
      <c r="Z795">
        <v>59.284013999999999</v>
      </c>
      <c r="AA795">
        <v>46.315789000000002</v>
      </c>
      <c r="AB795">
        <v>92.631579000000002</v>
      </c>
      <c r="AC795">
        <v>150</v>
      </c>
      <c r="AD795">
        <v>58.965308999999998</v>
      </c>
      <c r="AE795">
        <v>78.620412000000002</v>
      </c>
      <c r="AF795">
        <v>100</v>
      </c>
      <c r="AG795">
        <v>49.907966999999999</v>
      </c>
      <c r="AH795">
        <v>64.194289999999995</v>
      </c>
      <c r="AI795">
        <v>66.543955999999994</v>
      </c>
      <c r="AJ795">
        <v>100</v>
      </c>
      <c r="AK795">
        <v>11.68</v>
      </c>
      <c r="AL795">
        <v>12.96</v>
      </c>
      <c r="AM795">
        <v>14.28</v>
      </c>
      <c r="AN795" t="s">
        <v>125</v>
      </c>
      <c r="AO795" t="s">
        <v>125</v>
      </c>
      <c r="AP795" t="s">
        <v>125</v>
      </c>
      <c r="AQ795" t="s">
        <v>125</v>
      </c>
      <c r="AR795" t="s">
        <v>125</v>
      </c>
      <c r="AS795" t="s">
        <v>125</v>
      </c>
      <c r="AT795" t="s">
        <v>125</v>
      </c>
      <c r="AU795" t="s">
        <v>125</v>
      </c>
      <c r="AV795" t="s">
        <v>125</v>
      </c>
      <c r="AW795" t="s">
        <v>125</v>
      </c>
      <c r="AX795" t="s">
        <v>125</v>
      </c>
      <c r="AY795" t="s">
        <v>125</v>
      </c>
      <c r="AZ795" t="s">
        <v>125</v>
      </c>
      <c r="BA795" t="s">
        <v>125</v>
      </c>
      <c r="BB795" t="s">
        <v>125</v>
      </c>
      <c r="BC795" t="s">
        <v>125</v>
      </c>
      <c r="BD795" t="s">
        <v>125</v>
      </c>
      <c r="BE795" t="s">
        <v>125</v>
      </c>
      <c r="BF795" t="s">
        <v>125</v>
      </c>
      <c r="BG795" t="s">
        <v>125</v>
      </c>
      <c r="BH795">
        <v>0</v>
      </c>
      <c r="BI795">
        <v>0.98742099999999999</v>
      </c>
      <c r="BJ795">
        <v>0.98333300000000001</v>
      </c>
      <c r="BK795">
        <v>0.98989899999999997</v>
      </c>
      <c r="BL795">
        <v>0.98742099999999999</v>
      </c>
      <c r="BM795">
        <v>0.98333300000000001</v>
      </c>
      <c r="BN795">
        <v>0.98989899999999997</v>
      </c>
      <c r="BO795">
        <v>0.98089199999999999</v>
      </c>
      <c r="BP795">
        <v>0.98275900000000005</v>
      </c>
      <c r="BQ795">
        <v>0.97979799999999995</v>
      </c>
      <c r="BR795">
        <v>0.13314000000000001</v>
      </c>
      <c r="BS795">
        <v>33.371924999999997</v>
      </c>
      <c r="BT795">
        <v>50</v>
      </c>
      <c r="BU795">
        <v>0.215278</v>
      </c>
      <c r="BV795">
        <v>16.944444000000001</v>
      </c>
      <c r="BW795">
        <v>50</v>
      </c>
      <c r="BX795">
        <v>0.70059899999999997</v>
      </c>
      <c r="BY795">
        <v>46.706586999999999</v>
      </c>
      <c r="BZ795">
        <v>50</v>
      </c>
      <c r="CA795">
        <v>0.43712600000000001</v>
      </c>
      <c r="CB795">
        <v>29.141717</v>
      </c>
      <c r="CC795">
        <v>50</v>
      </c>
      <c r="CD795">
        <v>0.85863900000000004</v>
      </c>
      <c r="CE795">
        <v>45.672274000000002</v>
      </c>
      <c r="CF795">
        <v>50</v>
      </c>
      <c r="CG795">
        <v>0.93292699999999995</v>
      </c>
      <c r="CH795">
        <v>99.247534999999999</v>
      </c>
      <c r="CI795">
        <v>100</v>
      </c>
      <c r="CJ795">
        <v>1</v>
      </c>
      <c r="CK795">
        <v>0.85507200000000005</v>
      </c>
      <c r="CL795">
        <v>90.965155999999993</v>
      </c>
      <c r="CM795">
        <v>100</v>
      </c>
      <c r="CN795">
        <v>0.66874999999999996</v>
      </c>
      <c r="CO795">
        <v>89.166667000000004</v>
      </c>
      <c r="CP795">
        <v>100</v>
      </c>
      <c r="CQ795">
        <v>0.623529</v>
      </c>
      <c r="CR795">
        <v>0.96590900000000002</v>
      </c>
      <c r="CS795">
        <v>41.568626999999999</v>
      </c>
      <c r="CT795">
        <v>50</v>
      </c>
      <c r="CU795">
        <v>0.6411</v>
      </c>
      <c r="CV795">
        <v>50</v>
      </c>
      <c r="CW795">
        <v>50</v>
      </c>
      <c r="CX795">
        <v>0.85507200000000005</v>
      </c>
      <c r="CY795">
        <v>0.94</v>
      </c>
      <c r="CZ795">
        <v>8.4928000000000003E-2</v>
      </c>
      <c r="DA795">
        <v>15.314097</v>
      </c>
      <c r="DB795">
        <v>17.400950000000002</v>
      </c>
      <c r="DC795">
        <v>16.332519999999999</v>
      </c>
      <c r="DD795">
        <v>7.9891730000000001</v>
      </c>
      <c r="DE795">
        <v>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Q795" t="s">
        <v>126</v>
      </c>
    </row>
    <row r="796" spans="1:121" x14ac:dyDescent="0.15">
      <c r="A796">
        <v>2018</v>
      </c>
      <c r="B796" t="s">
        <v>300</v>
      </c>
      <c r="C796" t="str">
        <f>"1110011"</f>
        <v>1110011</v>
      </c>
      <c r="D796" t="s">
        <v>952</v>
      </c>
      <c r="E796" t="str">
        <f>"1115111"</f>
        <v>1115111</v>
      </c>
      <c r="F796" t="s">
        <v>328</v>
      </c>
      <c r="G796">
        <v>6</v>
      </c>
      <c r="H796">
        <v>8</v>
      </c>
      <c r="J796" t="s">
        <v>331</v>
      </c>
      <c r="K796">
        <v>740.22024299999998</v>
      </c>
      <c r="L796">
        <v>900</v>
      </c>
      <c r="M796">
        <v>82.246694000000005</v>
      </c>
      <c r="N796">
        <v>2</v>
      </c>
      <c r="O796">
        <v>0</v>
      </c>
      <c r="P796">
        <v>70.716764999999995</v>
      </c>
      <c r="Q796">
        <v>47.144509999999997</v>
      </c>
      <c r="R796">
        <v>50</v>
      </c>
      <c r="S796">
        <v>65.370401000000001</v>
      </c>
      <c r="T796">
        <v>75</v>
      </c>
      <c r="U796">
        <v>43.580266999999999</v>
      </c>
      <c r="V796">
        <v>50</v>
      </c>
      <c r="W796">
        <v>68.299206999999996</v>
      </c>
      <c r="X796">
        <v>45.532805000000003</v>
      </c>
      <c r="Y796">
        <v>50</v>
      </c>
      <c r="Z796">
        <v>74.487328000000005</v>
      </c>
      <c r="AA796">
        <v>61.623538000000003</v>
      </c>
      <c r="AB796">
        <v>41.082357999999999</v>
      </c>
      <c r="AC796">
        <v>50</v>
      </c>
      <c r="AD796">
        <v>67.806897000000006</v>
      </c>
      <c r="AE796">
        <v>45.204597999999997</v>
      </c>
      <c r="AF796">
        <v>50</v>
      </c>
      <c r="AG796">
        <v>60.524737999999999</v>
      </c>
      <c r="AH796">
        <v>73.040948</v>
      </c>
      <c r="AI796">
        <v>40.349825000000003</v>
      </c>
      <c r="AJ796">
        <v>50</v>
      </c>
      <c r="AK796">
        <v>9.6199999999999992</v>
      </c>
      <c r="AL796">
        <v>12.86</v>
      </c>
      <c r="AM796">
        <v>12.51</v>
      </c>
      <c r="AN796">
        <v>0.73851599999999995</v>
      </c>
      <c r="AO796">
        <v>73.851573999999999</v>
      </c>
      <c r="AP796">
        <v>100</v>
      </c>
      <c r="AQ796">
        <v>0.72595100000000001</v>
      </c>
      <c r="AR796">
        <v>72.595112</v>
      </c>
      <c r="AS796">
        <v>100</v>
      </c>
      <c r="AT796">
        <v>0.75636199999999998</v>
      </c>
      <c r="AU796">
        <v>0.72306300000000001</v>
      </c>
      <c r="AV796">
        <v>75.636156</v>
      </c>
      <c r="AW796">
        <v>100</v>
      </c>
      <c r="AX796">
        <v>0.70464000000000004</v>
      </c>
      <c r="AY796">
        <v>0.74440499999999998</v>
      </c>
      <c r="AZ796">
        <v>70.464016000000001</v>
      </c>
      <c r="BA796">
        <v>100</v>
      </c>
      <c r="BB796" t="s">
        <v>125</v>
      </c>
      <c r="BC796" t="s">
        <v>125</v>
      </c>
      <c r="BD796" t="s">
        <v>125</v>
      </c>
      <c r="BE796" t="s">
        <v>125</v>
      </c>
      <c r="BF796" t="s">
        <v>125</v>
      </c>
      <c r="BG796" t="s">
        <v>125</v>
      </c>
      <c r="BH796">
        <v>0</v>
      </c>
      <c r="BI796">
        <v>0.99436599999999997</v>
      </c>
      <c r="BJ796">
        <v>0.98863599999999996</v>
      </c>
      <c r="BK796">
        <v>1</v>
      </c>
      <c r="BL796">
        <v>0.99436599999999997</v>
      </c>
      <c r="BM796">
        <v>0.98863599999999996</v>
      </c>
      <c r="BN796">
        <v>1</v>
      </c>
      <c r="BO796">
        <v>0.99114999999999998</v>
      </c>
      <c r="BP796">
        <v>0.97959200000000002</v>
      </c>
      <c r="BQ796">
        <v>1</v>
      </c>
      <c r="BR796">
        <v>5.9322E-2</v>
      </c>
      <c r="BS796">
        <v>48.135593</v>
      </c>
      <c r="BT796">
        <v>50</v>
      </c>
      <c r="BU796">
        <v>9.8836999999999994E-2</v>
      </c>
      <c r="BV796">
        <v>40.232557999999997</v>
      </c>
      <c r="BW796">
        <v>50</v>
      </c>
      <c r="BX796" t="s">
        <v>125</v>
      </c>
      <c r="BY796" t="s">
        <v>125</v>
      </c>
      <c r="BZ796" t="s">
        <v>125</v>
      </c>
      <c r="CA796" t="s">
        <v>125</v>
      </c>
      <c r="CB796" t="s">
        <v>125</v>
      </c>
      <c r="CC796" t="s">
        <v>125</v>
      </c>
      <c r="CD796">
        <v>0.93396199999999996</v>
      </c>
      <c r="CE796">
        <v>49.678843999999998</v>
      </c>
      <c r="CF796">
        <v>50</v>
      </c>
      <c r="CG796" t="s">
        <v>125</v>
      </c>
      <c r="CH796" t="s">
        <v>125</v>
      </c>
      <c r="CI796" t="s">
        <v>125</v>
      </c>
      <c r="CJ796" t="s">
        <v>125</v>
      </c>
      <c r="CK796" t="s">
        <v>125</v>
      </c>
      <c r="CL796" t="s">
        <v>125</v>
      </c>
      <c r="CM796" t="s">
        <v>125</v>
      </c>
      <c r="CN796" t="s">
        <v>125</v>
      </c>
      <c r="CO796" t="s">
        <v>125</v>
      </c>
      <c r="CP796" t="s">
        <v>125</v>
      </c>
      <c r="CQ796">
        <v>0.70098000000000005</v>
      </c>
      <c r="CR796">
        <v>0.94009200000000004</v>
      </c>
      <c r="CS796">
        <v>46.732025999999998</v>
      </c>
      <c r="CT796">
        <v>50</v>
      </c>
      <c r="CU796" t="s">
        <v>125</v>
      </c>
      <c r="CV796" t="s">
        <v>125</v>
      </c>
      <c r="CW796" t="s">
        <v>125</v>
      </c>
      <c r="CX796" t="s">
        <v>125</v>
      </c>
      <c r="CY796" t="s">
        <v>125</v>
      </c>
      <c r="CZ796" t="s">
        <v>125</v>
      </c>
      <c r="DA796">
        <v>15.314097</v>
      </c>
      <c r="DB796">
        <v>17.400950000000002</v>
      </c>
      <c r="DC796">
        <v>16.332519999999999</v>
      </c>
      <c r="DD796" t="s">
        <v>125</v>
      </c>
      <c r="DE796">
        <v>0</v>
      </c>
      <c r="DH796" t="s">
        <v>332</v>
      </c>
      <c r="DI796" t="s">
        <v>524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0</v>
      </c>
      <c r="DQ796" t="s">
        <v>126</v>
      </c>
    </row>
    <row r="797" spans="1:121" x14ac:dyDescent="0.15">
      <c r="A797">
        <v>2018</v>
      </c>
      <c r="B797" t="s">
        <v>300</v>
      </c>
      <c r="C797" t="str">
        <f>"1110011"</f>
        <v>1110011</v>
      </c>
      <c r="D797" t="s">
        <v>953</v>
      </c>
      <c r="E797" t="str">
        <f>"1110411"</f>
        <v>1110411</v>
      </c>
      <c r="F797" t="s">
        <v>328</v>
      </c>
      <c r="G797" t="s">
        <v>339</v>
      </c>
      <c r="H797">
        <v>5</v>
      </c>
      <c r="I797" t="s">
        <v>330</v>
      </c>
      <c r="J797" t="s">
        <v>331</v>
      </c>
      <c r="K797">
        <v>607.66153499999996</v>
      </c>
      <c r="L797">
        <v>850</v>
      </c>
      <c r="M797">
        <v>71.489592000000002</v>
      </c>
      <c r="N797">
        <v>2</v>
      </c>
      <c r="O797">
        <v>0</v>
      </c>
      <c r="P797">
        <v>67.826537000000002</v>
      </c>
      <c r="Q797">
        <v>45.217692</v>
      </c>
      <c r="R797">
        <v>50</v>
      </c>
      <c r="S797">
        <v>62.228167999999997</v>
      </c>
      <c r="T797">
        <v>75</v>
      </c>
      <c r="U797">
        <v>41.485444999999999</v>
      </c>
      <c r="V797">
        <v>50</v>
      </c>
      <c r="W797">
        <v>62.933979999999998</v>
      </c>
      <c r="X797">
        <v>41.955986000000003</v>
      </c>
      <c r="Y797">
        <v>50</v>
      </c>
      <c r="Z797">
        <v>70.694860000000006</v>
      </c>
      <c r="AA797">
        <v>57.607885000000003</v>
      </c>
      <c r="AB797">
        <v>38.405256999999999</v>
      </c>
      <c r="AC797">
        <v>50</v>
      </c>
      <c r="AD797">
        <v>66.327467999999996</v>
      </c>
      <c r="AE797">
        <v>44.218311999999997</v>
      </c>
      <c r="AF797">
        <v>50</v>
      </c>
      <c r="AG797">
        <v>60.840364000000001</v>
      </c>
      <c r="AH797">
        <v>74.253286000000003</v>
      </c>
      <c r="AI797">
        <v>40.560243</v>
      </c>
      <c r="AJ797">
        <v>50</v>
      </c>
      <c r="AK797">
        <v>12.77</v>
      </c>
      <c r="AL797">
        <v>13.08</v>
      </c>
      <c r="AM797">
        <v>13.41</v>
      </c>
      <c r="AN797">
        <v>0.61637299999999995</v>
      </c>
      <c r="AO797">
        <v>61.637278999999999</v>
      </c>
      <c r="AP797">
        <v>100</v>
      </c>
      <c r="AQ797">
        <v>0.57035400000000003</v>
      </c>
      <c r="AR797">
        <v>57.035418</v>
      </c>
      <c r="AS797">
        <v>100</v>
      </c>
      <c r="AT797">
        <v>0.597603</v>
      </c>
      <c r="AU797">
        <v>0.64165399999999995</v>
      </c>
      <c r="AV797">
        <v>59.760342000000001</v>
      </c>
      <c r="AW797">
        <v>100</v>
      </c>
      <c r="AX797">
        <v>0.49346000000000001</v>
      </c>
      <c r="AY797">
        <v>0.67392600000000003</v>
      </c>
      <c r="AZ797">
        <v>49.345999999999997</v>
      </c>
      <c r="BA797">
        <v>100</v>
      </c>
      <c r="BB797" t="s">
        <v>125</v>
      </c>
      <c r="BC797" t="s">
        <v>125</v>
      </c>
      <c r="BD797" t="s">
        <v>125</v>
      </c>
      <c r="BE797" t="s">
        <v>125</v>
      </c>
      <c r="BF797" t="s">
        <v>125</v>
      </c>
      <c r="BG797" t="s">
        <v>125</v>
      </c>
      <c r="BH797">
        <v>0</v>
      </c>
      <c r="BI797">
        <v>0.99425300000000005</v>
      </c>
      <c r="BJ797">
        <v>0.99038499999999996</v>
      </c>
      <c r="BK797">
        <v>1</v>
      </c>
      <c r="BL797">
        <v>0.99425300000000005</v>
      </c>
      <c r="BM797">
        <v>0.99038499999999996</v>
      </c>
      <c r="BN797">
        <v>1</v>
      </c>
      <c r="BO797">
        <v>1</v>
      </c>
      <c r="BP797">
        <v>1</v>
      </c>
      <c r="BQ797">
        <v>1</v>
      </c>
      <c r="BR797">
        <v>6.3062999999999994E-2</v>
      </c>
      <c r="BS797">
        <v>47.387386999999997</v>
      </c>
      <c r="BT797">
        <v>50</v>
      </c>
      <c r="BU797">
        <v>7.7295000000000003E-2</v>
      </c>
      <c r="BV797">
        <v>44.541063000000001</v>
      </c>
      <c r="BW797">
        <v>50</v>
      </c>
      <c r="BX797" t="s">
        <v>125</v>
      </c>
      <c r="BY797" t="s">
        <v>125</v>
      </c>
      <c r="BZ797" t="s">
        <v>125</v>
      </c>
      <c r="CA797" t="s">
        <v>125</v>
      </c>
      <c r="CB797" t="s">
        <v>125</v>
      </c>
      <c r="CC797" t="s">
        <v>125</v>
      </c>
      <c r="CD797" t="s">
        <v>125</v>
      </c>
      <c r="CE797" t="s">
        <v>125</v>
      </c>
      <c r="CF797" t="s">
        <v>125</v>
      </c>
      <c r="CG797" t="s">
        <v>125</v>
      </c>
      <c r="CH797" t="s">
        <v>125</v>
      </c>
      <c r="CI797" t="s">
        <v>125</v>
      </c>
      <c r="CJ797" t="s">
        <v>125</v>
      </c>
      <c r="CK797" t="s">
        <v>125</v>
      </c>
      <c r="CL797" t="s">
        <v>125</v>
      </c>
      <c r="CM797" t="s">
        <v>125</v>
      </c>
      <c r="CN797" t="s">
        <v>125</v>
      </c>
      <c r="CO797" t="s">
        <v>125</v>
      </c>
      <c r="CP797" t="s">
        <v>125</v>
      </c>
      <c r="CQ797">
        <v>0.54166700000000001</v>
      </c>
      <c r="CR797">
        <v>0.92307700000000004</v>
      </c>
      <c r="CS797">
        <v>36.111111000000001</v>
      </c>
      <c r="CT797">
        <v>50</v>
      </c>
      <c r="CU797" t="s">
        <v>125</v>
      </c>
      <c r="CV797" t="s">
        <v>125</v>
      </c>
      <c r="CW797" t="s">
        <v>125</v>
      </c>
      <c r="CX797" t="s">
        <v>125</v>
      </c>
      <c r="CY797" t="s">
        <v>125</v>
      </c>
      <c r="CZ797" t="s">
        <v>125</v>
      </c>
      <c r="DA797">
        <v>15.314097</v>
      </c>
      <c r="DB797">
        <v>17.400950000000002</v>
      </c>
      <c r="DC797">
        <v>16.332519999999999</v>
      </c>
      <c r="DD797" t="s">
        <v>125</v>
      </c>
      <c r="DE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Q797" t="s">
        <v>126</v>
      </c>
    </row>
    <row r="798" spans="1:121" x14ac:dyDescent="0.15">
      <c r="A798">
        <v>2018</v>
      </c>
      <c r="B798" t="s">
        <v>300</v>
      </c>
      <c r="C798" t="str">
        <f>"1110011"</f>
        <v>1110011</v>
      </c>
      <c r="D798" t="s">
        <v>954</v>
      </c>
      <c r="E798" t="str">
        <f>"1110211"</f>
        <v>1110211</v>
      </c>
      <c r="F798" t="s">
        <v>328</v>
      </c>
      <c r="G798" t="s">
        <v>329</v>
      </c>
      <c r="H798">
        <v>5</v>
      </c>
      <c r="J798" t="s">
        <v>331</v>
      </c>
      <c r="K798">
        <v>633.78944799999999</v>
      </c>
      <c r="L798">
        <v>850</v>
      </c>
      <c r="M798">
        <v>74.563463999999996</v>
      </c>
      <c r="N798">
        <v>2</v>
      </c>
      <c r="O798">
        <v>0</v>
      </c>
      <c r="P798">
        <v>76.943577000000005</v>
      </c>
      <c r="Q798">
        <v>50</v>
      </c>
      <c r="R798">
        <v>50</v>
      </c>
      <c r="S798">
        <v>71.628038000000004</v>
      </c>
      <c r="T798">
        <v>75</v>
      </c>
      <c r="U798">
        <v>47.752025000000003</v>
      </c>
      <c r="V798">
        <v>50</v>
      </c>
      <c r="W798">
        <v>74.180790000000002</v>
      </c>
      <c r="X798">
        <v>49.453859999999999</v>
      </c>
      <c r="Y798">
        <v>50</v>
      </c>
      <c r="Z798">
        <v>75</v>
      </c>
      <c r="AA798">
        <v>69.687072999999998</v>
      </c>
      <c r="AB798">
        <v>46.458049000000003</v>
      </c>
      <c r="AC798">
        <v>50</v>
      </c>
      <c r="AD798">
        <v>74.619624000000002</v>
      </c>
      <c r="AE798">
        <v>49.746416000000004</v>
      </c>
      <c r="AF798">
        <v>50</v>
      </c>
      <c r="AG798">
        <v>67.182795999999996</v>
      </c>
      <c r="AH798">
        <v>75</v>
      </c>
      <c r="AI798">
        <v>44.788530000000002</v>
      </c>
      <c r="AJ798">
        <v>50</v>
      </c>
      <c r="AK798">
        <v>3.37</v>
      </c>
      <c r="AL798">
        <v>5.31</v>
      </c>
      <c r="AM798">
        <v>7.81</v>
      </c>
      <c r="AN798">
        <v>0.60516700000000001</v>
      </c>
      <c r="AO798">
        <v>60.516689</v>
      </c>
      <c r="AP798">
        <v>100</v>
      </c>
      <c r="AQ798">
        <v>0.56489400000000001</v>
      </c>
      <c r="AR798">
        <v>56.489398000000001</v>
      </c>
      <c r="AS798">
        <v>100</v>
      </c>
      <c r="AT798">
        <v>0.60504400000000003</v>
      </c>
      <c r="AU798">
        <v>0.60525499999999999</v>
      </c>
      <c r="AV798">
        <v>60.504404999999998</v>
      </c>
      <c r="AW798">
        <v>100</v>
      </c>
      <c r="AX798">
        <v>0.46241599999999999</v>
      </c>
      <c r="AY798">
        <v>0.63836899999999996</v>
      </c>
      <c r="AZ798">
        <v>46.241599000000001</v>
      </c>
      <c r="BA798">
        <v>100</v>
      </c>
      <c r="BB798" t="s">
        <v>125</v>
      </c>
      <c r="BC798" t="s">
        <v>125</v>
      </c>
      <c r="BD798" t="s">
        <v>125</v>
      </c>
      <c r="BE798" t="s">
        <v>125</v>
      </c>
      <c r="BF798" t="s">
        <v>125</v>
      </c>
      <c r="BG798" t="s">
        <v>125</v>
      </c>
      <c r="BH798">
        <v>0</v>
      </c>
      <c r="BI798">
        <v>0.97674399999999995</v>
      </c>
      <c r="BJ798">
        <v>0.96551699999999996</v>
      </c>
      <c r="BK798">
        <v>0.98591499999999999</v>
      </c>
      <c r="BL798">
        <v>0.97674399999999995</v>
      </c>
      <c r="BM798">
        <v>0.96551699999999996</v>
      </c>
      <c r="BN798">
        <v>0.98591499999999999</v>
      </c>
      <c r="BO798">
        <v>0.98</v>
      </c>
      <c r="BP798">
        <v>1</v>
      </c>
      <c r="BQ798">
        <v>0.96428599999999998</v>
      </c>
      <c r="BR798">
        <v>7.9167000000000001E-2</v>
      </c>
      <c r="BS798">
        <v>44.166666999999997</v>
      </c>
      <c r="BT798">
        <v>50</v>
      </c>
      <c r="BU798">
        <v>0.12903200000000001</v>
      </c>
      <c r="BV798">
        <v>34.193548</v>
      </c>
      <c r="BW798">
        <v>50</v>
      </c>
      <c r="BX798" t="s">
        <v>125</v>
      </c>
      <c r="BY798" t="s">
        <v>125</v>
      </c>
      <c r="BZ798" t="s">
        <v>125</v>
      </c>
      <c r="CA798" t="s">
        <v>125</v>
      </c>
      <c r="CB798" t="s">
        <v>125</v>
      </c>
      <c r="CC798" t="s">
        <v>125</v>
      </c>
      <c r="CD798" t="s">
        <v>125</v>
      </c>
      <c r="CE798" t="s">
        <v>125</v>
      </c>
      <c r="CF798" t="s">
        <v>125</v>
      </c>
      <c r="CG798" t="s">
        <v>125</v>
      </c>
      <c r="CH798" t="s">
        <v>125</v>
      </c>
      <c r="CI798" t="s">
        <v>125</v>
      </c>
      <c r="CJ798" t="s">
        <v>125</v>
      </c>
      <c r="CK798" t="s">
        <v>125</v>
      </c>
      <c r="CL798" t="s">
        <v>125</v>
      </c>
      <c r="CM798" t="s">
        <v>125</v>
      </c>
      <c r="CN798" t="s">
        <v>125</v>
      </c>
      <c r="CO798" t="s">
        <v>125</v>
      </c>
      <c r="CP798" t="s">
        <v>125</v>
      </c>
      <c r="CQ798">
        <v>0.65217400000000003</v>
      </c>
      <c r="CR798">
        <v>1</v>
      </c>
      <c r="CS798">
        <v>43.478261000000003</v>
      </c>
      <c r="CT798">
        <v>50</v>
      </c>
      <c r="CU798" t="s">
        <v>125</v>
      </c>
      <c r="CV798" t="s">
        <v>125</v>
      </c>
      <c r="CW798" t="s">
        <v>125</v>
      </c>
      <c r="CX798" t="s">
        <v>125</v>
      </c>
      <c r="CY798" t="s">
        <v>125</v>
      </c>
      <c r="CZ798" t="s">
        <v>125</v>
      </c>
      <c r="DA798">
        <v>15.314097</v>
      </c>
      <c r="DB798">
        <v>17.400950000000002</v>
      </c>
      <c r="DC798">
        <v>16.332519999999999</v>
      </c>
      <c r="DD798" t="s">
        <v>125</v>
      </c>
      <c r="DE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Q798" t="s">
        <v>126</v>
      </c>
    </row>
    <row r="799" spans="1:121" x14ac:dyDescent="0.15">
      <c r="A799">
        <v>2018</v>
      </c>
      <c r="B799" t="s">
        <v>300</v>
      </c>
      <c r="C799" t="str">
        <f>"1110011"</f>
        <v>1110011</v>
      </c>
      <c r="D799" t="s">
        <v>955</v>
      </c>
      <c r="E799" t="str">
        <f>"1116111"</f>
        <v>1116111</v>
      </c>
      <c r="F799" t="s">
        <v>328</v>
      </c>
      <c r="G799">
        <v>9</v>
      </c>
      <c r="H799">
        <v>12</v>
      </c>
      <c r="J799" t="s">
        <v>331</v>
      </c>
      <c r="K799">
        <v>1082.3897079999999</v>
      </c>
      <c r="L799">
        <v>1450</v>
      </c>
      <c r="M799">
        <v>74.647565999999998</v>
      </c>
      <c r="N799">
        <v>3</v>
      </c>
      <c r="O799">
        <v>0</v>
      </c>
      <c r="P799">
        <v>54.791818999999997</v>
      </c>
      <c r="Q799">
        <v>109.58363900000001</v>
      </c>
      <c r="R799">
        <v>150</v>
      </c>
      <c r="S799">
        <v>48.987988000000001</v>
      </c>
      <c r="T799">
        <v>58.768518999999998</v>
      </c>
      <c r="U799">
        <v>97.975976000000003</v>
      </c>
      <c r="V799">
        <v>150</v>
      </c>
      <c r="W799">
        <v>52.945055000000004</v>
      </c>
      <c r="X799">
        <v>105.89011000000001</v>
      </c>
      <c r="Y799">
        <v>150</v>
      </c>
      <c r="Z799">
        <v>57.512346000000001</v>
      </c>
      <c r="AA799">
        <v>46.279279000000002</v>
      </c>
      <c r="AB799">
        <v>92.558559000000002</v>
      </c>
      <c r="AC799">
        <v>150</v>
      </c>
      <c r="AD799">
        <v>50.962156</v>
      </c>
      <c r="AE799">
        <v>67.949540999999996</v>
      </c>
      <c r="AF799">
        <v>100</v>
      </c>
      <c r="AG799">
        <v>47.196021999999999</v>
      </c>
      <c r="AH799">
        <v>53.383242000000003</v>
      </c>
      <c r="AI799">
        <v>62.928029000000002</v>
      </c>
      <c r="AJ799">
        <v>100</v>
      </c>
      <c r="AK799">
        <v>9.7799999999999994</v>
      </c>
      <c r="AL799">
        <v>11.23</v>
      </c>
      <c r="AM799">
        <v>6.18</v>
      </c>
      <c r="AN799" t="s">
        <v>125</v>
      </c>
      <c r="AO799" t="s">
        <v>125</v>
      </c>
      <c r="AP799" t="s">
        <v>125</v>
      </c>
      <c r="AQ799" t="s">
        <v>125</v>
      </c>
      <c r="AR799" t="s">
        <v>125</v>
      </c>
      <c r="AS799" t="s">
        <v>125</v>
      </c>
      <c r="AT799" t="s">
        <v>125</v>
      </c>
      <c r="AU799" t="s">
        <v>125</v>
      </c>
      <c r="AV799" t="s">
        <v>125</v>
      </c>
      <c r="AW799" t="s">
        <v>125</v>
      </c>
      <c r="AX799" t="s">
        <v>125</v>
      </c>
      <c r="AY799" t="s">
        <v>125</v>
      </c>
      <c r="AZ799" t="s">
        <v>125</v>
      </c>
      <c r="BA799" t="s">
        <v>125</v>
      </c>
      <c r="BB799" t="s">
        <v>125</v>
      </c>
      <c r="BC799" t="s">
        <v>125</v>
      </c>
      <c r="BD799" t="s">
        <v>125</v>
      </c>
      <c r="BE799" t="s">
        <v>125</v>
      </c>
      <c r="BF799" t="s">
        <v>125</v>
      </c>
      <c r="BG799" t="s">
        <v>125</v>
      </c>
      <c r="BH799">
        <v>1</v>
      </c>
      <c r="BI799">
        <v>0.97894700000000001</v>
      </c>
      <c r="BJ799">
        <v>0.97435899999999998</v>
      </c>
      <c r="BK799">
        <v>0.98214299999999999</v>
      </c>
      <c r="BL799">
        <v>0.97894700000000001</v>
      </c>
      <c r="BM799">
        <v>0.97435899999999998</v>
      </c>
      <c r="BN799">
        <v>0.98214299999999999</v>
      </c>
      <c r="BO799">
        <v>0.97894700000000001</v>
      </c>
      <c r="BP799">
        <v>0.94871799999999995</v>
      </c>
      <c r="BQ799">
        <v>1</v>
      </c>
      <c r="BR799">
        <v>0.113861</v>
      </c>
      <c r="BS799">
        <v>37.227722999999997</v>
      </c>
      <c r="BT799">
        <v>50</v>
      </c>
      <c r="BU799">
        <v>0.17582400000000001</v>
      </c>
      <c r="BV799">
        <v>24.835165</v>
      </c>
      <c r="BW799">
        <v>50</v>
      </c>
      <c r="BX799">
        <v>0.8</v>
      </c>
      <c r="BY799">
        <v>50</v>
      </c>
      <c r="BZ799">
        <v>50</v>
      </c>
      <c r="CA799">
        <v>0.395455</v>
      </c>
      <c r="CB799">
        <v>26.363636</v>
      </c>
      <c r="CC799">
        <v>50</v>
      </c>
      <c r="CD799">
        <v>0.88541700000000001</v>
      </c>
      <c r="CE799">
        <v>47.096631000000002</v>
      </c>
      <c r="CF799">
        <v>50</v>
      </c>
      <c r="CG799">
        <v>0.92307700000000004</v>
      </c>
      <c r="CH799">
        <v>98.199673000000004</v>
      </c>
      <c r="CI799">
        <v>100</v>
      </c>
      <c r="CJ799">
        <v>0</v>
      </c>
      <c r="CK799">
        <v>0.92</v>
      </c>
      <c r="CL799">
        <v>97.872339999999994</v>
      </c>
      <c r="CM799">
        <v>100</v>
      </c>
      <c r="CN799">
        <v>0.61599999999999999</v>
      </c>
      <c r="CO799">
        <v>82.133332999999993</v>
      </c>
      <c r="CP799">
        <v>100</v>
      </c>
      <c r="CQ799">
        <v>0.69135800000000003</v>
      </c>
      <c r="CR799">
        <v>0.91011200000000003</v>
      </c>
      <c r="CS799">
        <v>46.090535000000003</v>
      </c>
      <c r="CT799">
        <v>50</v>
      </c>
      <c r="CU799">
        <v>0.42821799999999999</v>
      </c>
      <c r="CV799">
        <v>35.684818</v>
      </c>
      <c r="CW799">
        <v>50</v>
      </c>
      <c r="CX799">
        <v>0.92</v>
      </c>
      <c r="CY799">
        <v>0.94</v>
      </c>
      <c r="CZ799">
        <v>0.02</v>
      </c>
      <c r="DA799">
        <v>15.314097</v>
      </c>
      <c r="DB799">
        <v>17.400950000000002</v>
      </c>
      <c r="DC799">
        <v>16.332519999999999</v>
      </c>
      <c r="DD799">
        <v>7.9891730000000001</v>
      </c>
      <c r="DE799">
        <v>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Q799" t="s">
        <v>126</v>
      </c>
    </row>
    <row r="800" spans="1:121" x14ac:dyDescent="0.15">
      <c r="A800">
        <v>2018</v>
      </c>
      <c r="B800" t="s">
        <v>301</v>
      </c>
      <c r="C800" t="str">
        <f>"1120011"</f>
        <v>1120011</v>
      </c>
      <c r="D800" t="s">
        <v>956</v>
      </c>
      <c r="E800" t="str">
        <f>"1120111"</f>
        <v>1120111</v>
      </c>
      <c r="F800" t="s">
        <v>328</v>
      </c>
      <c r="G800" t="s">
        <v>329</v>
      </c>
      <c r="H800">
        <v>8</v>
      </c>
      <c r="I800" t="s">
        <v>330</v>
      </c>
      <c r="J800" t="s">
        <v>331</v>
      </c>
      <c r="K800">
        <v>696.89995499999998</v>
      </c>
      <c r="L800">
        <v>900</v>
      </c>
      <c r="M800">
        <v>77.433328000000003</v>
      </c>
      <c r="N800">
        <v>2</v>
      </c>
      <c r="O800">
        <v>0</v>
      </c>
      <c r="P800">
        <v>75.137930999999995</v>
      </c>
      <c r="Q800">
        <v>50</v>
      </c>
      <c r="R800">
        <v>50</v>
      </c>
      <c r="S800">
        <v>68.685389000000001</v>
      </c>
      <c r="T800">
        <v>75</v>
      </c>
      <c r="U800">
        <v>45.790260000000004</v>
      </c>
      <c r="V800">
        <v>50</v>
      </c>
      <c r="W800">
        <v>74.275582</v>
      </c>
      <c r="X800">
        <v>49.517054999999999</v>
      </c>
      <c r="Y800">
        <v>50</v>
      </c>
      <c r="Z800">
        <v>75</v>
      </c>
      <c r="AA800">
        <v>67.307879</v>
      </c>
      <c r="AB800">
        <v>44.871918999999998</v>
      </c>
      <c r="AC800">
        <v>50</v>
      </c>
      <c r="AD800">
        <v>71.687865000000002</v>
      </c>
      <c r="AE800">
        <v>47.791910000000001</v>
      </c>
      <c r="AF800">
        <v>50</v>
      </c>
      <c r="AG800">
        <v>69.835603000000006</v>
      </c>
      <c r="AH800">
        <v>72.400273999999996</v>
      </c>
      <c r="AI800">
        <v>46.557068000000001</v>
      </c>
      <c r="AJ800">
        <v>50</v>
      </c>
      <c r="AK800">
        <v>6.31</v>
      </c>
      <c r="AL800">
        <v>7.69</v>
      </c>
      <c r="AM800">
        <v>2.56</v>
      </c>
      <c r="AN800">
        <v>0.56125100000000006</v>
      </c>
      <c r="AO800">
        <v>56.125053000000001</v>
      </c>
      <c r="AP800">
        <v>100</v>
      </c>
      <c r="AQ800">
        <v>0.62598200000000004</v>
      </c>
      <c r="AR800">
        <v>62.598224000000002</v>
      </c>
      <c r="AS800">
        <v>100</v>
      </c>
      <c r="AT800">
        <v>0.56781199999999998</v>
      </c>
      <c r="AU800">
        <v>0.55870600000000004</v>
      </c>
      <c r="AV800">
        <v>56.781238999999999</v>
      </c>
      <c r="AW800">
        <v>100</v>
      </c>
      <c r="AX800">
        <v>0.59380699999999997</v>
      </c>
      <c r="AY800">
        <v>0.63824000000000003</v>
      </c>
      <c r="AZ800">
        <v>59.380676000000001</v>
      </c>
      <c r="BA800">
        <v>100</v>
      </c>
      <c r="BB800" t="s">
        <v>125</v>
      </c>
      <c r="BC800" t="s">
        <v>125</v>
      </c>
      <c r="BD800" t="s">
        <v>125</v>
      </c>
      <c r="BE800" t="s">
        <v>125</v>
      </c>
      <c r="BF800" t="s">
        <v>125</v>
      </c>
      <c r="BG800" t="s">
        <v>125</v>
      </c>
      <c r="BH800">
        <v>0</v>
      </c>
      <c r="BI800">
        <v>0.99626899999999996</v>
      </c>
      <c r="BJ800">
        <v>1</v>
      </c>
      <c r="BK800">
        <v>0.99462399999999995</v>
      </c>
      <c r="BL800">
        <v>0.992537</v>
      </c>
      <c r="BM800">
        <v>0.98780500000000004</v>
      </c>
      <c r="BN800">
        <v>0.99462399999999995</v>
      </c>
      <c r="BO800">
        <v>1</v>
      </c>
      <c r="BP800">
        <v>1</v>
      </c>
      <c r="BQ800">
        <v>1</v>
      </c>
      <c r="BR800">
        <v>1.9178000000000001E-2</v>
      </c>
      <c r="BS800">
        <v>50</v>
      </c>
      <c r="BT800">
        <v>50</v>
      </c>
      <c r="BU800">
        <v>5.4053999999999998E-2</v>
      </c>
      <c r="BV800">
        <v>49.189188999999999</v>
      </c>
      <c r="BW800">
        <v>50</v>
      </c>
      <c r="BX800" t="s">
        <v>125</v>
      </c>
      <c r="BY800" t="s">
        <v>125</v>
      </c>
      <c r="BZ800" t="s">
        <v>125</v>
      </c>
      <c r="CA800" t="s">
        <v>125</v>
      </c>
      <c r="CB800" t="s">
        <v>125</v>
      </c>
      <c r="CC800" t="s">
        <v>125</v>
      </c>
      <c r="CD800">
        <v>0.97499999999999998</v>
      </c>
      <c r="CE800">
        <v>50</v>
      </c>
      <c r="CF800">
        <v>50</v>
      </c>
      <c r="CG800" t="s">
        <v>125</v>
      </c>
      <c r="CH800" t="s">
        <v>125</v>
      </c>
      <c r="CI800" t="s">
        <v>125</v>
      </c>
      <c r="CJ800" t="s">
        <v>125</v>
      </c>
      <c r="CK800" t="s">
        <v>125</v>
      </c>
      <c r="CL800" t="s">
        <v>125</v>
      </c>
      <c r="CM800" t="s">
        <v>125</v>
      </c>
      <c r="CN800" t="s">
        <v>125</v>
      </c>
      <c r="CO800" t="s">
        <v>125</v>
      </c>
      <c r="CP800" t="s">
        <v>125</v>
      </c>
      <c r="CQ800">
        <v>0.42446</v>
      </c>
      <c r="CR800">
        <v>0.99285699999999999</v>
      </c>
      <c r="CS800">
        <v>28.297362</v>
      </c>
      <c r="CT800">
        <v>50</v>
      </c>
      <c r="CU800" t="s">
        <v>125</v>
      </c>
      <c r="CV800" t="s">
        <v>125</v>
      </c>
      <c r="CW800" t="s">
        <v>125</v>
      </c>
      <c r="CX800" t="s">
        <v>125</v>
      </c>
      <c r="CY800" t="s">
        <v>125</v>
      </c>
      <c r="CZ800" t="s">
        <v>125</v>
      </c>
      <c r="DA800">
        <v>15.314097</v>
      </c>
      <c r="DB800">
        <v>17.400950000000002</v>
      </c>
      <c r="DC800">
        <v>16.332519999999999</v>
      </c>
      <c r="DD800" t="s">
        <v>125</v>
      </c>
      <c r="DE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Q800" t="s">
        <v>126</v>
      </c>
    </row>
    <row r="801" spans="1:121" x14ac:dyDescent="0.15">
      <c r="A801">
        <v>2018</v>
      </c>
      <c r="B801" t="s">
        <v>302</v>
      </c>
      <c r="C801" t="str">
        <f>"1130011"</f>
        <v>1130011</v>
      </c>
      <c r="D801" t="s">
        <v>957</v>
      </c>
      <c r="E801" t="str">
        <f>"1130511"</f>
        <v>1130511</v>
      </c>
      <c r="F801" t="s">
        <v>328</v>
      </c>
      <c r="G801">
        <v>5</v>
      </c>
      <c r="H801">
        <v>6</v>
      </c>
      <c r="J801" t="s">
        <v>331</v>
      </c>
      <c r="K801">
        <v>642.67423199999996</v>
      </c>
      <c r="L801">
        <v>850</v>
      </c>
      <c r="M801">
        <v>75.608733000000001</v>
      </c>
      <c r="N801">
        <v>2</v>
      </c>
      <c r="O801">
        <v>0</v>
      </c>
      <c r="P801">
        <v>72.668398999999994</v>
      </c>
      <c r="Q801">
        <v>48.445599000000001</v>
      </c>
      <c r="R801">
        <v>50</v>
      </c>
      <c r="S801">
        <v>61.295904</v>
      </c>
      <c r="T801">
        <v>75</v>
      </c>
      <c r="U801">
        <v>40.863936000000002</v>
      </c>
      <c r="V801">
        <v>50</v>
      </c>
      <c r="W801">
        <v>72.410990999999996</v>
      </c>
      <c r="X801">
        <v>48.273994000000002</v>
      </c>
      <c r="Y801">
        <v>50</v>
      </c>
      <c r="Z801">
        <v>75</v>
      </c>
      <c r="AA801">
        <v>61.575724000000001</v>
      </c>
      <c r="AB801">
        <v>41.050483</v>
      </c>
      <c r="AC801">
        <v>50</v>
      </c>
      <c r="AD801">
        <v>70.887748000000002</v>
      </c>
      <c r="AE801">
        <v>47.258499</v>
      </c>
      <c r="AF801">
        <v>50</v>
      </c>
      <c r="AG801">
        <v>60.720967999999999</v>
      </c>
      <c r="AH801">
        <v>75</v>
      </c>
      <c r="AI801">
        <v>40.480645000000003</v>
      </c>
      <c r="AJ801">
        <v>50</v>
      </c>
      <c r="AK801">
        <v>13.7</v>
      </c>
      <c r="AL801">
        <v>13.42</v>
      </c>
      <c r="AM801">
        <v>14.27</v>
      </c>
      <c r="AN801">
        <v>0.50618200000000002</v>
      </c>
      <c r="AO801">
        <v>50.618172000000001</v>
      </c>
      <c r="AP801">
        <v>100</v>
      </c>
      <c r="AQ801">
        <v>0.72764300000000004</v>
      </c>
      <c r="AR801">
        <v>72.764268000000001</v>
      </c>
      <c r="AS801">
        <v>100</v>
      </c>
      <c r="AT801">
        <v>0.39163999999999999</v>
      </c>
      <c r="AU801">
        <v>0.55755699999999997</v>
      </c>
      <c r="AV801">
        <v>39.164020000000001</v>
      </c>
      <c r="AW801">
        <v>100</v>
      </c>
      <c r="AX801">
        <v>0.66962200000000005</v>
      </c>
      <c r="AY801">
        <v>0.75366699999999998</v>
      </c>
      <c r="AZ801">
        <v>66.962162000000006</v>
      </c>
      <c r="BA801">
        <v>100</v>
      </c>
      <c r="BB801" t="s">
        <v>125</v>
      </c>
      <c r="BC801" t="s">
        <v>125</v>
      </c>
      <c r="BD801" t="s">
        <v>125</v>
      </c>
      <c r="BE801" t="s">
        <v>125</v>
      </c>
      <c r="BF801" t="s">
        <v>125</v>
      </c>
      <c r="BG801" t="s">
        <v>125</v>
      </c>
      <c r="BH801">
        <v>0</v>
      </c>
      <c r="BI801">
        <v>0.97169799999999995</v>
      </c>
      <c r="BJ801">
        <v>1</v>
      </c>
      <c r="BK801">
        <v>0.95862099999999995</v>
      </c>
      <c r="BL801">
        <v>0.97169799999999995</v>
      </c>
      <c r="BM801">
        <v>1</v>
      </c>
      <c r="BN801">
        <v>0.95862099999999995</v>
      </c>
      <c r="BO801">
        <v>0.99019599999999997</v>
      </c>
      <c r="BP801">
        <v>1</v>
      </c>
      <c r="BQ801">
        <v>0.98591499999999999</v>
      </c>
      <c r="BR801">
        <v>6.6037999999999999E-2</v>
      </c>
      <c r="BS801">
        <v>46.792453000000002</v>
      </c>
      <c r="BT801">
        <v>50</v>
      </c>
      <c r="BU801">
        <v>4.3478000000000003E-2</v>
      </c>
      <c r="BV801">
        <v>50</v>
      </c>
      <c r="BW801">
        <v>50</v>
      </c>
      <c r="BX801" t="s">
        <v>125</v>
      </c>
      <c r="BY801" t="s">
        <v>125</v>
      </c>
      <c r="BZ801" t="s">
        <v>125</v>
      </c>
      <c r="CA801" t="s">
        <v>125</v>
      </c>
      <c r="CB801" t="s">
        <v>125</v>
      </c>
      <c r="CC801" t="s">
        <v>125</v>
      </c>
      <c r="CD801" t="s">
        <v>125</v>
      </c>
      <c r="CE801" t="s">
        <v>125</v>
      </c>
      <c r="CF801" t="s">
        <v>125</v>
      </c>
      <c r="CG801" t="s">
        <v>125</v>
      </c>
      <c r="CH801" t="s">
        <v>125</v>
      </c>
      <c r="CI801" t="s">
        <v>125</v>
      </c>
      <c r="CJ801" t="s">
        <v>125</v>
      </c>
      <c r="CK801" t="s">
        <v>125</v>
      </c>
      <c r="CL801" t="s">
        <v>125</v>
      </c>
      <c r="CM801" t="s">
        <v>125</v>
      </c>
      <c r="CN801" t="s">
        <v>125</v>
      </c>
      <c r="CO801" t="s">
        <v>125</v>
      </c>
      <c r="CP801" t="s">
        <v>125</v>
      </c>
      <c r="CQ801">
        <v>0.84905699999999995</v>
      </c>
      <c r="CR801">
        <v>0.96363600000000005</v>
      </c>
      <c r="CS801">
        <v>50</v>
      </c>
      <c r="CT801">
        <v>50</v>
      </c>
      <c r="CU801" t="s">
        <v>125</v>
      </c>
      <c r="CV801" t="s">
        <v>125</v>
      </c>
      <c r="CW801" t="s">
        <v>125</v>
      </c>
      <c r="CX801" t="s">
        <v>125</v>
      </c>
      <c r="CY801" t="s">
        <v>125</v>
      </c>
      <c r="CZ801" t="s">
        <v>125</v>
      </c>
      <c r="DA801">
        <v>15.314097</v>
      </c>
      <c r="DB801">
        <v>17.400950000000002</v>
      </c>
      <c r="DC801">
        <v>16.332519999999999</v>
      </c>
      <c r="DD801" t="s">
        <v>125</v>
      </c>
      <c r="DE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Q801" t="s">
        <v>126</v>
      </c>
    </row>
    <row r="802" spans="1:121" x14ac:dyDescent="0.15">
      <c r="A802">
        <v>2018</v>
      </c>
      <c r="B802" t="s">
        <v>302</v>
      </c>
      <c r="C802" t="str">
        <f>"1130011"</f>
        <v>1130011</v>
      </c>
      <c r="D802" t="s">
        <v>958</v>
      </c>
      <c r="E802" t="str">
        <f>"1130411"</f>
        <v>1130411</v>
      </c>
      <c r="F802" t="s">
        <v>328</v>
      </c>
      <c r="G802">
        <v>2</v>
      </c>
      <c r="H802">
        <v>4</v>
      </c>
      <c r="J802" t="s">
        <v>331</v>
      </c>
      <c r="K802">
        <v>511.38696599999997</v>
      </c>
      <c r="L802">
        <v>750</v>
      </c>
      <c r="M802">
        <v>68.184928999999997</v>
      </c>
      <c r="N802">
        <v>4</v>
      </c>
      <c r="O802">
        <v>1</v>
      </c>
      <c r="P802">
        <v>75.857975999999994</v>
      </c>
      <c r="Q802">
        <v>50</v>
      </c>
      <c r="R802">
        <v>50</v>
      </c>
      <c r="S802">
        <v>61.259160000000001</v>
      </c>
      <c r="T802">
        <v>75</v>
      </c>
      <c r="U802">
        <v>40.839440000000003</v>
      </c>
      <c r="V802">
        <v>50</v>
      </c>
      <c r="W802">
        <v>70.849348000000006</v>
      </c>
      <c r="X802">
        <v>47.232899000000003</v>
      </c>
      <c r="Y802">
        <v>50</v>
      </c>
      <c r="Z802">
        <v>75</v>
      </c>
      <c r="AA802">
        <v>53.527455000000003</v>
      </c>
      <c r="AB802">
        <v>35.68497</v>
      </c>
      <c r="AC802">
        <v>50</v>
      </c>
      <c r="AD802" t="s">
        <v>125</v>
      </c>
      <c r="AE802" t="s">
        <v>125</v>
      </c>
      <c r="AF802" t="s">
        <v>125</v>
      </c>
      <c r="AG802" t="s">
        <v>125</v>
      </c>
      <c r="AH802" t="s">
        <v>125</v>
      </c>
      <c r="AI802" t="s">
        <v>125</v>
      </c>
      <c r="AJ802" t="s">
        <v>125</v>
      </c>
      <c r="AK802">
        <v>13.74</v>
      </c>
      <c r="AL802">
        <v>21.47</v>
      </c>
      <c r="AM802" t="s">
        <v>125</v>
      </c>
      <c r="AN802">
        <v>0.58252000000000004</v>
      </c>
      <c r="AO802">
        <v>58.251992000000001</v>
      </c>
      <c r="AP802">
        <v>100</v>
      </c>
      <c r="AQ802">
        <v>0.64982700000000004</v>
      </c>
      <c r="AR802">
        <v>64.982654999999994</v>
      </c>
      <c r="AS802">
        <v>100</v>
      </c>
      <c r="AT802">
        <v>0.39591999999999999</v>
      </c>
      <c r="AU802">
        <v>0.69518400000000002</v>
      </c>
      <c r="AV802">
        <v>39.591974</v>
      </c>
      <c r="AW802">
        <v>100</v>
      </c>
      <c r="AX802">
        <v>0.46909600000000001</v>
      </c>
      <c r="AY802">
        <v>0.75894700000000004</v>
      </c>
      <c r="AZ802">
        <v>46.909621999999999</v>
      </c>
      <c r="BA802">
        <v>100</v>
      </c>
      <c r="BB802" t="s">
        <v>125</v>
      </c>
      <c r="BC802" t="s">
        <v>125</v>
      </c>
      <c r="BD802" t="s">
        <v>125</v>
      </c>
      <c r="BE802" t="s">
        <v>125</v>
      </c>
      <c r="BF802" t="s">
        <v>125</v>
      </c>
      <c r="BG802" t="s">
        <v>125</v>
      </c>
      <c r="BH802">
        <v>0</v>
      </c>
      <c r="BI802">
        <v>0.98969099999999999</v>
      </c>
      <c r="BJ802">
        <v>1</v>
      </c>
      <c r="BK802">
        <v>0.98360700000000001</v>
      </c>
      <c r="BL802">
        <v>0.98969099999999999</v>
      </c>
      <c r="BM802">
        <v>1</v>
      </c>
      <c r="BN802">
        <v>0.98360700000000001</v>
      </c>
      <c r="BO802" t="s">
        <v>125</v>
      </c>
      <c r="BP802" t="s">
        <v>125</v>
      </c>
      <c r="BQ802" t="s">
        <v>125</v>
      </c>
      <c r="BR802">
        <v>5.8824000000000001E-2</v>
      </c>
      <c r="BS802">
        <v>48.235294000000003</v>
      </c>
      <c r="BT802">
        <v>50</v>
      </c>
      <c r="BU802">
        <v>5.5556000000000001E-2</v>
      </c>
      <c r="BV802">
        <v>48.888888999999999</v>
      </c>
      <c r="BW802">
        <v>50</v>
      </c>
      <c r="BX802" t="s">
        <v>125</v>
      </c>
      <c r="BY802" t="s">
        <v>125</v>
      </c>
      <c r="BZ802" t="s">
        <v>125</v>
      </c>
      <c r="CA802" t="s">
        <v>125</v>
      </c>
      <c r="CB802" t="s">
        <v>125</v>
      </c>
      <c r="CC802" t="s">
        <v>125</v>
      </c>
      <c r="CD802" t="s">
        <v>125</v>
      </c>
      <c r="CE802" t="s">
        <v>125</v>
      </c>
      <c r="CF802" t="s">
        <v>125</v>
      </c>
      <c r="CG802" t="s">
        <v>125</v>
      </c>
      <c r="CH802" t="s">
        <v>125</v>
      </c>
      <c r="CI802" t="s">
        <v>125</v>
      </c>
      <c r="CJ802" t="s">
        <v>125</v>
      </c>
      <c r="CK802" t="s">
        <v>125</v>
      </c>
      <c r="CL802" t="s">
        <v>125</v>
      </c>
      <c r="CM802" t="s">
        <v>125</v>
      </c>
      <c r="CN802" t="s">
        <v>125</v>
      </c>
      <c r="CO802" t="s">
        <v>125</v>
      </c>
      <c r="CP802" t="s">
        <v>125</v>
      </c>
      <c r="CQ802">
        <v>0.461538</v>
      </c>
      <c r="CR802">
        <v>1.0111110000000001</v>
      </c>
      <c r="CS802">
        <v>30.769231000000001</v>
      </c>
      <c r="CT802">
        <v>50</v>
      </c>
      <c r="CU802" t="s">
        <v>125</v>
      </c>
      <c r="CV802" t="s">
        <v>125</v>
      </c>
      <c r="CW802" t="s">
        <v>125</v>
      </c>
      <c r="CX802" t="s">
        <v>125</v>
      </c>
      <c r="CY802" t="s">
        <v>125</v>
      </c>
      <c r="CZ802" t="s">
        <v>125</v>
      </c>
      <c r="DA802">
        <v>15.314097</v>
      </c>
      <c r="DB802">
        <v>17.400950000000002</v>
      </c>
      <c r="DC802">
        <v>16.332519999999999</v>
      </c>
      <c r="DD802" t="s">
        <v>125</v>
      </c>
      <c r="DE802">
        <v>1</v>
      </c>
      <c r="DF802" t="s">
        <v>385</v>
      </c>
      <c r="DG802" t="s">
        <v>418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Q802" t="s">
        <v>126</v>
      </c>
    </row>
    <row r="803" spans="1:121" x14ac:dyDescent="0.15">
      <c r="A803">
        <v>2018</v>
      </c>
      <c r="B803" t="s">
        <v>302</v>
      </c>
      <c r="C803" t="str">
        <f>"1130011"</f>
        <v>1130011</v>
      </c>
      <c r="D803" t="s">
        <v>959</v>
      </c>
      <c r="E803" t="str">
        <f>"1136111"</f>
        <v>1136111</v>
      </c>
      <c r="F803" t="s">
        <v>328</v>
      </c>
      <c r="G803">
        <v>9</v>
      </c>
      <c r="H803">
        <v>12</v>
      </c>
      <c r="J803" t="s">
        <v>331</v>
      </c>
      <c r="K803">
        <v>1203.0226600000001</v>
      </c>
      <c r="L803">
        <v>1450</v>
      </c>
      <c r="M803">
        <v>82.967079999999996</v>
      </c>
      <c r="N803">
        <v>3</v>
      </c>
      <c r="O803">
        <v>1</v>
      </c>
      <c r="P803">
        <v>59.144317000000001</v>
      </c>
      <c r="Q803">
        <v>118.288633</v>
      </c>
      <c r="R803">
        <v>150</v>
      </c>
      <c r="S803">
        <v>47.079059999999998</v>
      </c>
      <c r="T803">
        <v>64.286884999999998</v>
      </c>
      <c r="U803">
        <v>94.158119999999997</v>
      </c>
      <c r="V803">
        <v>150</v>
      </c>
      <c r="W803">
        <v>58.104725000000002</v>
      </c>
      <c r="X803">
        <v>116.209451</v>
      </c>
      <c r="Y803">
        <v>150</v>
      </c>
      <c r="Z803">
        <v>63.926229999999997</v>
      </c>
      <c r="AA803">
        <v>44.446581000000002</v>
      </c>
      <c r="AB803">
        <v>88.893162000000004</v>
      </c>
      <c r="AC803">
        <v>150</v>
      </c>
      <c r="AD803">
        <v>67.805173999999994</v>
      </c>
      <c r="AE803">
        <v>90.406898999999996</v>
      </c>
      <c r="AF803">
        <v>100</v>
      </c>
      <c r="AG803">
        <v>56.321756000000001</v>
      </c>
      <c r="AH803">
        <v>73.164102999999997</v>
      </c>
      <c r="AI803">
        <v>75.095674000000002</v>
      </c>
      <c r="AJ803">
        <v>100</v>
      </c>
      <c r="AK803">
        <v>17.2</v>
      </c>
      <c r="AL803">
        <v>19.47</v>
      </c>
      <c r="AM803">
        <v>16.84</v>
      </c>
      <c r="AN803" t="s">
        <v>125</v>
      </c>
      <c r="AO803" t="s">
        <v>125</v>
      </c>
      <c r="AP803" t="s">
        <v>125</v>
      </c>
      <c r="AQ803" t="s">
        <v>125</v>
      </c>
      <c r="AR803" t="s">
        <v>125</v>
      </c>
      <c r="AS803" t="s">
        <v>125</v>
      </c>
      <c r="AT803" t="s">
        <v>125</v>
      </c>
      <c r="AU803" t="s">
        <v>125</v>
      </c>
      <c r="AV803" t="s">
        <v>125</v>
      </c>
      <c r="AW803" t="s">
        <v>125</v>
      </c>
      <c r="AX803" t="s">
        <v>125</v>
      </c>
      <c r="AY803" t="s">
        <v>125</v>
      </c>
      <c r="AZ803" t="s">
        <v>125</v>
      </c>
      <c r="BA803" t="s">
        <v>125</v>
      </c>
      <c r="BB803" t="s">
        <v>125</v>
      </c>
      <c r="BC803" t="s">
        <v>125</v>
      </c>
      <c r="BD803" t="s">
        <v>125</v>
      </c>
      <c r="BE803" t="s">
        <v>125</v>
      </c>
      <c r="BF803" t="s">
        <v>125</v>
      </c>
      <c r="BG803" t="s">
        <v>125</v>
      </c>
      <c r="BH803">
        <v>1</v>
      </c>
      <c r="BI803">
        <v>0.97802199999999995</v>
      </c>
      <c r="BJ803">
        <v>0.93333299999999997</v>
      </c>
      <c r="BK803">
        <v>1</v>
      </c>
      <c r="BL803">
        <v>0.97802199999999995</v>
      </c>
      <c r="BM803">
        <v>0.93333299999999997</v>
      </c>
      <c r="BN803">
        <v>1</v>
      </c>
      <c r="BO803">
        <v>0.97802199999999995</v>
      </c>
      <c r="BP803">
        <v>0.96666700000000005</v>
      </c>
      <c r="BQ803">
        <v>0.98360700000000001</v>
      </c>
      <c r="BR803">
        <v>4.9350999999999999E-2</v>
      </c>
      <c r="BS803">
        <v>50</v>
      </c>
      <c r="BT803">
        <v>50</v>
      </c>
      <c r="BU803">
        <v>5.5556000000000001E-2</v>
      </c>
      <c r="BV803">
        <v>48.888888999999999</v>
      </c>
      <c r="BW803">
        <v>50</v>
      </c>
      <c r="BX803">
        <v>0.868421</v>
      </c>
      <c r="BY803">
        <v>50</v>
      </c>
      <c r="BZ803">
        <v>50</v>
      </c>
      <c r="CA803">
        <v>0.54210499999999995</v>
      </c>
      <c r="CB803">
        <v>36.140351000000003</v>
      </c>
      <c r="CC803">
        <v>50</v>
      </c>
      <c r="CD803">
        <v>0.93939399999999995</v>
      </c>
      <c r="CE803">
        <v>49.967762999999998</v>
      </c>
      <c r="CF803">
        <v>50</v>
      </c>
      <c r="CG803">
        <v>0.92857100000000004</v>
      </c>
      <c r="CH803">
        <v>98.784194999999997</v>
      </c>
      <c r="CI803">
        <v>100</v>
      </c>
      <c r="CJ803">
        <v>0</v>
      </c>
      <c r="CK803">
        <v>0.91304300000000005</v>
      </c>
      <c r="CL803">
        <v>97.132284999999996</v>
      </c>
      <c r="CM803">
        <v>100</v>
      </c>
      <c r="CN803">
        <v>0.81012700000000004</v>
      </c>
      <c r="CO803">
        <v>100</v>
      </c>
      <c r="CP803">
        <v>100</v>
      </c>
      <c r="CQ803">
        <v>0.58585900000000002</v>
      </c>
      <c r="CR803">
        <v>1.0102040000000001</v>
      </c>
      <c r="CS803">
        <v>39.057239000000003</v>
      </c>
      <c r="CT803">
        <v>50</v>
      </c>
      <c r="CU803">
        <v>0.80779199999999995</v>
      </c>
      <c r="CV803">
        <v>50</v>
      </c>
      <c r="CW803">
        <v>50</v>
      </c>
      <c r="CX803">
        <v>0.91304300000000005</v>
      </c>
      <c r="CY803">
        <v>0.94</v>
      </c>
      <c r="CZ803">
        <v>2.6956999999999998E-2</v>
      </c>
      <c r="DA803">
        <v>15.314097</v>
      </c>
      <c r="DB803">
        <v>17.400950000000002</v>
      </c>
      <c r="DC803">
        <v>16.332519999999999</v>
      </c>
      <c r="DD803">
        <v>7.9891730000000001</v>
      </c>
      <c r="DE803">
        <v>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Q803" t="s">
        <v>126</v>
      </c>
    </row>
    <row r="804" spans="1:121" x14ac:dyDescent="0.15">
      <c r="A804">
        <v>2018</v>
      </c>
      <c r="B804" t="s">
        <v>302</v>
      </c>
      <c r="C804" t="str">
        <f>"1130011"</f>
        <v>1130011</v>
      </c>
      <c r="D804" t="s">
        <v>960</v>
      </c>
      <c r="E804" t="str">
        <f>"1135111"</f>
        <v>1135111</v>
      </c>
      <c r="F804" t="s">
        <v>328</v>
      </c>
      <c r="G804">
        <v>7</v>
      </c>
      <c r="H804">
        <v>8</v>
      </c>
      <c r="J804" t="s">
        <v>331</v>
      </c>
      <c r="K804">
        <v>690.18517899999995</v>
      </c>
      <c r="L804">
        <v>900</v>
      </c>
      <c r="M804">
        <v>76.687241999999998</v>
      </c>
      <c r="N804">
        <v>2</v>
      </c>
      <c r="O804">
        <v>0</v>
      </c>
      <c r="P804">
        <v>76.068037000000004</v>
      </c>
      <c r="Q804">
        <v>50</v>
      </c>
      <c r="R804">
        <v>50</v>
      </c>
      <c r="S804">
        <v>64.296578999999994</v>
      </c>
      <c r="T804">
        <v>75</v>
      </c>
      <c r="U804">
        <v>42.864386000000003</v>
      </c>
      <c r="V804">
        <v>50</v>
      </c>
      <c r="W804">
        <v>72.303605000000005</v>
      </c>
      <c r="X804">
        <v>48.202404000000001</v>
      </c>
      <c r="Y804">
        <v>50</v>
      </c>
      <c r="Z804">
        <v>75</v>
      </c>
      <c r="AA804">
        <v>59.640749</v>
      </c>
      <c r="AB804">
        <v>39.760499000000003</v>
      </c>
      <c r="AC804">
        <v>50</v>
      </c>
      <c r="AD804">
        <v>70.818185</v>
      </c>
      <c r="AE804">
        <v>47.212122999999998</v>
      </c>
      <c r="AF804">
        <v>50</v>
      </c>
      <c r="AG804">
        <v>60.393388000000002</v>
      </c>
      <c r="AH804">
        <v>75</v>
      </c>
      <c r="AI804">
        <v>40.262259</v>
      </c>
      <c r="AJ804">
        <v>50</v>
      </c>
      <c r="AK804">
        <v>10.7</v>
      </c>
      <c r="AL804">
        <v>15.35</v>
      </c>
      <c r="AM804">
        <v>14.6</v>
      </c>
      <c r="AN804">
        <v>0.646007</v>
      </c>
      <c r="AO804">
        <v>64.600684999999999</v>
      </c>
      <c r="AP804">
        <v>100</v>
      </c>
      <c r="AQ804">
        <v>0.67286100000000004</v>
      </c>
      <c r="AR804">
        <v>67.286073999999999</v>
      </c>
      <c r="AS804">
        <v>100</v>
      </c>
      <c r="AT804">
        <v>0.57453699999999996</v>
      </c>
      <c r="AU804">
        <v>0.68404699999999996</v>
      </c>
      <c r="AV804">
        <v>57.453727000000001</v>
      </c>
      <c r="AW804">
        <v>100</v>
      </c>
      <c r="AX804">
        <v>0.65538700000000005</v>
      </c>
      <c r="AY804">
        <v>0.68201999999999996</v>
      </c>
      <c r="AZ804">
        <v>65.538736</v>
      </c>
      <c r="BA804">
        <v>100</v>
      </c>
      <c r="BB804" t="s">
        <v>125</v>
      </c>
      <c r="BC804" t="s">
        <v>125</v>
      </c>
      <c r="BD804" t="s">
        <v>125</v>
      </c>
      <c r="BE804" t="s">
        <v>125</v>
      </c>
      <c r="BF804" t="s">
        <v>125</v>
      </c>
      <c r="BG804" t="s">
        <v>125</v>
      </c>
      <c r="BH804">
        <v>0</v>
      </c>
      <c r="BI804">
        <v>0.98039200000000004</v>
      </c>
      <c r="BJ804">
        <v>0.98666699999999996</v>
      </c>
      <c r="BK804">
        <v>0.97674399999999995</v>
      </c>
      <c r="BL804">
        <v>0.97548999999999997</v>
      </c>
      <c r="BM804">
        <v>0.973333</v>
      </c>
      <c r="BN804">
        <v>0.97674399999999995</v>
      </c>
      <c r="BO804">
        <v>0.99114999999999998</v>
      </c>
      <c r="BP804">
        <v>0.97619</v>
      </c>
      <c r="BQ804">
        <v>1</v>
      </c>
      <c r="BR804">
        <v>8.3333000000000004E-2</v>
      </c>
      <c r="BS804">
        <v>43.333333000000003</v>
      </c>
      <c r="BT804">
        <v>50</v>
      </c>
      <c r="BU804">
        <v>6.7568000000000003E-2</v>
      </c>
      <c r="BV804">
        <v>46.486485999999999</v>
      </c>
      <c r="BW804">
        <v>50</v>
      </c>
      <c r="BX804" t="s">
        <v>125</v>
      </c>
      <c r="BY804" t="s">
        <v>125</v>
      </c>
      <c r="BZ804" t="s">
        <v>125</v>
      </c>
      <c r="CA804" t="s">
        <v>125</v>
      </c>
      <c r="CB804" t="s">
        <v>125</v>
      </c>
      <c r="CC804" t="s">
        <v>125</v>
      </c>
      <c r="CD804">
        <v>0.95098000000000005</v>
      </c>
      <c r="CE804">
        <v>50</v>
      </c>
      <c r="CF804">
        <v>50</v>
      </c>
      <c r="CG804" t="s">
        <v>125</v>
      </c>
      <c r="CH804" t="s">
        <v>125</v>
      </c>
      <c r="CI804" t="s">
        <v>125</v>
      </c>
      <c r="CJ804" t="s">
        <v>125</v>
      </c>
      <c r="CK804" t="s">
        <v>125</v>
      </c>
      <c r="CL804" t="s">
        <v>125</v>
      </c>
      <c r="CM804" t="s">
        <v>125</v>
      </c>
      <c r="CN804" t="s">
        <v>125</v>
      </c>
      <c r="CO804" t="s">
        <v>125</v>
      </c>
      <c r="CP804" t="s">
        <v>125</v>
      </c>
      <c r="CQ804">
        <v>0.40776699999999999</v>
      </c>
      <c r="CR804">
        <v>0.91150399999999998</v>
      </c>
      <c r="CS804">
        <v>27.184466</v>
      </c>
      <c r="CT804">
        <v>50</v>
      </c>
      <c r="CU804" t="s">
        <v>125</v>
      </c>
      <c r="CV804" t="s">
        <v>125</v>
      </c>
      <c r="CW804" t="s">
        <v>125</v>
      </c>
      <c r="CX804" t="s">
        <v>125</v>
      </c>
      <c r="CY804" t="s">
        <v>125</v>
      </c>
      <c r="CZ804" t="s">
        <v>125</v>
      </c>
      <c r="DA804">
        <v>15.314097</v>
      </c>
      <c r="DB804">
        <v>17.400950000000002</v>
      </c>
      <c r="DC804">
        <v>16.332519999999999</v>
      </c>
      <c r="DD804" t="s">
        <v>125</v>
      </c>
      <c r="DE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Q804" t="s">
        <v>126</v>
      </c>
    </row>
    <row r="805" spans="1:121" x14ac:dyDescent="0.15">
      <c r="A805">
        <v>2018</v>
      </c>
      <c r="B805" t="s">
        <v>302</v>
      </c>
      <c r="C805" t="str">
        <f>"1130011"</f>
        <v>1130011</v>
      </c>
      <c r="D805" t="s">
        <v>961</v>
      </c>
      <c r="E805" t="str">
        <f>"1130211"</f>
        <v>1130211</v>
      </c>
      <c r="F805" t="s">
        <v>328</v>
      </c>
      <c r="G805" t="s">
        <v>329</v>
      </c>
      <c r="H805">
        <v>1</v>
      </c>
      <c r="I805" t="s">
        <v>330</v>
      </c>
      <c r="J805" t="s">
        <v>331</v>
      </c>
      <c r="K805">
        <v>79.392944999999997</v>
      </c>
      <c r="L805">
        <v>100</v>
      </c>
      <c r="M805">
        <v>79.392944999999997</v>
      </c>
      <c r="N805" t="s">
        <v>125</v>
      </c>
      <c r="O805" t="s">
        <v>125</v>
      </c>
      <c r="P805" t="s">
        <v>125</v>
      </c>
      <c r="Q805" t="s">
        <v>125</v>
      </c>
      <c r="R805" t="s">
        <v>125</v>
      </c>
      <c r="S805" t="s">
        <v>125</v>
      </c>
      <c r="T805" t="s">
        <v>125</v>
      </c>
      <c r="U805" t="s">
        <v>125</v>
      </c>
      <c r="V805" t="s">
        <v>125</v>
      </c>
      <c r="W805" t="s">
        <v>125</v>
      </c>
      <c r="X805" t="s">
        <v>125</v>
      </c>
      <c r="Y805" t="s">
        <v>125</v>
      </c>
      <c r="Z805" t="s">
        <v>125</v>
      </c>
      <c r="AA805" t="s">
        <v>125</v>
      </c>
      <c r="AB805" t="s">
        <v>125</v>
      </c>
      <c r="AC805" t="s">
        <v>125</v>
      </c>
      <c r="AD805" t="s">
        <v>125</v>
      </c>
      <c r="AE805" t="s">
        <v>125</v>
      </c>
      <c r="AF805" t="s">
        <v>125</v>
      </c>
      <c r="AG805" t="s">
        <v>125</v>
      </c>
      <c r="AH805" t="s">
        <v>125</v>
      </c>
      <c r="AI805" t="s">
        <v>125</v>
      </c>
      <c r="AJ805" t="s">
        <v>125</v>
      </c>
      <c r="AK805" t="s">
        <v>125</v>
      </c>
      <c r="AL805" t="s">
        <v>125</v>
      </c>
      <c r="AM805" t="s">
        <v>125</v>
      </c>
      <c r="AN805" t="s">
        <v>125</v>
      </c>
      <c r="AO805" t="s">
        <v>125</v>
      </c>
      <c r="AP805" t="s">
        <v>125</v>
      </c>
      <c r="AQ805" t="s">
        <v>125</v>
      </c>
      <c r="AR805" t="s">
        <v>125</v>
      </c>
      <c r="AS805" t="s">
        <v>125</v>
      </c>
      <c r="AT805" t="s">
        <v>125</v>
      </c>
      <c r="AU805" t="s">
        <v>125</v>
      </c>
      <c r="AV805" t="s">
        <v>125</v>
      </c>
      <c r="AW805" t="s">
        <v>125</v>
      </c>
      <c r="AX805" t="s">
        <v>125</v>
      </c>
      <c r="AY805" t="s">
        <v>125</v>
      </c>
      <c r="AZ805" t="s">
        <v>125</v>
      </c>
      <c r="BA805" t="s">
        <v>125</v>
      </c>
      <c r="BB805" t="s">
        <v>125</v>
      </c>
      <c r="BC805" t="s">
        <v>125</v>
      </c>
      <c r="BD805" t="s">
        <v>125</v>
      </c>
      <c r="BE805" t="s">
        <v>125</v>
      </c>
      <c r="BF805" t="s">
        <v>125</v>
      </c>
      <c r="BG805" t="s">
        <v>125</v>
      </c>
      <c r="BH805" t="s">
        <v>125</v>
      </c>
      <c r="BI805" t="s">
        <v>125</v>
      </c>
      <c r="BJ805" t="s">
        <v>125</v>
      </c>
      <c r="BK805" t="s">
        <v>125</v>
      </c>
      <c r="BL805" t="s">
        <v>125</v>
      </c>
      <c r="BM805" t="s">
        <v>125</v>
      </c>
      <c r="BN805" t="s">
        <v>125</v>
      </c>
      <c r="BO805" t="s">
        <v>125</v>
      </c>
      <c r="BP805" t="s">
        <v>125</v>
      </c>
      <c r="BQ805" t="s">
        <v>125</v>
      </c>
      <c r="BR805">
        <v>0.108696</v>
      </c>
      <c r="BS805">
        <v>38.260869999999997</v>
      </c>
      <c r="BT805">
        <v>50</v>
      </c>
      <c r="BU805">
        <v>9.4339999999999993E-2</v>
      </c>
      <c r="BV805">
        <v>41.132075</v>
      </c>
      <c r="BW805">
        <v>50</v>
      </c>
      <c r="BX805" t="s">
        <v>125</v>
      </c>
      <c r="BY805" t="s">
        <v>125</v>
      </c>
      <c r="BZ805" t="s">
        <v>125</v>
      </c>
      <c r="CA805" t="s">
        <v>125</v>
      </c>
      <c r="CB805" t="s">
        <v>125</v>
      </c>
      <c r="CC805" t="s">
        <v>125</v>
      </c>
      <c r="CD805" t="s">
        <v>125</v>
      </c>
      <c r="CE805" t="s">
        <v>125</v>
      </c>
      <c r="CF805" t="s">
        <v>125</v>
      </c>
      <c r="CG805" t="s">
        <v>125</v>
      </c>
      <c r="CH805" t="s">
        <v>125</v>
      </c>
      <c r="CI805" t="s">
        <v>125</v>
      </c>
      <c r="CJ805" t="s">
        <v>125</v>
      </c>
      <c r="CK805" t="s">
        <v>125</v>
      </c>
      <c r="CL805" t="s">
        <v>125</v>
      </c>
      <c r="CM805" t="s">
        <v>125</v>
      </c>
      <c r="CN805" t="s">
        <v>125</v>
      </c>
      <c r="CO805" t="s">
        <v>125</v>
      </c>
      <c r="CP805" t="s">
        <v>125</v>
      </c>
      <c r="CQ805" t="s">
        <v>125</v>
      </c>
      <c r="CR805" t="s">
        <v>125</v>
      </c>
      <c r="CS805" t="s">
        <v>125</v>
      </c>
      <c r="CT805" t="s">
        <v>125</v>
      </c>
      <c r="CU805" t="s">
        <v>125</v>
      </c>
      <c r="CV805" t="s">
        <v>125</v>
      </c>
      <c r="CW805" t="s">
        <v>125</v>
      </c>
      <c r="CX805" t="s">
        <v>125</v>
      </c>
      <c r="CY805" t="s">
        <v>125</v>
      </c>
      <c r="CZ805" t="s">
        <v>125</v>
      </c>
      <c r="DA805" t="s">
        <v>125</v>
      </c>
      <c r="DB805" t="s">
        <v>125</v>
      </c>
      <c r="DC805" t="s">
        <v>125</v>
      </c>
      <c r="DD805" t="s">
        <v>125</v>
      </c>
      <c r="DE805" t="s">
        <v>125</v>
      </c>
      <c r="DJ805" t="s">
        <v>125</v>
      </c>
      <c r="DK805" t="s">
        <v>125</v>
      </c>
      <c r="DL805" t="s">
        <v>125</v>
      </c>
      <c r="DM805" t="s">
        <v>125</v>
      </c>
      <c r="DN805" t="s">
        <v>125</v>
      </c>
      <c r="DO805" t="s">
        <v>125</v>
      </c>
      <c r="DQ805" t="s">
        <v>126</v>
      </c>
    </row>
    <row r="806" spans="1:121" x14ac:dyDescent="0.15">
      <c r="A806">
        <v>2018</v>
      </c>
      <c r="B806" t="s">
        <v>303</v>
      </c>
      <c r="C806" t="str">
        <f>"1140011"</f>
        <v>1140011</v>
      </c>
      <c r="D806" t="s">
        <v>962</v>
      </c>
      <c r="E806" t="str">
        <f>"1145111"</f>
        <v>1145111</v>
      </c>
      <c r="F806" t="s">
        <v>328</v>
      </c>
      <c r="G806">
        <v>6</v>
      </c>
      <c r="H806">
        <v>8</v>
      </c>
      <c r="I806" t="s">
        <v>330</v>
      </c>
      <c r="J806" t="s">
        <v>331</v>
      </c>
      <c r="K806">
        <v>612.62153899999998</v>
      </c>
      <c r="L806">
        <v>850</v>
      </c>
      <c r="M806">
        <v>72.073121999999998</v>
      </c>
      <c r="N806">
        <v>2</v>
      </c>
      <c r="O806">
        <v>0</v>
      </c>
      <c r="P806">
        <v>68.152530999999996</v>
      </c>
      <c r="Q806">
        <v>45.435020999999999</v>
      </c>
      <c r="R806">
        <v>50</v>
      </c>
      <c r="S806">
        <v>62.407201999999998</v>
      </c>
      <c r="T806">
        <v>72.167338999999998</v>
      </c>
      <c r="U806">
        <v>41.604801000000002</v>
      </c>
      <c r="V806">
        <v>50</v>
      </c>
      <c r="W806">
        <v>65.38158</v>
      </c>
      <c r="X806">
        <v>43.587719999999997</v>
      </c>
      <c r="Y806">
        <v>50</v>
      </c>
      <c r="Z806">
        <v>69.912766000000005</v>
      </c>
      <c r="AA806">
        <v>58.897297000000002</v>
      </c>
      <c r="AB806">
        <v>39.264865</v>
      </c>
      <c r="AC806">
        <v>50</v>
      </c>
      <c r="AD806">
        <v>62.416727999999999</v>
      </c>
      <c r="AE806">
        <v>41.611151999999997</v>
      </c>
      <c r="AF806">
        <v>50</v>
      </c>
      <c r="AG806" t="s">
        <v>125</v>
      </c>
      <c r="AH806">
        <v>66.126436999999996</v>
      </c>
      <c r="AI806" t="s">
        <v>125</v>
      </c>
      <c r="AJ806" t="s">
        <v>125</v>
      </c>
      <c r="AK806">
        <v>9.76</v>
      </c>
      <c r="AL806">
        <v>11.01</v>
      </c>
      <c r="AM806" t="s">
        <v>125</v>
      </c>
      <c r="AN806">
        <v>0.55146200000000001</v>
      </c>
      <c r="AO806">
        <v>55.146222000000002</v>
      </c>
      <c r="AP806">
        <v>100</v>
      </c>
      <c r="AQ806">
        <v>0.65205500000000005</v>
      </c>
      <c r="AR806">
        <v>65.205483999999998</v>
      </c>
      <c r="AS806">
        <v>100</v>
      </c>
      <c r="AT806">
        <v>0.52788800000000002</v>
      </c>
      <c r="AU806">
        <v>0.56577500000000003</v>
      </c>
      <c r="AV806">
        <v>52.788755000000002</v>
      </c>
      <c r="AW806">
        <v>100</v>
      </c>
      <c r="AX806">
        <v>0.56418199999999996</v>
      </c>
      <c r="AY806">
        <v>0.70540599999999998</v>
      </c>
      <c r="AZ806">
        <v>56.418197999999997</v>
      </c>
      <c r="BA806">
        <v>100</v>
      </c>
      <c r="BB806" t="s">
        <v>125</v>
      </c>
      <c r="BC806" t="s">
        <v>125</v>
      </c>
      <c r="BD806" t="s">
        <v>125</v>
      </c>
      <c r="BE806" t="s">
        <v>125</v>
      </c>
      <c r="BF806" t="s">
        <v>125</v>
      </c>
      <c r="BG806" t="s">
        <v>125</v>
      </c>
      <c r="BH806">
        <v>0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 t="s">
        <v>125</v>
      </c>
      <c r="BQ806">
        <v>1</v>
      </c>
      <c r="BR806">
        <v>6.1643999999999997E-2</v>
      </c>
      <c r="BS806">
        <v>47.671233000000001</v>
      </c>
      <c r="BT806">
        <v>50</v>
      </c>
      <c r="BU806">
        <v>9.6773999999999999E-2</v>
      </c>
      <c r="BV806">
        <v>40.645161000000002</v>
      </c>
      <c r="BW806">
        <v>50</v>
      </c>
      <c r="BX806" t="s">
        <v>125</v>
      </c>
      <c r="BY806" t="s">
        <v>125</v>
      </c>
      <c r="BZ806" t="s">
        <v>125</v>
      </c>
      <c r="CA806" t="s">
        <v>125</v>
      </c>
      <c r="CB806" t="s">
        <v>125</v>
      </c>
      <c r="CC806" t="s">
        <v>125</v>
      </c>
      <c r="CD806">
        <v>0.91891900000000004</v>
      </c>
      <c r="CE806">
        <v>48.878666000000003</v>
      </c>
      <c r="CF806">
        <v>50</v>
      </c>
      <c r="CG806" t="s">
        <v>125</v>
      </c>
      <c r="CH806" t="s">
        <v>125</v>
      </c>
      <c r="CI806" t="s">
        <v>125</v>
      </c>
      <c r="CJ806" t="s">
        <v>125</v>
      </c>
      <c r="CK806" t="s">
        <v>125</v>
      </c>
      <c r="CL806" t="s">
        <v>125</v>
      </c>
      <c r="CM806" t="s">
        <v>125</v>
      </c>
      <c r="CN806" t="s">
        <v>125</v>
      </c>
      <c r="CO806" t="s">
        <v>125</v>
      </c>
      <c r="CP806" t="s">
        <v>125</v>
      </c>
      <c r="CQ806">
        <v>0.51546400000000003</v>
      </c>
      <c r="CR806">
        <v>0.97</v>
      </c>
      <c r="CS806">
        <v>34.364260999999999</v>
      </c>
      <c r="CT806">
        <v>50</v>
      </c>
      <c r="CU806" t="s">
        <v>125</v>
      </c>
      <c r="CV806" t="s">
        <v>125</v>
      </c>
      <c r="CW806" t="s">
        <v>125</v>
      </c>
      <c r="CX806" t="s">
        <v>125</v>
      </c>
      <c r="CY806" t="s">
        <v>125</v>
      </c>
      <c r="CZ806" t="s">
        <v>125</v>
      </c>
      <c r="DA806">
        <v>15.314097</v>
      </c>
      <c r="DB806">
        <v>17.400950000000002</v>
      </c>
      <c r="DC806">
        <v>16.332519999999999</v>
      </c>
      <c r="DD806" t="s">
        <v>125</v>
      </c>
      <c r="DE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Q806" t="s">
        <v>126</v>
      </c>
    </row>
    <row r="807" spans="1:121" x14ac:dyDescent="0.15">
      <c r="A807">
        <v>2018</v>
      </c>
      <c r="B807" t="s">
        <v>303</v>
      </c>
      <c r="C807" t="str">
        <f>"1140011"</f>
        <v>1140011</v>
      </c>
      <c r="D807" t="s">
        <v>963</v>
      </c>
      <c r="E807" t="str">
        <f>"1140411"</f>
        <v>1140411</v>
      </c>
      <c r="F807" t="s">
        <v>328</v>
      </c>
      <c r="G807" t="s">
        <v>329</v>
      </c>
      <c r="H807">
        <v>5</v>
      </c>
      <c r="I807" t="s">
        <v>330</v>
      </c>
      <c r="J807" t="s">
        <v>331</v>
      </c>
      <c r="K807">
        <v>619.06620999999996</v>
      </c>
      <c r="L807">
        <v>850</v>
      </c>
      <c r="M807">
        <v>72.831318999999993</v>
      </c>
      <c r="N807">
        <v>2</v>
      </c>
      <c r="O807">
        <v>0</v>
      </c>
      <c r="P807">
        <v>74.703463999999997</v>
      </c>
      <c r="Q807">
        <v>49.802309000000001</v>
      </c>
      <c r="R807">
        <v>50</v>
      </c>
      <c r="S807">
        <v>65.506596999999999</v>
      </c>
      <c r="T807">
        <v>75</v>
      </c>
      <c r="U807">
        <v>43.671064000000001</v>
      </c>
      <c r="V807">
        <v>50</v>
      </c>
      <c r="W807">
        <v>67.269927999999993</v>
      </c>
      <c r="X807">
        <v>44.846618999999997</v>
      </c>
      <c r="Y807">
        <v>50</v>
      </c>
      <c r="Z807">
        <v>74.110815000000002</v>
      </c>
      <c r="AA807">
        <v>58.314585999999998</v>
      </c>
      <c r="AB807">
        <v>38.876390000000001</v>
      </c>
      <c r="AC807">
        <v>50</v>
      </c>
      <c r="AD807">
        <v>66.550445999999994</v>
      </c>
      <c r="AE807">
        <v>44.366964000000003</v>
      </c>
      <c r="AF807">
        <v>50</v>
      </c>
      <c r="AG807">
        <v>61.175953</v>
      </c>
      <c r="AH807">
        <v>71.28</v>
      </c>
      <c r="AI807">
        <v>40.783968999999999</v>
      </c>
      <c r="AJ807">
        <v>50</v>
      </c>
      <c r="AK807">
        <v>9.49</v>
      </c>
      <c r="AL807">
        <v>15.79</v>
      </c>
      <c r="AM807">
        <v>10.1</v>
      </c>
      <c r="AN807">
        <v>0.69574100000000005</v>
      </c>
      <c r="AO807">
        <v>69.574050999999997</v>
      </c>
      <c r="AP807">
        <v>100</v>
      </c>
      <c r="AQ807">
        <v>0.61600999999999995</v>
      </c>
      <c r="AR807">
        <v>61.600997</v>
      </c>
      <c r="AS807">
        <v>100</v>
      </c>
      <c r="AT807">
        <v>0.59546299999999996</v>
      </c>
      <c r="AU807">
        <v>0.78623500000000002</v>
      </c>
      <c r="AV807">
        <v>59.546312999999998</v>
      </c>
      <c r="AW807">
        <v>100</v>
      </c>
      <c r="AX807">
        <v>0.54296699999999998</v>
      </c>
      <c r="AY807">
        <v>0.68192699999999995</v>
      </c>
      <c r="AZ807">
        <v>54.296671000000003</v>
      </c>
      <c r="BA807">
        <v>100</v>
      </c>
      <c r="BB807" t="s">
        <v>125</v>
      </c>
      <c r="BC807" t="s">
        <v>125</v>
      </c>
      <c r="BD807" t="s">
        <v>125</v>
      </c>
      <c r="BE807" t="s">
        <v>125</v>
      </c>
      <c r="BF807" t="s">
        <v>125</v>
      </c>
      <c r="BG807" t="s">
        <v>125</v>
      </c>
      <c r="BH807">
        <v>0</v>
      </c>
      <c r="BI807">
        <v>0.99236599999999997</v>
      </c>
      <c r="BJ807">
        <v>1</v>
      </c>
      <c r="BK807">
        <v>0.98648599999999997</v>
      </c>
      <c r="BL807">
        <v>0.99236599999999997</v>
      </c>
      <c r="BM807">
        <v>1</v>
      </c>
      <c r="BN807">
        <v>0.98648599999999997</v>
      </c>
      <c r="BO807">
        <v>1</v>
      </c>
      <c r="BP807">
        <v>1</v>
      </c>
      <c r="BQ807">
        <v>1</v>
      </c>
      <c r="BR807">
        <v>5.7251999999999997E-2</v>
      </c>
      <c r="BS807">
        <v>48.549618000000002</v>
      </c>
      <c r="BT807">
        <v>50</v>
      </c>
      <c r="BU807">
        <v>7.8260999999999997E-2</v>
      </c>
      <c r="BV807">
        <v>44.347825999999998</v>
      </c>
      <c r="BW807">
        <v>50</v>
      </c>
      <c r="BX807" t="s">
        <v>125</v>
      </c>
      <c r="BY807" t="s">
        <v>125</v>
      </c>
      <c r="BZ807" t="s">
        <v>125</v>
      </c>
      <c r="CA807" t="s">
        <v>125</v>
      </c>
      <c r="CB807" t="s">
        <v>125</v>
      </c>
      <c r="CC807" t="s">
        <v>125</v>
      </c>
      <c r="CD807" t="s">
        <v>125</v>
      </c>
      <c r="CE807" t="s">
        <v>125</v>
      </c>
      <c r="CF807" t="s">
        <v>125</v>
      </c>
      <c r="CG807" t="s">
        <v>125</v>
      </c>
      <c r="CH807" t="s">
        <v>125</v>
      </c>
      <c r="CI807" t="s">
        <v>125</v>
      </c>
      <c r="CJ807" t="s">
        <v>125</v>
      </c>
      <c r="CK807" t="s">
        <v>125</v>
      </c>
      <c r="CL807" t="s">
        <v>125</v>
      </c>
      <c r="CM807" t="s">
        <v>125</v>
      </c>
      <c r="CN807" t="s">
        <v>125</v>
      </c>
      <c r="CO807" t="s">
        <v>125</v>
      </c>
      <c r="CP807" t="s">
        <v>125</v>
      </c>
      <c r="CQ807">
        <v>0.282051</v>
      </c>
      <c r="CR807">
        <v>0.97499999999999998</v>
      </c>
      <c r="CS807">
        <v>18.803419000000002</v>
      </c>
      <c r="CT807">
        <v>50</v>
      </c>
      <c r="CU807" t="s">
        <v>125</v>
      </c>
      <c r="CV807" t="s">
        <v>125</v>
      </c>
      <c r="CW807" t="s">
        <v>125</v>
      </c>
      <c r="CX807" t="s">
        <v>125</v>
      </c>
      <c r="CY807" t="s">
        <v>125</v>
      </c>
      <c r="CZ807" t="s">
        <v>125</v>
      </c>
      <c r="DA807">
        <v>15.314097</v>
      </c>
      <c r="DB807">
        <v>17.400950000000002</v>
      </c>
      <c r="DC807">
        <v>16.332519999999999</v>
      </c>
      <c r="DD807" t="s">
        <v>125</v>
      </c>
      <c r="DE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Q807" t="s">
        <v>126</v>
      </c>
    </row>
    <row r="808" spans="1:121" x14ac:dyDescent="0.15">
      <c r="A808">
        <v>2018</v>
      </c>
      <c r="B808" t="s">
        <v>304</v>
      </c>
      <c r="C808" t="str">
        <f>"1160011"</f>
        <v>1160011</v>
      </c>
      <c r="D808" t="s">
        <v>964</v>
      </c>
      <c r="E808" t="str">
        <f>"1160311"</f>
        <v>1160311</v>
      </c>
      <c r="F808" t="s">
        <v>328</v>
      </c>
      <c r="G808" t="s">
        <v>329</v>
      </c>
      <c r="H808">
        <v>5</v>
      </c>
      <c r="I808" t="s">
        <v>336</v>
      </c>
      <c r="J808" t="s">
        <v>331</v>
      </c>
      <c r="K808">
        <v>569.44411600000001</v>
      </c>
      <c r="L808">
        <v>850</v>
      </c>
      <c r="M808">
        <v>66.993425000000002</v>
      </c>
      <c r="N808">
        <v>3</v>
      </c>
      <c r="O808">
        <v>0</v>
      </c>
      <c r="P808">
        <v>68.743630999999993</v>
      </c>
      <c r="Q808">
        <v>45.829087000000001</v>
      </c>
      <c r="R808">
        <v>50</v>
      </c>
      <c r="S808">
        <v>65.832352999999998</v>
      </c>
      <c r="T808">
        <v>75</v>
      </c>
      <c r="U808">
        <v>43.888235000000002</v>
      </c>
      <c r="V808">
        <v>50</v>
      </c>
      <c r="W808">
        <v>66.306937000000005</v>
      </c>
      <c r="X808">
        <v>44.204625</v>
      </c>
      <c r="Y808">
        <v>50</v>
      </c>
      <c r="Z808">
        <v>74.905079000000001</v>
      </c>
      <c r="AA808">
        <v>62.496982000000003</v>
      </c>
      <c r="AB808">
        <v>41.664655000000003</v>
      </c>
      <c r="AC808">
        <v>50</v>
      </c>
      <c r="AD808">
        <v>65.438284999999993</v>
      </c>
      <c r="AE808">
        <v>43.625523000000001</v>
      </c>
      <c r="AF808">
        <v>50</v>
      </c>
      <c r="AG808">
        <v>61.782257999999999</v>
      </c>
      <c r="AH808">
        <v>74.186635999999993</v>
      </c>
      <c r="AI808">
        <v>41.188172000000002</v>
      </c>
      <c r="AJ808">
        <v>50</v>
      </c>
      <c r="AK808">
        <v>9.16</v>
      </c>
      <c r="AL808">
        <v>12.4</v>
      </c>
      <c r="AM808">
        <v>12.4</v>
      </c>
      <c r="AN808">
        <v>0.485485</v>
      </c>
      <c r="AO808">
        <v>48.548543000000002</v>
      </c>
      <c r="AP808">
        <v>100</v>
      </c>
      <c r="AQ808">
        <v>0.56939899999999999</v>
      </c>
      <c r="AR808">
        <v>56.939919000000003</v>
      </c>
      <c r="AS808">
        <v>100</v>
      </c>
      <c r="AT808">
        <v>0.52212499999999995</v>
      </c>
      <c r="AU808">
        <v>0.40781000000000001</v>
      </c>
      <c r="AV808">
        <v>52.212496999999999</v>
      </c>
      <c r="AW808">
        <v>100</v>
      </c>
      <c r="AX808">
        <v>0.59481600000000001</v>
      </c>
      <c r="AY808">
        <v>0.51551499999999995</v>
      </c>
      <c r="AZ808">
        <v>59.481608000000001</v>
      </c>
      <c r="BA808">
        <v>100</v>
      </c>
      <c r="BB808" t="s">
        <v>125</v>
      </c>
      <c r="BC808" t="s">
        <v>125</v>
      </c>
      <c r="BD808" t="s">
        <v>125</v>
      </c>
      <c r="BE808" t="s">
        <v>125</v>
      </c>
      <c r="BF808" t="s">
        <v>125</v>
      </c>
      <c r="BG808" t="s">
        <v>125</v>
      </c>
      <c r="BH808">
        <v>0</v>
      </c>
      <c r="BI808">
        <v>0.98461500000000002</v>
      </c>
      <c r="BJ808">
        <v>0.97765400000000002</v>
      </c>
      <c r="BK808">
        <v>1</v>
      </c>
      <c r="BL808">
        <v>0.98846199999999995</v>
      </c>
      <c r="BM808">
        <v>0.98324</v>
      </c>
      <c r="BN808">
        <v>1</v>
      </c>
      <c r="BO808">
        <v>0.97058800000000001</v>
      </c>
      <c r="BP808">
        <v>0.95833299999999999</v>
      </c>
      <c r="BQ808">
        <v>1</v>
      </c>
      <c r="BR808">
        <v>8.1181000000000003E-2</v>
      </c>
      <c r="BS808">
        <v>43.763838</v>
      </c>
      <c r="BT808">
        <v>50</v>
      </c>
      <c r="BU808">
        <v>0.115068</v>
      </c>
      <c r="BV808">
        <v>36.986300999999997</v>
      </c>
      <c r="BW808">
        <v>50</v>
      </c>
      <c r="BX808" t="s">
        <v>125</v>
      </c>
      <c r="BY808" t="s">
        <v>125</v>
      </c>
      <c r="BZ808" t="s">
        <v>125</v>
      </c>
      <c r="CA808" t="s">
        <v>125</v>
      </c>
      <c r="CB808" t="s">
        <v>125</v>
      </c>
      <c r="CC808" t="s">
        <v>125</v>
      </c>
      <c r="CD808" t="s">
        <v>125</v>
      </c>
      <c r="CE808" t="s">
        <v>125</v>
      </c>
      <c r="CF808" t="s">
        <v>125</v>
      </c>
      <c r="CG808" t="s">
        <v>125</v>
      </c>
      <c r="CH808" t="s">
        <v>125</v>
      </c>
      <c r="CI808" t="s">
        <v>125</v>
      </c>
      <c r="CJ808" t="s">
        <v>125</v>
      </c>
      <c r="CK808" t="s">
        <v>125</v>
      </c>
      <c r="CL808" t="s">
        <v>125</v>
      </c>
      <c r="CM808" t="s">
        <v>125</v>
      </c>
      <c r="CN808" t="s">
        <v>125</v>
      </c>
      <c r="CO808" t="s">
        <v>125</v>
      </c>
      <c r="CP808" t="s">
        <v>125</v>
      </c>
      <c r="CQ808">
        <v>0.16666700000000001</v>
      </c>
      <c r="CR808">
        <v>0.9</v>
      </c>
      <c r="CS808">
        <v>11.111110999999999</v>
      </c>
      <c r="CT808">
        <v>50</v>
      </c>
      <c r="CU808" t="s">
        <v>125</v>
      </c>
      <c r="CV808" t="s">
        <v>125</v>
      </c>
      <c r="CW808" t="s">
        <v>125</v>
      </c>
      <c r="CX808" t="s">
        <v>125</v>
      </c>
      <c r="CY808" t="s">
        <v>125</v>
      </c>
      <c r="CZ808" t="s">
        <v>125</v>
      </c>
      <c r="DA808">
        <v>15.314097</v>
      </c>
      <c r="DB808">
        <v>17.400950000000002</v>
      </c>
      <c r="DC808">
        <v>16.332519999999999</v>
      </c>
      <c r="DD808" t="s">
        <v>125</v>
      </c>
      <c r="DE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Q808" t="s">
        <v>126</v>
      </c>
    </row>
    <row r="809" spans="1:121" x14ac:dyDescent="0.15">
      <c r="A809">
        <v>2018</v>
      </c>
      <c r="B809" t="s">
        <v>304</v>
      </c>
      <c r="C809" t="str">
        <f>"1160011"</f>
        <v>1160011</v>
      </c>
      <c r="D809" t="s">
        <v>965</v>
      </c>
      <c r="E809" t="str">
        <f>"1166111"</f>
        <v>1166111</v>
      </c>
      <c r="F809" t="s">
        <v>328</v>
      </c>
      <c r="G809">
        <v>9</v>
      </c>
      <c r="H809">
        <v>12</v>
      </c>
      <c r="J809" t="s">
        <v>331</v>
      </c>
      <c r="K809">
        <v>1038.1727519999999</v>
      </c>
      <c r="L809">
        <v>1450</v>
      </c>
      <c r="M809">
        <v>71.598121000000006</v>
      </c>
      <c r="N809">
        <v>3</v>
      </c>
      <c r="O809">
        <v>1</v>
      </c>
      <c r="P809">
        <v>52.502873999999998</v>
      </c>
      <c r="Q809">
        <v>105.005747</v>
      </c>
      <c r="R809">
        <v>150</v>
      </c>
      <c r="S809">
        <v>46.671429000000003</v>
      </c>
      <c r="T809">
        <v>61.376812000000001</v>
      </c>
      <c r="U809">
        <v>93.342856999999995</v>
      </c>
      <c r="V809">
        <v>150</v>
      </c>
      <c r="W809">
        <v>43.462643999999997</v>
      </c>
      <c r="X809">
        <v>86.925286999999997</v>
      </c>
      <c r="Y809">
        <v>150</v>
      </c>
      <c r="Z809">
        <v>49.101449000000002</v>
      </c>
      <c r="AA809">
        <v>39.757142999999999</v>
      </c>
      <c r="AB809">
        <v>79.514285999999998</v>
      </c>
      <c r="AC809">
        <v>150</v>
      </c>
      <c r="AD809">
        <v>54.266666999999998</v>
      </c>
      <c r="AE809">
        <v>72.355556000000007</v>
      </c>
      <c r="AF809">
        <v>100</v>
      </c>
      <c r="AG809">
        <v>47.201663000000003</v>
      </c>
      <c r="AH809">
        <v>65.632107000000005</v>
      </c>
      <c r="AI809">
        <v>62.935550999999997</v>
      </c>
      <c r="AJ809">
        <v>100</v>
      </c>
      <c r="AK809">
        <v>14.7</v>
      </c>
      <c r="AL809">
        <v>9.34</v>
      </c>
      <c r="AM809">
        <v>18.43</v>
      </c>
      <c r="AN809" t="s">
        <v>125</v>
      </c>
      <c r="AO809" t="s">
        <v>125</v>
      </c>
      <c r="AP809" t="s">
        <v>125</v>
      </c>
      <c r="AQ809" t="s">
        <v>125</v>
      </c>
      <c r="AR809" t="s">
        <v>125</v>
      </c>
      <c r="AS809" t="s">
        <v>125</v>
      </c>
      <c r="AT809" t="s">
        <v>125</v>
      </c>
      <c r="AU809" t="s">
        <v>125</v>
      </c>
      <c r="AV809" t="s">
        <v>125</v>
      </c>
      <c r="AW809" t="s">
        <v>125</v>
      </c>
      <c r="AX809" t="s">
        <v>125</v>
      </c>
      <c r="AY809" t="s">
        <v>125</v>
      </c>
      <c r="AZ809" t="s">
        <v>125</v>
      </c>
      <c r="BA809" t="s">
        <v>125</v>
      </c>
      <c r="BB809" t="s">
        <v>125</v>
      </c>
      <c r="BC809" t="s">
        <v>125</v>
      </c>
      <c r="BD809" t="s">
        <v>125</v>
      </c>
      <c r="BE809" t="s">
        <v>125</v>
      </c>
      <c r="BF809" t="s">
        <v>125</v>
      </c>
      <c r="BG809" t="s">
        <v>125</v>
      </c>
      <c r="BH809">
        <v>1</v>
      </c>
      <c r="BI809">
        <v>0.96774199999999999</v>
      </c>
      <c r="BJ809">
        <v>0.94871799999999995</v>
      </c>
      <c r="BK809">
        <v>1</v>
      </c>
      <c r="BL809">
        <v>0.96774199999999999</v>
      </c>
      <c r="BM809">
        <v>0.94871799999999995</v>
      </c>
      <c r="BN809">
        <v>1</v>
      </c>
      <c r="BO809">
        <v>0.98412699999999997</v>
      </c>
      <c r="BP809">
        <v>0.97499999999999998</v>
      </c>
      <c r="BQ809">
        <v>1</v>
      </c>
      <c r="BR809">
        <v>0.12915099999999999</v>
      </c>
      <c r="BS809">
        <v>34.169741999999999</v>
      </c>
      <c r="BT809">
        <v>50</v>
      </c>
      <c r="BU809">
        <v>0.147929</v>
      </c>
      <c r="BV809">
        <v>30.414200999999998</v>
      </c>
      <c r="BW809">
        <v>50</v>
      </c>
      <c r="BX809">
        <v>0.72297299999999998</v>
      </c>
      <c r="BY809">
        <v>48.198197999999998</v>
      </c>
      <c r="BZ809">
        <v>50</v>
      </c>
      <c r="CA809">
        <v>0.189189</v>
      </c>
      <c r="CB809">
        <v>12.612613</v>
      </c>
      <c r="CC809">
        <v>50</v>
      </c>
      <c r="CD809">
        <v>0.90625</v>
      </c>
      <c r="CE809">
        <v>48.204787000000003</v>
      </c>
      <c r="CF809">
        <v>50</v>
      </c>
      <c r="CG809">
        <v>0.96923099999999995</v>
      </c>
      <c r="CH809">
        <v>100</v>
      </c>
      <c r="CI809">
        <v>100</v>
      </c>
      <c r="CJ809">
        <v>0</v>
      </c>
      <c r="CK809">
        <v>1</v>
      </c>
      <c r="CL809">
        <v>100</v>
      </c>
      <c r="CM809">
        <v>100</v>
      </c>
      <c r="CN809">
        <v>0.56923100000000004</v>
      </c>
      <c r="CO809">
        <v>75.897435999999999</v>
      </c>
      <c r="CP809">
        <v>100</v>
      </c>
      <c r="CQ809">
        <v>0.57894699999999999</v>
      </c>
      <c r="CR809">
        <v>1.2881359999999999</v>
      </c>
      <c r="CS809">
        <v>38.596491</v>
      </c>
      <c r="CT809">
        <v>50</v>
      </c>
      <c r="CU809">
        <v>0.70110700000000004</v>
      </c>
      <c r="CV809">
        <v>50</v>
      </c>
      <c r="CW809">
        <v>50</v>
      </c>
      <c r="CX809">
        <v>1</v>
      </c>
      <c r="CY809" t="s">
        <v>125</v>
      </c>
      <c r="CZ809" t="s">
        <v>125</v>
      </c>
      <c r="DA809">
        <v>15.314097</v>
      </c>
      <c r="DB809">
        <v>17.400950000000002</v>
      </c>
      <c r="DC809">
        <v>16.332519999999999</v>
      </c>
      <c r="DD809">
        <v>7.9891730000000001</v>
      </c>
      <c r="DE809">
        <v>1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Q809" t="s">
        <v>126</v>
      </c>
    </row>
    <row r="810" spans="1:121" x14ac:dyDescent="0.15">
      <c r="A810">
        <v>2018</v>
      </c>
      <c r="B810" t="s">
        <v>304</v>
      </c>
      <c r="C810" t="str">
        <f>"1160011"</f>
        <v>1160011</v>
      </c>
      <c r="D810" t="s">
        <v>966</v>
      </c>
      <c r="E810" t="str">
        <f>"1165111"</f>
        <v>1165111</v>
      </c>
      <c r="F810" t="s">
        <v>328</v>
      </c>
      <c r="G810">
        <v>6</v>
      </c>
      <c r="H810">
        <v>8</v>
      </c>
      <c r="J810" t="s">
        <v>331</v>
      </c>
      <c r="K810">
        <v>559.66611699999999</v>
      </c>
      <c r="L810">
        <v>900</v>
      </c>
      <c r="M810">
        <v>62.185124000000002</v>
      </c>
      <c r="N810">
        <v>3</v>
      </c>
      <c r="O810">
        <v>1</v>
      </c>
      <c r="P810">
        <v>65.648122999999998</v>
      </c>
      <c r="Q810">
        <v>43.765416000000002</v>
      </c>
      <c r="R810">
        <v>50</v>
      </c>
      <c r="S810">
        <v>60.370552000000004</v>
      </c>
      <c r="T810">
        <v>75</v>
      </c>
      <c r="U810">
        <v>40.247034999999997</v>
      </c>
      <c r="V810">
        <v>50</v>
      </c>
      <c r="W810">
        <v>54.147430999999997</v>
      </c>
      <c r="X810">
        <v>36.098286999999999</v>
      </c>
      <c r="Y810">
        <v>50</v>
      </c>
      <c r="Z810">
        <v>65.185489000000004</v>
      </c>
      <c r="AA810">
        <v>48.912238000000002</v>
      </c>
      <c r="AB810">
        <v>32.608158000000003</v>
      </c>
      <c r="AC810">
        <v>50</v>
      </c>
      <c r="AD810">
        <v>61.656731000000001</v>
      </c>
      <c r="AE810">
        <v>41.104486999999999</v>
      </c>
      <c r="AF810">
        <v>50</v>
      </c>
      <c r="AG810">
        <v>55.665846000000002</v>
      </c>
      <c r="AH810">
        <v>74.012930999999995</v>
      </c>
      <c r="AI810">
        <v>37.110563999999997</v>
      </c>
      <c r="AJ810">
        <v>50</v>
      </c>
      <c r="AK810">
        <v>14.62</v>
      </c>
      <c r="AL810">
        <v>16.27</v>
      </c>
      <c r="AM810">
        <v>18.34</v>
      </c>
      <c r="AN810">
        <v>0.53153399999999995</v>
      </c>
      <c r="AO810">
        <v>53.153353000000003</v>
      </c>
      <c r="AP810">
        <v>100</v>
      </c>
      <c r="AQ810">
        <v>0.44386199999999998</v>
      </c>
      <c r="AR810">
        <v>44.386161999999999</v>
      </c>
      <c r="AS810">
        <v>100</v>
      </c>
      <c r="AT810">
        <v>0.515683</v>
      </c>
      <c r="AU810">
        <v>0.56564199999999998</v>
      </c>
      <c r="AV810">
        <v>51.568317</v>
      </c>
      <c r="AW810">
        <v>100</v>
      </c>
      <c r="AX810">
        <v>0.37984800000000002</v>
      </c>
      <c r="AY810">
        <v>0.57918099999999995</v>
      </c>
      <c r="AZ810">
        <v>37.984825999999998</v>
      </c>
      <c r="BA810">
        <v>100</v>
      </c>
      <c r="BB810" t="s">
        <v>125</v>
      </c>
      <c r="BC810" t="s">
        <v>125</v>
      </c>
      <c r="BD810" t="s">
        <v>125</v>
      </c>
      <c r="BE810" t="s">
        <v>125</v>
      </c>
      <c r="BF810" t="s">
        <v>125</v>
      </c>
      <c r="BG810" t="s">
        <v>125</v>
      </c>
      <c r="BH810">
        <v>0</v>
      </c>
      <c r="BI810">
        <v>0.99272700000000003</v>
      </c>
      <c r="BJ810">
        <v>0.98936199999999996</v>
      </c>
      <c r="BK810">
        <v>1</v>
      </c>
      <c r="BL810">
        <v>0.98545499999999997</v>
      </c>
      <c r="BM810">
        <v>0.97872300000000001</v>
      </c>
      <c r="BN810">
        <v>1</v>
      </c>
      <c r="BO810">
        <v>0.99029100000000003</v>
      </c>
      <c r="BP810">
        <v>0.98571399999999998</v>
      </c>
      <c r="BQ810">
        <v>1</v>
      </c>
      <c r="BR810">
        <v>0.117216</v>
      </c>
      <c r="BS810">
        <v>36.556776999999997</v>
      </c>
      <c r="BT810">
        <v>50</v>
      </c>
      <c r="BU810">
        <v>0.16756799999999999</v>
      </c>
      <c r="BV810">
        <v>26.486485999999999</v>
      </c>
      <c r="BW810">
        <v>50</v>
      </c>
      <c r="BX810" t="s">
        <v>125</v>
      </c>
      <c r="BY810" t="s">
        <v>125</v>
      </c>
      <c r="BZ810" t="s">
        <v>125</v>
      </c>
      <c r="CA810" t="s">
        <v>125</v>
      </c>
      <c r="CB810" t="s">
        <v>125</v>
      </c>
      <c r="CC810" t="s">
        <v>125</v>
      </c>
      <c r="CD810">
        <v>0.92207799999999995</v>
      </c>
      <c r="CE810">
        <v>49.046697999999999</v>
      </c>
      <c r="CF810">
        <v>50</v>
      </c>
      <c r="CG810" t="s">
        <v>125</v>
      </c>
      <c r="CH810" t="s">
        <v>125</v>
      </c>
      <c r="CI810" t="s">
        <v>125</v>
      </c>
      <c r="CJ810" t="s">
        <v>125</v>
      </c>
      <c r="CK810" t="s">
        <v>125</v>
      </c>
      <c r="CL810" t="s">
        <v>125</v>
      </c>
      <c r="CM810" t="s">
        <v>125</v>
      </c>
      <c r="CN810" t="s">
        <v>125</v>
      </c>
      <c r="CO810" t="s">
        <v>125</v>
      </c>
      <c r="CP810" t="s">
        <v>125</v>
      </c>
      <c r="CQ810">
        <v>0.443243</v>
      </c>
      <c r="CR810">
        <v>0.97883600000000004</v>
      </c>
      <c r="CS810">
        <v>29.54955</v>
      </c>
      <c r="CT810">
        <v>50</v>
      </c>
      <c r="CU810" t="s">
        <v>125</v>
      </c>
      <c r="CV810" t="s">
        <v>125</v>
      </c>
      <c r="CW810" t="s">
        <v>125</v>
      </c>
      <c r="CX810" t="s">
        <v>125</v>
      </c>
      <c r="CY810" t="s">
        <v>125</v>
      </c>
      <c r="CZ810" t="s">
        <v>125</v>
      </c>
      <c r="DA810">
        <v>15.314097</v>
      </c>
      <c r="DB810">
        <v>17.400950000000002</v>
      </c>
      <c r="DC810">
        <v>16.332519999999999</v>
      </c>
      <c r="DD810" t="s">
        <v>125</v>
      </c>
      <c r="DE810">
        <v>1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Q810" t="s">
        <v>126</v>
      </c>
    </row>
    <row r="811" spans="1:121" x14ac:dyDescent="0.15">
      <c r="A811">
        <v>2018</v>
      </c>
      <c r="B811" t="s">
        <v>246</v>
      </c>
      <c r="C811" t="str">
        <f>"1170011"</f>
        <v>1170011</v>
      </c>
      <c r="D811" t="s">
        <v>967</v>
      </c>
      <c r="E811" t="str">
        <f>"1175111"</f>
        <v>1175111</v>
      </c>
      <c r="F811" t="s">
        <v>328</v>
      </c>
      <c r="G811">
        <v>5</v>
      </c>
      <c r="H811">
        <v>8</v>
      </c>
      <c r="I811" t="s">
        <v>330</v>
      </c>
      <c r="J811" t="s">
        <v>331</v>
      </c>
      <c r="K811">
        <v>726.35294999999996</v>
      </c>
      <c r="L811">
        <v>900</v>
      </c>
      <c r="M811">
        <v>80.705883</v>
      </c>
      <c r="N811">
        <v>2</v>
      </c>
      <c r="O811">
        <v>0</v>
      </c>
      <c r="P811">
        <v>81.427925000000002</v>
      </c>
      <c r="Q811">
        <v>50</v>
      </c>
      <c r="R811">
        <v>50</v>
      </c>
      <c r="S811">
        <v>68.060675000000003</v>
      </c>
      <c r="T811">
        <v>75</v>
      </c>
      <c r="U811">
        <v>45.373783000000003</v>
      </c>
      <c r="V811">
        <v>50</v>
      </c>
      <c r="W811">
        <v>78.520539999999997</v>
      </c>
      <c r="X811">
        <v>50</v>
      </c>
      <c r="Y811">
        <v>50</v>
      </c>
      <c r="Z811">
        <v>75</v>
      </c>
      <c r="AA811">
        <v>63.193927000000002</v>
      </c>
      <c r="AB811">
        <v>42.129285000000003</v>
      </c>
      <c r="AC811">
        <v>50</v>
      </c>
      <c r="AD811">
        <v>74.792827000000003</v>
      </c>
      <c r="AE811">
        <v>49.861885000000001</v>
      </c>
      <c r="AF811">
        <v>50</v>
      </c>
      <c r="AG811">
        <v>63.053854000000001</v>
      </c>
      <c r="AH811">
        <v>75</v>
      </c>
      <c r="AI811">
        <v>42.035902999999998</v>
      </c>
      <c r="AJ811">
        <v>50</v>
      </c>
      <c r="AK811">
        <v>6.93</v>
      </c>
      <c r="AL811">
        <v>11.8</v>
      </c>
      <c r="AM811">
        <v>11.94</v>
      </c>
      <c r="AN811">
        <v>0.63442500000000002</v>
      </c>
      <c r="AO811">
        <v>63.442543999999998</v>
      </c>
      <c r="AP811">
        <v>100</v>
      </c>
      <c r="AQ811">
        <v>0.71173699999999995</v>
      </c>
      <c r="AR811">
        <v>71.173692000000003</v>
      </c>
      <c r="AS811">
        <v>100</v>
      </c>
      <c r="AT811">
        <v>0.53056499999999995</v>
      </c>
      <c r="AU811">
        <v>0.666099</v>
      </c>
      <c r="AV811">
        <v>53.056455</v>
      </c>
      <c r="AW811">
        <v>100</v>
      </c>
      <c r="AX811">
        <v>0.59279400000000004</v>
      </c>
      <c r="AY811">
        <v>0.74758800000000003</v>
      </c>
      <c r="AZ811">
        <v>59.279404999999997</v>
      </c>
      <c r="BA811">
        <v>100</v>
      </c>
      <c r="BB811" t="s">
        <v>125</v>
      </c>
      <c r="BC811" t="s">
        <v>125</v>
      </c>
      <c r="BD811" t="s">
        <v>125</v>
      </c>
      <c r="BE811" t="s">
        <v>125</v>
      </c>
      <c r="BF811" t="s">
        <v>125</v>
      </c>
      <c r="BG811" t="s">
        <v>125</v>
      </c>
      <c r="BH811">
        <v>0</v>
      </c>
      <c r="BI811">
        <v>0.98966399999999999</v>
      </c>
      <c r="BJ811">
        <v>0.98969099999999999</v>
      </c>
      <c r="BK811">
        <v>0.98965499999999995</v>
      </c>
      <c r="BL811">
        <v>0.98966399999999999</v>
      </c>
      <c r="BM811">
        <v>0.98969099999999999</v>
      </c>
      <c r="BN811">
        <v>0.98965499999999995</v>
      </c>
      <c r="BO811">
        <v>0.99481900000000001</v>
      </c>
      <c r="BP811">
        <v>1</v>
      </c>
      <c r="BQ811">
        <v>0.99337699999999995</v>
      </c>
      <c r="BR811">
        <v>2.3255999999999999E-2</v>
      </c>
      <c r="BS811">
        <v>50</v>
      </c>
      <c r="BT811">
        <v>50</v>
      </c>
      <c r="BU811">
        <v>4.3011000000000001E-2</v>
      </c>
      <c r="BV811">
        <v>50</v>
      </c>
      <c r="BW811">
        <v>50</v>
      </c>
      <c r="BX811" t="s">
        <v>125</v>
      </c>
      <c r="BY811" t="s">
        <v>125</v>
      </c>
      <c r="BZ811" t="s">
        <v>125</v>
      </c>
      <c r="CA811" t="s">
        <v>125</v>
      </c>
      <c r="CB811" t="s">
        <v>125</v>
      </c>
      <c r="CC811" t="s">
        <v>125</v>
      </c>
      <c r="CD811">
        <v>1</v>
      </c>
      <c r="CE811">
        <v>50</v>
      </c>
      <c r="CF811">
        <v>50</v>
      </c>
      <c r="CG811" t="s">
        <v>125</v>
      </c>
      <c r="CH811" t="s">
        <v>125</v>
      </c>
      <c r="CI811" t="s">
        <v>125</v>
      </c>
      <c r="CJ811" t="s">
        <v>125</v>
      </c>
      <c r="CK811" t="s">
        <v>125</v>
      </c>
      <c r="CL811" t="s">
        <v>125</v>
      </c>
      <c r="CM811" t="s">
        <v>125</v>
      </c>
      <c r="CN811" t="s">
        <v>125</v>
      </c>
      <c r="CO811" t="s">
        <v>125</v>
      </c>
      <c r="CP811" t="s">
        <v>125</v>
      </c>
      <c r="CQ811">
        <v>0.83157899999999996</v>
      </c>
      <c r="CR811">
        <v>0.91787399999999997</v>
      </c>
      <c r="CS811">
        <v>50</v>
      </c>
      <c r="CT811">
        <v>50</v>
      </c>
      <c r="CU811" t="s">
        <v>125</v>
      </c>
      <c r="CV811" t="s">
        <v>125</v>
      </c>
      <c r="CW811" t="s">
        <v>125</v>
      </c>
      <c r="CX811" t="s">
        <v>125</v>
      </c>
      <c r="CY811" t="s">
        <v>125</v>
      </c>
      <c r="CZ811" t="s">
        <v>125</v>
      </c>
      <c r="DA811">
        <v>15.314097</v>
      </c>
      <c r="DB811">
        <v>17.400950000000002</v>
      </c>
      <c r="DC811">
        <v>16.332519999999999</v>
      </c>
      <c r="DD811" t="s">
        <v>125</v>
      </c>
      <c r="DE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Q811" t="s">
        <v>126</v>
      </c>
    </row>
    <row r="812" spans="1:121" x14ac:dyDescent="0.15">
      <c r="A812">
        <v>2018</v>
      </c>
      <c r="B812" t="s">
        <v>246</v>
      </c>
      <c r="C812" t="str">
        <f>"1170011"</f>
        <v>1170011</v>
      </c>
      <c r="D812" t="s">
        <v>968</v>
      </c>
      <c r="E812" t="str">
        <f>"1170111"</f>
        <v>1170111</v>
      </c>
      <c r="F812" t="s">
        <v>328</v>
      </c>
      <c r="G812" t="s">
        <v>329</v>
      </c>
      <c r="H812">
        <v>4</v>
      </c>
      <c r="I812" t="s">
        <v>330</v>
      </c>
      <c r="J812" t="s">
        <v>331</v>
      </c>
      <c r="K812">
        <v>487.31290200000001</v>
      </c>
      <c r="L812">
        <v>550</v>
      </c>
      <c r="M812">
        <v>88.602345999999997</v>
      </c>
      <c r="N812">
        <v>1</v>
      </c>
      <c r="O812">
        <v>0</v>
      </c>
      <c r="P812">
        <v>82.659357</v>
      </c>
      <c r="Q812">
        <v>50</v>
      </c>
      <c r="R812">
        <v>50</v>
      </c>
      <c r="S812">
        <v>66.218615999999997</v>
      </c>
      <c r="T812">
        <v>75</v>
      </c>
      <c r="U812">
        <v>44.145744000000001</v>
      </c>
      <c r="V812">
        <v>50</v>
      </c>
      <c r="W812">
        <v>83.521232999999995</v>
      </c>
      <c r="X812">
        <v>50</v>
      </c>
      <c r="Y812">
        <v>50</v>
      </c>
      <c r="Z812">
        <v>75</v>
      </c>
      <c r="AA812">
        <v>67.115677000000005</v>
      </c>
      <c r="AB812">
        <v>44.743783999999998</v>
      </c>
      <c r="AC812">
        <v>50</v>
      </c>
      <c r="AD812" t="s">
        <v>125</v>
      </c>
      <c r="AE812" t="s">
        <v>125</v>
      </c>
      <c r="AF812" t="s">
        <v>125</v>
      </c>
      <c r="AG812" t="s">
        <v>125</v>
      </c>
      <c r="AH812" t="s">
        <v>125</v>
      </c>
      <c r="AI812" t="s">
        <v>125</v>
      </c>
      <c r="AJ812" t="s">
        <v>125</v>
      </c>
      <c r="AK812">
        <v>8.7799999999999994</v>
      </c>
      <c r="AL812">
        <v>7.88</v>
      </c>
      <c r="AM812" t="s">
        <v>125</v>
      </c>
      <c r="AN812">
        <v>0.75021499999999997</v>
      </c>
      <c r="AO812">
        <v>75.021484000000001</v>
      </c>
      <c r="AP812">
        <v>100</v>
      </c>
      <c r="AQ812">
        <v>0.87802899999999995</v>
      </c>
      <c r="AR812">
        <v>87.802874000000003</v>
      </c>
      <c r="AS812">
        <v>100</v>
      </c>
      <c r="AT812" t="s">
        <v>125</v>
      </c>
      <c r="AU812">
        <v>0.74953199999999998</v>
      </c>
      <c r="AV812" t="s">
        <v>125</v>
      </c>
      <c r="AW812" t="s">
        <v>125</v>
      </c>
      <c r="AX812" t="s">
        <v>125</v>
      </c>
      <c r="AY812">
        <v>0.88643899999999998</v>
      </c>
      <c r="AZ812" t="s">
        <v>125</v>
      </c>
      <c r="BA812" t="s">
        <v>125</v>
      </c>
      <c r="BB812" t="s">
        <v>125</v>
      </c>
      <c r="BC812" t="s">
        <v>125</v>
      </c>
      <c r="BD812" t="s">
        <v>125</v>
      </c>
      <c r="BE812" t="s">
        <v>125</v>
      </c>
      <c r="BF812" t="s">
        <v>125</v>
      </c>
      <c r="BG812" t="s">
        <v>125</v>
      </c>
      <c r="BH812">
        <v>0</v>
      </c>
      <c r="BI812">
        <v>0.99333300000000002</v>
      </c>
      <c r="BJ812">
        <v>1</v>
      </c>
      <c r="BK812">
        <v>0.99152499999999999</v>
      </c>
      <c r="BL812">
        <v>0.98666699999999996</v>
      </c>
      <c r="BM812">
        <v>0.96875</v>
      </c>
      <c r="BN812">
        <v>0.99152499999999999</v>
      </c>
      <c r="BO812" t="s">
        <v>125</v>
      </c>
      <c r="BP812" t="s">
        <v>125</v>
      </c>
      <c r="BQ812" t="s">
        <v>125</v>
      </c>
      <c r="BR812">
        <v>4.6341E-2</v>
      </c>
      <c r="BS812">
        <v>50</v>
      </c>
      <c r="BT812">
        <v>50</v>
      </c>
      <c r="BU812">
        <v>6.5421000000000007E-2</v>
      </c>
      <c r="BV812">
        <v>46.915888000000002</v>
      </c>
      <c r="BW812">
        <v>50</v>
      </c>
      <c r="BX812" t="s">
        <v>125</v>
      </c>
      <c r="BY812" t="s">
        <v>125</v>
      </c>
      <c r="BZ812" t="s">
        <v>125</v>
      </c>
      <c r="CA812" t="s">
        <v>125</v>
      </c>
      <c r="CB812" t="s">
        <v>125</v>
      </c>
      <c r="CC812" t="s">
        <v>125</v>
      </c>
      <c r="CD812" t="s">
        <v>125</v>
      </c>
      <c r="CE812" t="s">
        <v>125</v>
      </c>
      <c r="CF812" t="s">
        <v>125</v>
      </c>
      <c r="CG812" t="s">
        <v>125</v>
      </c>
      <c r="CH812" t="s">
        <v>125</v>
      </c>
      <c r="CI812" t="s">
        <v>125</v>
      </c>
      <c r="CJ812" t="s">
        <v>125</v>
      </c>
      <c r="CK812" t="s">
        <v>125</v>
      </c>
      <c r="CL812" t="s">
        <v>125</v>
      </c>
      <c r="CM812" t="s">
        <v>125</v>
      </c>
      <c r="CN812" t="s">
        <v>125</v>
      </c>
      <c r="CO812" t="s">
        <v>125</v>
      </c>
      <c r="CP812" t="s">
        <v>125</v>
      </c>
      <c r="CQ812">
        <v>0.58024699999999996</v>
      </c>
      <c r="CR812">
        <v>1.0125</v>
      </c>
      <c r="CS812">
        <v>38.683128000000004</v>
      </c>
      <c r="CT812">
        <v>50</v>
      </c>
      <c r="CU812" t="s">
        <v>125</v>
      </c>
      <c r="CV812" t="s">
        <v>125</v>
      </c>
      <c r="CW812" t="s">
        <v>125</v>
      </c>
      <c r="CX812" t="s">
        <v>125</v>
      </c>
      <c r="CY812" t="s">
        <v>125</v>
      </c>
      <c r="CZ812" t="s">
        <v>125</v>
      </c>
      <c r="DA812">
        <v>15.314097</v>
      </c>
      <c r="DB812">
        <v>17.400950000000002</v>
      </c>
      <c r="DC812">
        <v>16.332519999999999</v>
      </c>
      <c r="DD812" t="s">
        <v>125</v>
      </c>
      <c r="DE812">
        <v>0</v>
      </c>
      <c r="DH812" t="s">
        <v>332</v>
      </c>
      <c r="DI812" t="s">
        <v>546</v>
      </c>
      <c r="DJ812">
        <v>1</v>
      </c>
      <c r="DK812">
        <v>0</v>
      </c>
      <c r="DL812">
        <v>1</v>
      </c>
      <c r="DM812">
        <v>0</v>
      </c>
      <c r="DN812">
        <v>0</v>
      </c>
      <c r="DO812">
        <v>0</v>
      </c>
      <c r="DQ812" t="s">
        <v>126</v>
      </c>
    </row>
    <row r="813" spans="1:121" x14ac:dyDescent="0.15">
      <c r="A813">
        <v>2018</v>
      </c>
      <c r="B813" t="s">
        <v>247</v>
      </c>
      <c r="C813" t="str">
        <f t="shared" ref="C813:C821" si="33">"1180011"</f>
        <v>1180011</v>
      </c>
      <c r="D813" t="s">
        <v>969</v>
      </c>
      <c r="E813" t="str">
        <f>"1180811"</f>
        <v>1180811</v>
      </c>
      <c r="F813" t="s">
        <v>328</v>
      </c>
      <c r="G813" t="s">
        <v>329</v>
      </c>
      <c r="H813">
        <v>5</v>
      </c>
      <c r="J813" t="s">
        <v>331</v>
      </c>
      <c r="K813">
        <v>689.00780799999995</v>
      </c>
      <c r="L813">
        <v>800</v>
      </c>
      <c r="M813">
        <v>86.125975999999994</v>
      </c>
      <c r="N813">
        <v>2</v>
      </c>
      <c r="O813">
        <v>0</v>
      </c>
      <c r="P813">
        <v>86.729033999999999</v>
      </c>
      <c r="Q813">
        <v>50</v>
      </c>
      <c r="R813">
        <v>50</v>
      </c>
      <c r="S813">
        <v>76.753944000000004</v>
      </c>
      <c r="T813">
        <v>75</v>
      </c>
      <c r="U813">
        <v>50</v>
      </c>
      <c r="V813">
        <v>50</v>
      </c>
      <c r="W813">
        <v>81.966068000000007</v>
      </c>
      <c r="X813">
        <v>50</v>
      </c>
      <c r="Y813">
        <v>50</v>
      </c>
      <c r="Z813">
        <v>75</v>
      </c>
      <c r="AA813">
        <v>71.053178000000003</v>
      </c>
      <c r="AB813">
        <v>47.368785000000003</v>
      </c>
      <c r="AC813">
        <v>50</v>
      </c>
      <c r="AD813">
        <v>82.477418999999998</v>
      </c>
      <c r="AE813">
        <v>50</v>
      </c>
      <c r="AF813">
        <v>50</v>
      </c>
      <c r="AG813" t="s">
        <v>125</v>
      </c>
      <c r="AH813">
        <v>75</v>
      </c>
      <c r="AI813" t="s">
        <v>125</v>
      </c>
      <c r="AJ813" t="s">
        <v>125</v>
      </c>
      <c r="AK813">
        <v>-1.75</v>
      </c>
      <c r="AL813">
        <v>3.94</v>
      </c>
      <c r="AM813" t="s">
        <v>125</v>
      </c>
      <c r="AN813">
        <v>0.79336600000000002</v>
      </c>
      <c r="AO813">
        <v>79.336555000000004</v>
      </c>
      <c r="AP813">
        <v>100</v>
      </c>
      <c r="AQ813">
        <v>0.76618799999999998</v>
      </c>
      <c r="AR813">
        <v>76.618762000000004</v>
      </c>
      <c r="AS813">
        <v>100</v>
      </c>
      <c r="AT813">
        <v>0.78261000000000003</v>
      </c>
      <c r="AU813">
        <v>0.79621600000000003</v>
      </c>
      <c r="AV813">
        <v>78.261015</v>
      </c>
      <c r="AW813">
        <v>100</v>
      </c>
      <c r="AX813">
        <v>0.70477100000000004</v>
      </c>
      <c r="AY813">
        <v>0.78246700000000002</v>
      </c>
      <c r="AZ813">
        <v>70.477121999999994</v>
      </c>
      <c r="BA813">
        <v>100</v>
      </c>
      <c r="BB813" t="s">
        <v>125</v>
      </c>
      <c r="BC813" t="s">
        <v>125</v>
      </c>
      <c r="BD813" t="s">
        <v>125</v>
      </c>
      <c r="BE813" t="s">
        <v>125</v>
      </c>
      <c r="BF813" t="s">
        <v>125</v>
      </c>
      <c r="BG813" t="s">
        <v>125</v>
      </c>
      <c r="BH813">
        <v>1</v>
      </c>
      <c r="BI813">
        <v>0.97515499999999999</v>
      </c>
      <c r="BJ813">
        <v>0.90625</v>
      </c>
      <c r="BK813">
        <v>0.99224800000000002</v>
      </c>
      <c r="BL813">
        <v>0.96894400000000003</v>
      </c>
      <c r="BM813">
        <v>0.90625</v>
      </c>
      <c r="BN813">
        <v>0.98449600000000004</v>
      </c>
      <c r="BO813">
        <v>0.94915300000000002</v>
      </c>
      <c r="BP813" t="s">
        <v>125</v>
      </c>
      <c r="BQ813">
        <v>0.97777800000000004</v>
      </c>
      <c r="BR813">
        <v>4.9383000000000003E-2</v>
      </c>
      <c r="BS813">
        <v>50</v>
      </c>
      <c r="BT813">
        <v>50</v>
      </c>
      <c r="BU813">
        <v>6.4102999999999993E-2</v>
      </c>
      <c r="BV813">
        <v>47.179487000000002</v>
      </c>
      <c r="BW813">
        <v>50</v>
      </c>
      <c r="BX813" t="s">
        <v>125</v>
      </c>
      <c r="BY813" t="s">
        <v>125</v>
      </c>
      <c r="BZ813" t="s">
        <v>125</v>
      </c>
      <c r="CA813" t="s">
        <v>125</v>
      </c>
      <c r="CB813" t="s">
        <v>125</v>
      </c>
      <c r="CC813" t="s">
        <v>125</v>
      </c>
      <c r="CD813" t="s">
        <v>125</v>
      </c>
      <c r="CE813" t="s">
        <v>125</v>
      </c>
      <c r="CF813" t="s">
        <v>125</v>
      </c>
      <c r="CG813" t="s">
        <v>125</v>
      </c>
      <c r="CH813" t="s">
        <v>125</v>
      </c>
      <c r="CI813" t="s">
        <v>125</v>
      </c>
      <c r="CJ813" t="s">
        <v>125</v>
      </c>
      <c r="CK813" t="s">
        <v>125</v>
      </c>
      <c r="CL813" t="s">
        <v>125</v>
      </c>
      <c r="CM813" t="s">
        <v>125</v>
      </c>
      <c r="CN813" t="s">
        <v>125</v>
      </c>
      <c r="CO813" t="s">
        <v>125</v>
      </c>
      <c r="CP813" t="s">
        <v>125</v>
      </c>
      <c r="CQ813">
        <v>0.59649099999999999</v>
      </c>
      <c r="CR813">
        <v>1</v>
      </c>
      <c r="CS813">
        <v>39.766081999999997</v>
      </c>
      <c r="CT813">
        <v>50</v>
      </c>
      <c r="CU813" t="s">
        <v>125</v>
      </c>
      <c r="CV813" t="s">
        <v>125</v>
      </c>
      <c r="CW813" t="s">
        <v>125</v>
      </c>
      <c r="CX813" t="s">
        <v>125</v>
      </c>
      <c r="CY813" t="s">
        <v>125</v>
      </c>
      <c r="CZ813" t="s">
        <v>125</v>
      </c>
      <c r="DA813">
        <v>15.314097</v>
      </c>
      <c r="DB813">
        <v>17.400950000000002</v>
      </c>
      <c r="DC813">
        <v>16.332519999999999</v>
      </c>
      <c r="DD813" t="s">
        <v>125</v>
      </c>
      <c r="DE813">
        <v>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Q813" t="s">
        <v>126</v>
      </c>
    </row>
    <row r="814" spans="1:121" x14ac:dyDescent="0.15">
      <c r="A814">
        <v>2018</v>
      </c>
      <c r="B814" t="s">
        <v>247</v>
      </c>
      <c r="C814" t="str">
        <f t="shared" si="33"/>
        <v>1180011</v>
      </c>
      <c r="D814" t="s">
        <v>970</v>
      </c>
      <c r="E814" t="str">
        <f>"1180611"</f>
        <v>1180611</v>
      </c>
      <c r="F814" t="s">
        <v>328</v>
      </c>
      <c r="G814" t="s">
        <v>329</v>
      </c>
      <c r="H814">
        <v>5</v>
      </c>
      <c r="I814" t="s">
        <v>330</v>
      </c>
      <c r="J814" t="s">
        <v>331</v>
      </c>
      <c r="K814">
        <v>669.18140100000005</v>
      </c>
      <c r="L814">
        <v>800</v>
      </c>
      <c r="M814">
        <v>83.647675000000007</v>
      </c>
      <c r="N814">
        <v>2</v>
      </c>
      <c r="O814">
        <v>0</v>
      </c>
      <c r="P814">
        <v>84.405852999999993</v>
      </c>
      <c r="Q814">
        <v>50</v>
      </c>
      <c r="R814">
        <v>50</v>
      </c>
      <c r="S814">
        <v>77.685723999999993</v>
      </c>
      <c r="T814">
        <v>75</v>
      </c>
      <c r="U814">
        <v>50</v>
      </c>
      <c r="V814">
        <v>50</v>
      </c>
      <c r="W814">
        <v>81.217895999999996</v>
      </c>
      <c r="X814">
        <v>50</v>
      </c>
      <c r="Y814">
        <v>50</v>
      </c>
      <c r="Z814">
        <v>75</v>
      </c>
      <c r="AA814">
        <v>76.952386000000004</v>
      </c>
      <c r="AB814">
        <v>50</v>
      </c>
      <c r="AC814">
        <v>50</v>
      </c>
      <c r="AD814">
        <v>78.556712000000005</v>
      </c>
      <c r="AE814">
        <v>50</v>
      </c>
      <c r="AF814">
        <v>50</v>
      </c>
      <c r="AG814" t="s">
        <v>125</v>
      </c>
      <c r="AH814">
        <v>75</v>
      </c>
      <c r="AI814" t="s">
        <v>125</v>
      </c>
      <c r="AJ814" t="s">
        <v>125</v>
      </c>
      <c r="AK814">
        <v>-2.68</v>
      </c>
      <c r="AL814">
        <v>-1.95</v>
      </c>
      <c r="AM814" t="s">
        <v>125</v>
      </c>
      <c r="AN814">
        <v>0.68276499999999996</v>
      </c>
      <c r="AO814">
        <v>68.276527000000002</v>
      </c>
      <c r="AP814">
        <v>100</v>
      </c>
      <c r="AQ814">
        <v>0.79445299999999996</v>
      </c>
      <c r="AR814">
        <v>79.445313999999996</v>
      </c>
      <c r="AS814">
        <v>100</v>
      </c>
      <c r="AT814">
        <v>0.59015600000000001</v>
      </c>
      <c r="AU814">
        <v>0.710453</v>
      </c>
      <c r="AV814">
        <v>59.015560999999998</v>
      </c>
      <c r="AW814">
        <v>100</v>
      </c>
      <c r="AX814">
        <v>0.80994699999999997</v>
      </c>
      <c r="AY814">
        <v>0.78977299999999995</v>
      </c>
      <c r="AZ814">
        <v>80.994721999999996</v>
      </c>
      <c r="BA814">
        <v>100</v>
      </c>
      <c r="BB814" t="s">
        <v>125</v>
      </c>
      <c r="BC814" t="s">
        <v>125</v>
      </c>
      <c r="BD814" t="s">
        <v>125</v>
      </c>
      <c r="BE814" t="s">
        <v>125</v>
      </c>
      <c r="BF814" t="s">
        <v>125</v>
      </c>
      <c r="BG814" t="s">
        <v>125</v>
      </c>
      <c r="BH814">
        <v>0</v>
      </c>
      <c r="BI814">
        <v>0.98412699999999997</v>
      </c>
      <c r="BJ814">
        <v>0.96078399999999997</v>
      </c>
      <c r="BK814">
        <v>0.99275400000000003</v>
      </c>
      <c r="BL814">
        <v>0.984043</v>
      </c>
      <c r="BM814">
        <v>0.96078399999999997</v>
      </c>
      <c r="BN814">
        <v>0.99270099999999994</v>
      </c>
      <c r="BO814">
        <v>0.98412699999999997</v>
      </c>
      <c r="BP814" t="s">
        <v>125</v>
      </c>
      <c r="BQ814">
        <v>1</v>
      </c>
      <c r="BR814">
        <v>2.2161E-2</v>
      </c>
      <c r="BS814">
        <v>50</v>
      </c>
      <c r="BT814">
        <v>50</v>
      </c>
      <c r="BU814">
        <v>6.6667000000000004E-2</v>
      </c>
      <c r="BV814">
        <v>46.666666999999997</v>
      </c>
      <c r="BW814">
        <v>50</v>
      </c>
      <c r="BX814" t="s">
        <v>125</v>
      </c>
      <c r="BY814" t="s">
        <v>125</v>
      </c>
      <c r="BZ814" t="s">
        <v>125</v>
      </c>
      <c r="CA814" t="s">
        <v>125</v>
      </c>
      <c r="CB814" t="s">
        <v>125</v>
      </c>
      <c r="CC814" t="s">
        <v>125</v>
      </c>
      <c r="CD814" t="s">
        <v>125</v>
      </c>
      <c r="CE814" t="s">
        <v>125</v>
      </c>
      <c r="CF814" t="s">
        <v>125</v>
      </c>
      <c r="CG814" t="s">
        <v>125</v>
      </c>
      <c r="CH814" t="s">
        <v>125</v>
      </c>
      <c r="CI814" t="s">
        <v>125</v>
      </c>
      <c r="CJ814" t="s">
        <v>125</v>
      </c>
      <c r="CK814" t="s">
        <v>125</v>
      </c>
      <c r="CL814" t="s">
        <v>125</v>
      </c>
      <c r="CM814" t="s">
        <v>125</v>
      </c>
      <c r="CN814" t="s">
        <v>125</v>
      </c>
      <c r="CO814" t="s">
        <v>125</v>
      </c>
      <c r="CP814" t="s">
        <v>125</v>
      </c>
      <c r="CQ814">
        <v>0.52173899999999995</v>
      </c>
      <c r="CR814">
        <v>1</v>
      </c>
      <c r="CS814">
        <v>34.782609000000001</v>
      </c>
      <c r="CT814">
        <v>50</v>
      </c>
      <c r="CU814" t="s">
        <v>125</v>
      </c>
      <c r="CV814" t="s">
        <v>125</v>
      </c>
      <c r="CW814" t="s">
        <v>125</v>
      </c>
      <c r="CX814" t="s">
        <v>125</v>
      </c>
      <c r="CY814" t="s">
        <v>125</v>
      </c>
      <c r="CZ814" t="s">
        <v>125</v>
      </c>
      <c r="DA814">
        <v>15.314097</v>
      </c>
      <c r="DB814">
        <v>17.400950000000002</v>
      </c>
      <c r="DC814">
        <v>16.332519999999999</v>
      </c>
      <c r="DD814" t="s">
        <v>125</v>
      </c>
      <c r="DE814">
        <v>0</v>
      </c>
      <c r="DH814" t="s">
        <v>332</v>
      </c>
      <c r="DI814" t="s">
        <v>432</v>
      </c>
      <c r="DJ814">
        <v>0</v>
      </c>
      <c r="DK814">
        <v>0</v>
      </c>
      <c r="DL814">
        <v>0</v>
      </c>
      <c r="DM814">
        <v>0</v>
      </c>
      <c r="DN814">
        <v>1</v>
      </c>
      <c r="DO814">
        <v>0</v>
      </c>
      <c r="DQ814" t="s">
        <v>126</v>
      </c>
    </row>
    <row r="815" spans="1:121" x14ac:dyDescent="0.15">
      <c r="A815">
        <v>2018</v>
      </c>
      <c r="B815" t="s">
        <v>247</v>
      </c>
      <c r="C815" t="str">
        <f t="shared" si="33"/>
        <v>1180011</v>
      </c>
      <c r="D815" t="s">
        <v>971</v>
      </c>
      <c r="E815" t="str">
        <f>"1185111"</f>
        <v>1185111</v>
      </c>
      <c r="F815" t="s">
        <v>328</v>
      </c>
      <c r="G815">
        <v>6</v>
      </c>
      <c r="H815">
        <v>8</v>
      </c>
      <c r="I815" t="s">
        <v>330</v>
      </c>
      <c r="J815" t="s">
        <v>331</v>
      </c>
      <c r="K815">
        <v>737.72578899999996</v>
      </c>
      <c r="L815">
        <v>900</v>
      </c>
      <c r="M815">
        <v>81.969532000000001</v>
      </c>
      <c r="N815">
        <v>2</v>
      </c>
      <c r="O815">
        <v>0</v>
      </c>
      <c r="P815">
        <v>81.659301999999997</v>
      </c>
      <c r="Q815">
        <v>50</v>
      </c>
      <c r="R815">
        <v>50</v>
      </c>
      <c r="S815">
        <v>67.790000000000006</v>
      </c>
      <c r="T815">
        <v>75</v>
      </c>
      <c r="U815">
        <v>45.193334</v>
      </c>
      <c r="V815">
        <v>50</v>
      </c>
      <c r="W815">
        <v>78.475414999999998</v>
      </c>
      <c r="X815">
        <v>50</v>
      </c>
      <c r="Y815">
        <v>50</v>
      </c>
      <c r="Z815">
        <v>75</v>
      </c>
      <c r="AA815">
        <v>61.584704000000002</v>
      </c>
      <c r="AB815">
        <v>41.056469</v>
      </c>
      <c r="AC815">
        <v>50</v>
      </c>
      <c r="AD815">
        <v>75.737705000000005</v>
      </c>
      <c r="AE815">
        <v>50</v>
      </c>
      <c r="AF815">
        <v>50</v>
      </c>
      <c r="AG815">
        <v>61.807623</v>
      </c>
      <c r="AH815">
        <v>75</v>
      </c>
      <c r="AI815">
        <v>41.205081999999997</v>
      </c>
      <c r="AJ815">
        <v>50</v>
      </c>
      <c r="AK815">
        <v>7.2</v>
      </c>
      <c r="AL815">
        <v>13.41</v>
      </c>
      <c r="AM815">
        <v>13.19</v>
      </c>
      <c r="AN815">
        <v>0.638401</v>
      </c>
      <c r="AO815">
        <v>63.840111999999998</v>
      </c>
      <c r="AP815">
        <v>100</v>
      </c>
      <c r="AQ815">
        <v>0.77626799999999996</v>
      </c>
      <c r="AR815">
        <v>77.626819999999995</v>
      </c>
      <c r="AS815">
        <v>100</v>
      </c>
      <c r="AT815">
        <v>0.631745</v>
      </c>
      <c r="AU815">
        <v>0.63967099999999999</v>
      </c>
      <c r="AV815">
        <v>63.174512999999997</v>
      </c>
      <c r="AW815">
        <v>100</v>
      </c>
      <c r="AX815">
        <v>0.61858999999999997</v>
      </c>
      <c r="AY815">
        <v>0.80642199999999997</v>
      </c>
      <c r="AZ815">
        <v>61.858963000000003</v>
      </c>
      <c r="BA815">
        <v>100</v>
      </c>
      <c r="BB815" t="s">
        <v>125</v>
      </c>
      <c r="BC815" t="s">
        <v>125</v>
      </c>
      <c r="BD815" t="s">
        <v>125</v>
      </c>
      <c r="BE815" t="s">
        <v>125</v>
      </c>
      <c r="BF815" t="s">
        <v>125</v>
      </c>
      <c r="BG815" t="s">
        <v>125</v>
      </c>
      <c r="BH815">
        <v>0</v>
      </c>
      <c r="BI815">
        <v>0.99062499999999998</v>
      </c>
      <c r="BJ815">
        <v>0.98275900000000005</v>
      </c>
      <c r="BK815">
        <v>0.99236599999999997</v>
      </c>
      <c r="BL815">
        <v>0.98906300000000003</v>
      </c>
      <c r="BM815">
        <v>0.98275900000000005</v>
      </c>
      <c r="BN815">
        <v>0.99045799999999995</v>
      </c>
      <c r="BO815">
        <v>0.97619</v>
      </c>
      <c r="BP815">
        <v>0.95121999999999995</v>
      </c>
      <c r="BQ815">
        <v>0.981043</v>
      </c>
      <c r="BR815">
        <v>3.125E-2</v>
      </c>
      <c r="BS815">
        <v>50</v>
      </c>
      <c r="BT815">
        <v>50</v>
      </c>
      <c r="BU815">
        <v>7.9645999999999995E-2</v>
      </c>
      <c r="BV815">
        <v>44.070796000000001</v>
      </c>
      <c r="BW815">
        <v>50</v>
      </c>
      <c r="BX815" t="s">
        <v>125</v>
      </c>
      <c r="BY815" t="s">
        <v>125</v>
      </c>
      <c r="BZ815" t="s">
        <v>125</v>
      </c>
      <c r="CA815" t="s">
        <v>125</v>
      </c>
      <c r="CB815" t="s">
        <v>125</v>
      </c>
      <c r="CC815" t="s">
        <v>125</v>
      </c>
      <c r="CD815">
        <v>1</v>
      </c>
      <c r="CE815">
        <v>50</v>
      </c>
      <c r="CF815">
        <v>50</v>
      </c>
      <c r="CG815" t="s">
        <v>125</v>
      </c>
      <c r="CH815" t="s">
        <v>125</v>
      </c>
      <c r="CI815" t="s">
        <v>125</v>
      </c>
      <c r="CJ815" t="s">
        <v>125</v>
      </c>
      <c r="CK815" t="s">
        <v>125</v>
      </c>
      <c r="CL815" t="s">
        <v>125</v>
      </c>
      <c r="CM815" t="s">
        <v>125</v>
      </c>
      <c r="CN815" t="s">
        <v>125</v>
      </c>
      <c r="CO815" t="s">
        <v>125</v>
      </c>
      <c r="CP815" t="s">
        <v>125</v>
      </c>
      <c r="CQ815">
        <v>0.74549500000000002</v>
      </c>
      <c r="CR815">
        <v>0.98886399999999997</v>
      </c>
      <c r="CS815">
        <v>49.6997</v>
      </c>
      <c r="CT815">
        <v>50</v>
      </c>
      <c r="CU815" t="s">
        <v>125</v>
      </c>
      <c r="CV815" t="s">
        <v>125</v>
      </c>
      <c r="CW815" t="s">
        <v>125</v>
      </c>
      <c r="CX815" t="s">
        <v>125</v>
      </c>
      <c r="CY815" t="s">
        <v>125</v>
      </c>
      <c r="CZ815" t="s">
        <v>125</v>
      </c>
      <c r="DA815">
        <v>15.314097</v>
      </c>
      <c r="DB815">
        <v>17.400950000000002</v>
      </c>
      <c r="DC815">
        <v>16.332519999999999</v>
      </c>
      <c r="DD815" t="s">
        <v>125</v>
      </c>
      <c r="DE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Q815" t="s">
        <v>126</v>
      </c>
    </row>
    <row r="816" spans="1:121" x14ac:dyDescent="0.15">
      <c r="A816">
        <v>2018</v>
      </c>
      <c r="B816" t="s">
        <v>247</v>
      </c>
      <c r="C816" t="str">
        <f t="shared" si="33"/>
        <v>1180011</v>
      </c>
      <c r="D816" t="s">
        <v>972</v>
      </c>
      <c r="E816" t="str">
        <f>"1180411"</f>
        <v>1180411</v>
      </c>
      <c r="F816" t="s">
        <v>328</v>
      </c>
      <c r="G816" t="s">
        <v>329</v>
      </c>
      <c r="H816">
        <v>5</v>
      </c>
      <c r="J816" t="s">
        <v>331</v>
      </c>
      <c r="K816">
        <v>540.91466800000001</v>
      </c>
      <c r="L816">
        <v>600</v>
      </c>
      <c r="M816">
        <v>90.152445</v>
      </c>
      <c r="N816">
        <v>1</v>
      </c>
      <c r="O816">
        <v>0</v>
      </c>
      <c r="P816">
        <v>85.217923999999996</v>
      </c>
      <c r="Q816">
        <v>50</v>
      </c>
      <c r="R816">
        <v>50</v>
      </c>
      <c r="S816">
        <v>74.697421000000006</v>
      </c>
      <c r="T816">
        <v>75</v>
      </c>
      <c r="U816">
        <v>49.798281000000003</v>
      </c>
      <c r="V816">
        <v>50</v>
      </c>
      <c r="W816">
        <v>81.701880000000003</v>
      </c>
      <c r="X816">
        <v>50</v>
      </c>
      <c r="Y816">
        <v>50</v>
      </c>
      <c r="Z816">
        <v>75</v>
      </c>
      <c r="AA816">
        <v>69.663223000000002</v>
      </c>
      <c r="AB816">
        <v>46.442149000000001</v>
      </c>
      <c r="AC816">
        <v>50</v>
      </c>
      <c r="AD816">
        <v>82.911974000000001</v>
      </c>
      <c r="AE816">
        <v>50</v>
      </c>
      <c r="AF816">
        <v>50</v>
      </c>
      <c r="AG816" t="s">
        <v>125</v>
      </c>
      <c r="AH816">
        <v>75</v>
      </c>
      <c r="AI816" t="s">
        <v>125</v>
      </c>
      <c r="AJ816" t="s">
        <v>125</v>
      </c>
      <c r="AK816">
        <v>0.3</v>
      </c>
      <c r="AL816">
        <v>5.33</v>
      </c>
      <c r="AM816" t="s">
        <v>125</v>
      </c>
      <c r="AN816">
        <v>0.77825</v>
      </c>
      <c r="AO816">
        <v>77.825038000000006</v>
      </c>
      <c r="AP816">
        <v>100</v>
      </c>
      <c r="AQ816">
        <v>0.82643999999999995</v>
      </c>
      <c r="AR816">
        <v>82.643968000000001</v>
      </c>
      <c r="AS816">
        <v>100</v>
      </c>
      <c r="AT816" t="s">
        <v>125</v>
      </c>
      <c r="AU816">
        <v>0.80428999999999995</v>
      </c>
      <c r="AV816" t="s">
        <v>125</v>
      </c>
      <c r="AW816" t="s">
        <v>125</v>
      </c>
      <c r="AX816" t="s">
        <v>125</v>
      </c>
      <c r="AY816">
        <v>0.83829900000000002</v>
      </c>
      <c r="AZ816" t="s">
        <v>125</v>
      </c>
      <c r="BA816" t="s">
        <v>125</v>
      </c>
      <c r="BB816" t="s">
        <v>125</v>
      </c>
      <c r="BC816" t="s">
        <v>125</v>
      </c>
      <c r="BD816" t="s">
        <v>125</v>
      </c>
      <c r="BE816" t="s">
        <v>125</v>
      </c>
      <c r="BF816" t="s">
        <v>125</v>
      </c>
      <c r="BG816" t="s">
        <v>125</v>
      </c>
      <c r="BH816">
        <v>0</v>
      </c>
      <c r="BI816">
        <v>0.99401200000000001</v>
      </c>
      <c r="BJ816">
        <v>0.96666700000000005</v>
      </c>
      <c r="BK816">
        <v>1</v>
      </c>
      <c r="BL816">
        <v>0.99401200000000001</v>
      </c>
      <c r="BM816">
        <v>0.96666700000000005</v>
      </c>
      <c r="BN816">
        <v>1</v>
      </c>
      <c r="BO816">
        <v>1</v>
      </c>
      <c r="BP816" t="s">
        <v>125</v>
      </c>
      <c r="BQ816">
        <v>1</v>
      </c>
      <c r="BR816">
        <v>5.1020000000000003E-2</v>
      </c>
      <c r="BS816">
        <v>49.795918</v>
      </c>
      <c r="BT816">
        <v>50</v>
      </c>
      <c r="BU816">
        <v>5.4053999999999998E-2</v>
      </c>
      <c r="BV816">
        <v>49.189188999999999</v>
      </c>
      <c r="BW816">
        <v>50</v>
      </c>
      <c r="BX816" t="s">
        <v>125</v>
      </c>
      <c r="BY816" t="s">
        <v>125</v>
      </c>
      <c r="BZ816" t="s">
        <v>125</v>
      </c>
      <c r="CA816" t="s">
        <v>125</v>
      </c>
      <c r="CB816" t="s">
        <v>125</v>
      </c>
      <c r="CC816" t="s">
        <v>125</v>
      </c>
      <c r="CD816" t="s">
        <v>125</v>
      </c>
      <c r="CE816" t="s">
        <v>125</v>
      </c>
      <c r="CF816" t="s">
        <v>125</v>
      </c>
      <c r="CG816" t="s">
        <v>125</v>
      </c>
      <c r="CH816" t="s">
        <v>125</v>
      </c>
      <c r="CI816" t="s">
        <v>125</v>
      </c>
      <c r="CJ816" t="s">
        <v>125</v>
      </c>
      <c r="CK816" t="s">
        <v>125</v>
      </c>
      <c r="CL816" t="s">
        <v>125</v>
      </c>
      <c r="CM816" t="s">
        <v>125</v>
      </c>
      <c r="CN816" t="s">
        <v>125</v>
      </c>
      <c r="CO816" t="s">
        <v>125</v>
      </c>
      <c r="CP816" t="s">
        <v>125</v>
      </c>
      <c r="CQ816">
        <v>0.52830200000000005</v>
      </c>
      <c r="CR816">
        <v>0.96363600000000005</v>
      </c>
      <c r="CS816">
        <v>35.220126</v>
      </c>
      <c r="CT816">
        <v>50</v>
      </c>
      <c r="CU816" t="s">
        <v>125</v>
      </c>
      <c r="CV816" t="s">
        <v>125</v>
      </c>
      <c r="CW816" t="s">
        <v>125</v>
      </c>
      <c r="CX816" t="s">
        <v>125</v>
      </c>
      <c r="CY816" t="s">
        <v>125</v>
      </c>
      <c r="CZ816" t="s">
        <v>125</v>
      </c>
      <c r="DA816">
        <v>15.314097</v>
      </c>
      <c r="DB816">
        <v>17.400950000000002</v>
      </c>
      <c r="DC816">
        <v>16.332519999999999</v>
      </c>
      <c r="DD816" t="s">
        <v>125</v>
      </c>
      <c r="DE816">
        <v>0</v>
      </c>
      <c r="DH816" t="s">
        <v>332</v>
      </c>
      <c r="DI816" t="s">
        <v>739</v>
      </c>
      <c r="DJ816">
        <v>1</v>
      </c>
      <c r="DK816">
        <v>1</v>
      </c>
      <c r="DL816">
        <v>0</v>
      </c>
      <c r="DM816">
        <v>0</v>
      </c>
      <c r="DN816">
        <v>0</v>
      </c>
      <c r="DO816">
        <v>0</v>
      </c>
      <c r="DQ816" t="s">
        <v>126</v>
      </c>
    </row>
    <row r="817" spans="1:121" x14ac:dyDescent="0.15">
      <c r="A817">
        <v>2018</v>
      </c>
      <c r="B817" t="s">
        <v>247</v>
      </c>
      <c r="C817" t="str">
        <f t="shared" si="33"/>
        <v>1180011</v>
      </c>
      <c r="D817" t="s">
        <v>973</v>
      </c>
      <c r="E817" t="str">
        <f>"1180311"</f>
        <v>1180311</v>
      </c>
      <c r="F817" t="s">
        <v>328</v>
      </c>
      <c r="G817" t="s">
        <v>329</v>
      </c>
      <c r="H817">
        <v>5</v>
      </c>
      <c r="I817" t="s">
        <v>330</v>
      </c>
      <c r="J817" t="s">
        <v>331</v>
      </c>
      <c r="K817">
        <v>554.16557799999998</v>
      </c>
      <c r="L817">
        <v>600</v>
      </c>
      <c r="M817">
        <v>92.360929999999996</v>
      </c>
      <c r="N817">
        <v>1</v>
      </c>
      <c r="O817">
        <v>0</v>
      </c>
      <c r="P817">
        <v>87.651092000000006</v>
      </c>
      <c r="Q817">
        <v>50</v>
      </c>
      <c r="R817">
        <v>50</v>
      </c>
      <c r="S817">
        <v>73.179657000000006</v>
      </c>
      <c r="T817">
        <v>75</v>
      </c>
      <c r="U817">
        <v>48.786437999999997</v>
      </c>
      <c r="V817">
        <v>50</v>
      </c>
      <c r="W817">
        <v>84.697042999999994</v>
      </c>
      <c r="X817">
        <v>50</v>
      </c>
      <c r="Y817">
        <v>50</v>
      </c>
      <c r="Z817">
        <v>75</v>
      </c>
      <c r="AA817">
        <v>67.421453999999997</v>
      </c>
      <c r="AB817">
        <v>44.947636000000003</v>
      </c>
      <c r="AC817">
        <v>50</v>
      </c>
      <c r="AD817">
        <v>86.512406999999996</v>
      </c>
      <c r="AE817">
        <v>50</v>
      </c>
      <c r="AF817">
        <v>50</v>
      </c>
      <c r="AG817" t="s">
        <v>125</v>
      </c>
      <c r="AH817">
        <v>75</v>
      </c>
      <c r="AI817" t="s">
        <v>125</v>
      </c>
      <c r="AJ817" t="s">
        <v>125</v>
      </c>
      <c r="AK817">
        <v>1.82</v>
      </c>
      <c r="AL817">
        <v>7.57</v>
      </c>
      <c r="AM817" t="s">
        <v>125</v>
      </c>
      <c r="AN817">
        <v>0.86365000000000003</v>
      </c>
      <c r="AO817">
        <v>86.365010999999996</v>
      </c>
      <c r="AP817">
        <v>100</v>
      </c>
      <c r="AQ817">
        <v>0.81891800000000003</v>
      </c>
      <c r="AR817">
        <v>81.891806000000003</v>
      </c>
      <c r="AS817">
        <v>100</v>
      </c>
      <c r="AT817" t="s">
        <v>125</v>
      </c>
      <c r="AU817">
        <v>0.87722199999999995</v>
      </c>
      <c r="AV817" t="s">
        <v>125</v>
      </c>
      <c r="AW817" t="s">
        <v>125</v>
      </c>
      <c r="AX817" t="s">
        <v>125</v>
      </c>
      <c r="AY817">
        <v>0.86979799999999996</v>
      </c>
      <c r="AZ817" t="s">
        <v>125</v>
      </c>
      <c r="BA817" t="s">
        <v>125</v>
      </c>
      <c r="BB817" t="s">
        <v>125</v>
      </c>
      <c r="BC817" t="s">
        <v>125</v>
      </c>
      <c r="BD817" t="s">
        <v>125</v>
      </c>
      <c r="BE817" t="s">
        <v>125</v>
      </c>
      <c r="BF817" t="s">
        <v>125</v>
      </c>
      <c r="BG817" t="s">
        <v>125</v>
      </c>
      <c r="BH817">
        <v>0</v>
      </c>
      <c r="BI817">
        <v>0.98787899999999995</v>
      </c>
      <c r="BJ817">
        <v>1</v>
      </c>
      <c r="BK817">
        <v>0.98484799999999995</v>
      </c>
      <c r="BL817">
        <v>0.98787899999999995</v>
      </c>
      <c r="BM817">
        <v>1</v>
      </c>
      <c r="BN817">
        <v>0.98484799999999995</v>
      </c>
      <c r="BO817">
        <v>0.981132</v>
      </c>
      <c r="BP817" t="s">
        <v>125</v>
      </c>
      <c r="BQ817">
        <v>0.97727299999999995</v>
      </c>
      <c r="BR817">
        <v>3.9393999999999998E-2</v>
      </c>
      <c r="BS817">
        <v>50</v>
      </c>
      <c r="BT817">
        <v>50</v>
      </c>
      <c r="BU817">
        <v>5.8824000000000001E-2</v>
      </c>
      <c r="BV817">
        <v>48.235294000000003</v>
      </c>
      <c r="BW817">
        <v>50</v>
      </c>
      <c r="BX817" t="s">
        <v>125</v>
      </c>
      <c r="BY817" t="s">
        <v>125</v>
      </c>
      <c r="BZ817" t="s">
        <v>125</v>
      </c>
      <c r="CA817" t="s">
        <v>125</v>
      </c>
      <c r="CB817" t="s">
        <v>125</v>
      </c>
      <c r="CC817" t="s">
        <v>125</v>
      </c>
      <c r="CD817" t="s">
        <v>125</v>
      </c>
      <c r="CE817" t="s">
        <v>125</v>
      </c>
      <c r="CF817" t="s">
        <v>125</v>
      </c>
      <c r="CG817" t="s">
        <v>125</v>
      </c>
      <c r="CH817" t="s">
        <v>125</v>
      </c>
      <c r="CI817" t="s">
        <v>125</v>
      </c>
      <c r="CJ817" t="s">
        <v>125</v>
      </c>
      <c r="CK817" t="s">
        <v>125</v>
      </c>
      <c r="CL817" t="s">
        <v>125</v>
      </c>
      <c r="CM817" t="s">
        <v>125</v>
      </c>
      <c r="CN817" t="s">
        <v>125</v>
      </c>
      <c r="CO817" t="s">
        <v>125</v>
      </c>
      <c r="CP817" t="s">
        <v>125</v>
      </c>
      <c r="CQ817">
        <v>0.65909099999999998</v>
      </c>
      <c r="CR817">
        <v>0.97777800000000004</v>
      </c>
      <c r="CS817">
        <v>43.939394</v>
      </c>
      <c r="CT817">
        <v>50</v>
      </c>
      <c r="CU817" t="s">
        <v>125</v>
      </c>
      <c r="CV817" t="s">
        <v>125</v>
      </c>
      <c r="CW817" t="s">
        <v>125</v>
      </c>
      <c r="CX817" t="s">
        <v>125</v>
      </c>
      <c r="CY817" t="s">
        <v>125</v>
      </c>
      <c r="CZ817" t="s">
        <v>125</v>
      </c>
      <c r="DA817">
        <v>15.314097</v>
      </c>
      <c r="DB817">
        <v>17.400950000000002</v>
      </c>
      <c r="DC817">
        <v>16.332519999999999</v>
      </c>
      <c r="DD817" t="s">
        <v>125</v>
      </c>
      <c r="DE817">
        <v>0</v>
      </c>
      <c r="DH817" t="s">
        <v>332</v>
      </c>
      <c r="DI817" t="s">
        <v>333</v>
      </c>
      <c r="DJ817">
        <v>1</v>
      </c>
      <c r="DK817">
        <v>0</v>
      </c>
      <c r="DL817">
        <v>0</v>
      </c>
      <c r="DM817">
        <v>0</v>
      </c>
      <c r="DN817">
        <v>0</v>
      </c>
      <c r="DO817">
        <v>0</v>
      </c>
      <c r="DQ817" t="s">
        <v>126</v>
      </c>
    </row>
    <row r="818" spans="1:121" x14ac:dyDescent="0.15">
      <c r="A818">
        <v>2018</v>
      </c>
      <c r="B818" t="s">
        <v>247</v>
      </c>
      <c r="C818" t="str">
        <f t="shared" si="33"/>
        <v>1180011</v>
      </c>
      <c r="D818" t="s">
        <v>974</v>
      </c>
      <c r="E818" t="str">
        <f>"1186111"</f>
        <v>1186111</v>
      </c>
      <c r="F818" t="s">
        <v>328</v>
      </c>
      <c r="G818">
        <v>9</v>
      </c>
      <c r="H818">
        <v>12</v>
      </c>
      <c r="J818" t="s">
        <v>331</v>
      </c>
      <c r="K818">
        <v>1287.3042290000001</v>
      </c>
      <c r="L818">
        <v>1450</v>
      </c>
      <c r="M818">
        <v>88.779601999999997</v>
      </c>
      <c r="N818">
        <v>2</v>
      </c>
      <c r="O818">
        <v>1</v>
      </c>
      <c r="P818">
        <v>74.041107999999994</v>
      </c>
      <c r="Q818">
        <v>148.08221599999999</v>
      </c>
      <c r="R818">
        <v>150</v>
      </c>
      <c r="S818">
        <v>53.842104999999997</v>
      </c>
      <c r="T818">
        <v>75</v>
      </c>
      <c r="U818">
        <v>107.684211</v>
      </c>
      <c r="V818">
        <v>150</v>
      </c>
      <c r="W818">
        <v>74.257373000000001</v>
      </c>
      <c r="X818">
        <v>148.514745</v>
      </c>
      <c r="Y818">
        <v>150</v>
      </c>
      <c r="Z818">
        <v>75</v>
      </c>
      <c r="AA818">
        <v>52.635964999999999</v>
      </c>
      <c r="AB818">
        <v>105.27193</v>
      </c>
      <c r="AC818">
        <v>150</v>
      </c>
      <c r="AD818">
        <v>71.658653999999999</v>
      </c>
      <c r="AE818">
        <v>95.544871999999998</v>
      </c>
      <c r="AF818">
        <v>100</v>
      </c>
      <c r="AG818">
        <v>53.842104999999997</v>
      </c>
      <c r="AH818">
        <v>73.710256000000001</v>
      </c>
      <c r="AI818">
        <v>71.789473999999998</v>
      </c>
      <c r="AJ818">
        <v>100</v>
      </c>
      <c r="AK818">
        <v>21.15</v>
      </c>
      <c r="AL818">
        <v>22.36</v>
      </c>
      <c r="AM818">
        <v>19.86</v>
      </c>
      <c r="AN818" t="s">
        <v>125</v>
      </c>
      <c r="AO818" t="s">
        <v>125</v>
      </c>
      <c r="AP818" t="s">
        <v>125</v>
      </c>
      <c r="AQ818" t="s">
        <v>125</v>
      </c>
      <c r="AR818" t="s">
        <v>125</v>
      </c>
      <c r="AS818" t="s">
        <v>125</v>
      </c>
      <c r="AT818" t="s">
        <v>125</v>
      </c>
      <c r="AU818" t="s">
        <v>125</v>
      </c>
      <c r="AV818" t="s">
        <v>125</v>
      </c>
      <c r="AW818" t="s">
        <v>125</v>
      </c>
      <c r="AX818" t="s">
        <v>125</v>
      </c>
      <c r="AY818" t="s">
        <v>125</v>
      </c>
      <c r="AZ818" t="s">
        <v>125</v>
      </c>
      <c r="BA818" t="s">
        <v>125</v>
      </c>
      <c r="BB818" t="s">
        <v>125</v>
      </c>
      <c r="BC818" t="s">
        <v>125</v>
      </c>
      <c r="BD818" t="s">
        <v>125</v>
      </c>
      <c r="BE818" t="s">
        <v>125</v>
      </c>
      <c r="BF818" t="s">
        <v>125</v>
      </c>
      <c r="BG818" t="s">
        <v>125</v>
      </c>
      <c r="BH818">
        <v>1</v>
      </c>
      <c r="BI818">
        <v>0.97142899999999999</v>
      </c>
      <c r="BJ818">
        <v>0.88372099999999998</v>
      </c>
      <c r="BK818">
        <v>0.982456</v>
      </c>
      <c r="BL818">
        <v>0.97142899999999999</v>
      </c>
      <c r="BM818">
        <v>0.88372099999999998</v>
      </c>
      <c r="BN818">
        <v>0.982456</v>
      </c>
      <c r="BO818">
        <v>0.95844200000000002</v>
      </c>
      <c r="BP818">
        <v>0.88372099999999998</v>
      </c>
      <c r="BQ818">
        <v>0.96783600000000003</v>
      </c>
      <c r="BR818">
        <v>7.2544999999999998E-2</v>
      </c>
      <c r="BS818">
        <v>45.490932000000001</v>
      </c>
      <c r="BT818">
        <v>50</v>
      </c>
      <c r="BU818">
        <v>0.19230800000000001</v>
      </c>
      <c r="BV818">
        <v>21.538461999999999</v>
      </c>
      <c r="BW818">
        <v>50</v>
      </c>
      <c r="BX818">
        <v>0.84782599999999997</v>
      </c>
      <c r="BY818">
        <v>50</v>
      </c>
      <c r="BZ818">
        <v>50</v>
      </c>
      <c r="CA818">
        <v>0.83375999999999995</v>
      </c>
      <c r="CB818">
        <v>50</v>
      </c>
      <c r="CC818">
        <v>50</v>
      </c>
      <c r="CD818">
        <v>0.98480999999999996</v>
      </c>
      <c r="CE818">
        <v>50</v>
      </c>
      <c r="CF818">
        <v>50</v>
      </c>
      <c r="CG818">
        <v>0.97566900000000001</v>
      </c>
      <c r="CH818">
        <v>100</v>
      </c>
      <c r="CI818">
        <v>100</v>
      </c>
      <c r="CJ818">
        <v>0</v>
      </c>
      <c r="CK818">
        <v>0.982456</v>
      </c>
      <c r="CL818">
        <v>100</v>
      </c>
      <c r="CM818">
        <v>100</v>
      </c>
      <c r="CN818">
        <v>0.92269299999999999</v>
      </c>
      <c r="CO818">
        <v>100</v>
      </c>
      <c r="CP818">
        <v>100</v>
      </c>
      <c r="CQ818">
        <v>0.72069799999999995</v>
      </c>
      <c r="CR818">
        <v>0.950237</v>
      </c>
      <c r="CS818">
        <v>48.046550000000003</v>
      </c>
      <c r="CT818">
        <v>50</v>
      </c>
      <c r="CU818">
        <v>0.54408999999999996</v>
      </c>
      <c r="CV818">
        <v>45.340837999999998</v>
      </c>
      <c r="CW818">
        <v>50</v>
      </c>
      <c r="CX818">
        <v>0.982456</v>
      </c>
      <c r="CY818">
        <v>0.94</v>
      </c>
      <c r="CZ818">
        <v>-4.2456000000000001E-2</v>
      </c>
      <c r="DA818">
        <v>15.314097</v>
      </c>
      <c r="DB818">
        <v>17.400950000000002</v>
      </c>
      <c r="DC818">
        <v>16.332519999999999</v>
      </c>
      <c r="DD818">
        <v>7.9891730000000001</v>
      </c>
      <c r="DE818">
        <v>1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Q818" t="s">
        <v>126</v>
      </c>
    </row>
    <row r="819" spans="1:121" x14ac:dyDescent="0.15">
      <c r="A819">
        <v>2018</v>
      </c>
      <c r="B819" t="s">
        <v>247</v>
      </c>
      <c r="C819" t="str">
        <f t="shared" si="33"/>
        <v>1180011</v>
      </c>
      <c r="D819" t="s">
        <v>975</v>
      </c>
      <c r="E819" t="str">
        <f>"1180511"</f>
        <v>1180511</v>
      </c>
      <c r="F819" t="s">
        <v>328</v>
      </c>
      <c r="G819" t="s">
        <v>329</v>
      </c>
      <c r="H819">
        <v>5</v>
      </c>
      <c r="I819" t="s">
        <v>330</v>
      </c>
      <c r="J819" t="s">
        <v>331</v>
      </c>
      <c r="K819">
        <v>541.24115300000005</v>
      </c>
      <c r="L819">
        <v>600</v>
      </c>
      <c r="M819">
        <v>90.206858999999994</v>
      </c>
      <c r="N819">
        <v>1</v>
      </c>
      <c r="O819">
        <v>0</v>
      </c>
      <c r="P819">
        <v>88.460881000000001</v>
      </c>
      <c r="Q819">
        <v>50</v>
      </c>
      <c r="R819">
        <v>50</v>
      </c>
      <c r="S819">
        <v>74.555311000000003</v>
      </c>
      <c r="T819">
        <v>75</v>
      </c>
      <c r="U819">
        <v>49.703541000000001</v>
      </c>
      <c r="V819">
        <v>50</v>
      </c>
      <c r="W819">
        <v>82.712564999999998</v>
      </c>
      <c r="X819">
        <v>50</v>
      </c>
      <c r="Y819">
        <v>50</v>
      </c>
      <c r="Z819">
        <v>75</v>
      </c>
      <c r="AA819">
        <v>67.822900000000004</v>
      </c>
      <c r="AB819">
        <v>45.215266999999997</v>
      </c>
      <c r="AC819">
        <v>50</v>
      </c>
      <c r="AD819">
        <v>89.748847999999995</v>
      </c>
      <c r="AE819">
        <v>50</v>
      </c>
      <c r="AF819">
        <v>50</v>
      </c>
      <c r="AG819" t="s">
        <v>125</v>
      </c>
      <c r="AH819">
        <v>75</v>
      </c>
      <c r="AI819" t="s">
        <v>125</v>
      </c>
      <c r="AJ819" t="s">
        <v>125</v>
      </c>
      <c r="AK819">
        <v>0.44</v>
      </c>
      <c r="AL819">
        <v>7.17</v>
      </c>
      <c r="AM819" t="s">
        <v>125</v>
      </c>
      <c r="AN819">
        <v>0.85397900000000004</v>
      </c>
      <c r="AO819">
        <v>85.397901000000005</v>
      </c>
      <c r="AP819">
        <v>100</v>
      </c>
      <c r="AQ819">
        <v>0.86421499999999996</v>
      </c>
      <c r="AR819">
        <v>86.421520000000001</v>
      </c>
      <c r="AS819">
        <v>100</v>
      </c>
      <c r="AT819" t="s">
        <v>125</v>
      </c>
      <c r="AU819">
        <v>0.87519000000000002</v>
      </c>
      <c r="AV819" t="s">
        <v>125</v>
      </c>
      <c r="AW819" t="s">
        <v>125</v>
      </c>
      <c r="AX819" t="s">
        <v>125</v>
      </c>
      <c r="AY819">
        <v>0.87064399999999997</v>
      </c>
      <c r="AZ819" t="s">
        <v>125</v>
      </c>
      <c r="BA819" t="s">
        <v>125</v>
      </c>
      <c r="BB819" t="s">
        <v>125</v>
      </c>
      <c r="BC819" t="s">
        <v>125</v>
      </c>
      <c r="BD819" t="s">
        <v>125</v>
      </c>
      <c r="BE819" t="s">
        <v>125</v>
      </c>
      <c r="BF819" t="s">
        <v>125</v>
      </c>
      <c r="BG819" t="s">
        <v>125</v>
      </c>
      <c r="BH819">
        <v>0</v>
      </c>
      <c r="BI819">
        <v>0.98285699999999998</v>
      </c>
      <c r="BJ819">
        <v>1</v>
      </c>
      <c r="BK819">
        <v>0.97931000000000001</v>
      </c>
      <c r="BL819">
        <v>0.98285699999999998</v>
      </c>
      <c r="BM819">
        <v>1</v>
      </c>
      <c r="BN819">
        <v>0.97931000000000001</v>
      </c>
      <c r="BO819">
        <v>0.96610200000000002</v>
      </c>
      <c r="BP819" t="s">
        <v>125</v>
      </c>
      <c r="BQ819">
        <v>0.95652199999999998</v>
      </c>
      <c r="BR819">
        <v>2.8986000000000001E-2</v>
      </c>
      <c r="BS819">
        <v>50</v>
      </c>
      <c r="BT819">
        <v>50</v>
      </c>
      <c r="BU819">
        <v>0.105263</v>
      </c>
      <c r="BV819">
        <v>38.947367999999997</v>
      </c>
      <c r="BW819">
        <v>50</v>
      </c>
      <c r="BX819" t="s">
        <v>125</v>
      </c>
      <c r="BY819" t="s">
        <v>125</v>
      </c>
      <c r="BZ819" t="s">
        <v>125</v>
      </c>
      <c r="CA819" t="s">
        <v>125</v>
      </c>
      <c r="CB819" t="s">
        <v>125</v>
      </c>
      <c r="CC819" t="s">
        <v>125</v>
      </c>
      <c r="CD819" t="s">
        <v>125</v>
      </c>
      <c r="CE819" t="s">
        <v>125</v>
      </c>
      <c r="CF819" t="s">
        <v>125</v>
      </c>
      <c r="CG819" t="s">
        <v>125</v>
      </c>
      <c r="CH819" t="s">
        <v>125</v>
      </c>
      <c r="CI819" t="s">
        <v>125</v>
      </c>
      <c r="CJ819" t="s">
        <v>125</v>
      </c>
      <c r="CK819" t="s">
        <v>125</v>
      </c>
      <c r="CL819" t="s">
        <v>125</v>
      </c>
      <c r="CM819" t="s">
        <v>125</v>
      </c>
      <c r="CN819" t="s">
        <v>125</v>
      </c>
      <c r="CO819" t="s">
        <v>125</v>
      </c>
      <c r="CP819" t="s">
        <v>125</v>
      </c>
      <c r="CQ819">
        <v>0.53333299999999995</v>
      </c>
      <c r="CR819">
        <v>0.98360700000000001</v>
      </c>
      <c r="CS819">
        <v>35.555556000000003</v>
      </c>
      <c r="CT819">
        <v>50</v>
      </c>
      <c r="CU819" t="s">
        <v>125</v>
      </c>
      <c r="CV819" t="s">
        <v>125</v>
      </c>
      <c r="CW819" t="s">
        <v>125</v>
      </c>
      <c r="CX819" t="s">
        <v>125</v>
      </c>
      <c r="CY819" t="s">
        <v>125</v>
      </c>
      <c r="CZ819" t="s">
        <v>125</v>
      </c>
      <c r="DA819">
        <v>15.314097</v>
      </c>
      <c r="DB819">
        <v>17.400950000000002</v>
      </c>
      <c r="DC819">
        <v>16.332519999999999</v>
      </c>
      <c r="DD819" t="s">
        <v>125</v>
      </c>
      <c r="DE819">
        <v>0</v>
      </c>
      <c r="DH819" t="s">
        <v>332</v>
      </c>
      <c r="DI819" t="s">
        <v>333</v>
      </c>
      <c r="DJ819">
        <v>1</v>
      </c>
      <c r="DK819">
        <v>0</v>
      </c>
      <c r="DL819">
        <v>0</v>
      </c>
      <c r="DM819">
        <v>0</v>
      </c>
      <c r="DN819">
        <v>0</v>
      </c>
      <c r="DO819">
        <v>0</v>
      </c>
      <c r="DQ819" t="s">
        <v>126</v>
      </c>
    </row>
    <row r="820" spans="1:121" x14ac:dyDescent="0.15">
      <c r="A820">
        <v>2018</v>
      </c>
      <c r="B820" t="s">
        <v>247</v>
      </c>
      <c r="C820" t="str">
        <f t="shared" si="33"/>
        <v>1180011</v>
      </c>
      <c r="D820" t="s">
        <v>976</v>
      </c>
      <c r="E820" t="str">
        <f>"1185211"</f>
        <v>1185211</v>
      </c>
      <c r="F820" t="s">
        <v>328</v>
      </c>
      <c r="G820">
        <v>6</v>
      </c>
      <c r="H820">
        <v>8</v>
      </c>
      <c r="J820" t="s">
        <v>331</v>
      </c>
      <c r="K820">
        <v>645.17861000000005</v>
      </c>
      <c r="L820">
        <v>900</v>
      </c>
      <c r="M820">
        <v>71.686511999999993</v>
      </c>
      <c r="N820">
        <v>3</v>
      </c>
      <c r="O820">
        <v>1</v>
      </c>
      <c r="P820">
        <v>81.543801000000002</v>
      </c>
      <c r="Q820">
        <v>50</v>
      </c>
      <c r="R820">
        <v>50</v>
      </c>
      <c r="S820">
        <v>63.254623000000002</v>
      </c>
      <c r="T820">
        <v>75</v>
      </c>
      <c r="U820">
        <v>42.169749000000003</v>
      </c>
      <c r="V820">
        <v>50</v>
      </c>
      <c r="W820">
        <v>77.425201999999999</v>
      </c>
      <c r="X820">
        <v>50</v>
      </c>
      <c r="Y820">
        <v>50</v>
      </c>
      <c r="Z820">
        <v>75</v>
      </c>
      <c r="AA820">
        <v>56.901822000000003</v>
      </c>
      <c r="AB820">
        <v>37.934547999999999</v>
      </c>
      <c r="AC820">
        <v>50</v>
      </c>
      <c r="AD820">
        <v>74.567098999999999</v>
      </c>
      <c r="AE820">
        <v>49.711399</v>
      </c>
      <c r="AF820">
        <v>50</v>
      </c>
      <c r="AG820">
        <v>49.635468000000003</v>
      </c>
      <c r="AH820">
        <v>75</v>
      </c>
      <c r="AI820">
        <v>33.090311999999997</v>
      </c>
      <c r="AJ820">
        <v>50</v>
      </c>
      <c r="AK820">
        <v>11.74</v>
      </c>
      <c r="AL820">
        <v>18.09</v>
      </c>
      <c r="AM820">
        <v>25.36</v>
      </c>
      <c r="AN820">
        <v>0.61228499999999997</v>
      </c>
      <c r="AO820">
        <v>61.228513</v>
      </c>
      <c r="AP820">
        <v>100</v>
      </c>
      <c r="AQ820">
        <v>0.71985200000000005</v>
      </c>
      <c r="AR820">
        <v>71.985214999999997</v>
      </c>
      <c r="AS820">
        <v>100</v>
      </c>
      <c r="AT820">
        <v>0.47484100000000001</v>
      </c>
      <c r="AU820">
        <v>0.64494499999999999</v>
      </c>
      <c r="AV820">
        <v>47.484107000000002</v>
      </c>
      <c r="AW820">
        <v>100</v>
      </c>
      <c r="AX820">
        <v>0.49738500000000002</v>
      </c>
      <c r="AY820">
        <v>0.77268800000000004</v>
      </c>
      <c r="AZ820">
        <v>49.738486999999999</v>
      </c>
      <c r="BA820">
        <v>100</v>
      </c>
      <c r="BB820" t="s">
        <v>125</v>
      </c>
      <c r="BC820" t="s">
        <v>125</v>
      </c>
      <c r="BD820" t="s">
        <v>125</v>
      </c>
      <c r="BE820" t="s">
        <v>125</v>
      </c>
      <c r="BF820" t="s">
        <v>125</v>
      </c>
      <c r="BG820" t="s">
        <v>125</v>
      </c>
      <c r="BH820">
        <v>1</v>
      </c>
      <c r="BI820">
        <v>0.96557999999999999</v>
      </c>
      <c r="BJ820">
        <v>0.93913000000000002</v>
      </c>
      <c r="BK820">
        <v>0.97253999999999996</v>
      </c>
      <c r="BL820">
        <v>0.95833299999999999</v>
      </c>
      <c r="BM820">
        <v>0.93913000000000002</v>
      </c>
      <c r="BN820">
        <v>0.96338699999999999</v>
      </c>
      <c r="BO820">
        <v>0.94674599999999998</v>
      </c>
      <c r="BP820">
        <v>0.85294099999999995</v>
      </c>
      <c r="BQ820">
        <v>0.97036999999999995</v>
      </c>
      <c r="BR820">
        <v>8.1670000000000006E-2</v>
      </c>
      <c r="BS820">
        <v>43.666061999999997</v>
      </c>
      <c r="BT820">
        <v>50</v>
      </c>
      <c r="BU820">
        <v>0.12612599999999999</v>
      </c>
      <c r="BV820">
        <v>34.774774999999998</v>
      </c>
      <c r="BW820">
        <v>50</v>
      </c>
      <c r="BX820" t="s">
        <v>125</v>
      </c>
      <c r="BY820" t="s">
        <v>125</v>
      </c>
      <c r="BZ820" t="s">
        <v>125</v>
      </c>
      <c r="CA820" t="s">
        <v>125</v>
      </c>
      <c r="CB820" t="s">
        <v>125</v>
      </c>
      <c r="CC820" t="s">
        <v>125</v>
      </c>
      <c r="CD820">
        <v>0.99295800000000001</v>
      </c>
      <c r="CE820">
        <v>50</v>
      </c>
      <c r="CF820">
        <v>50</v>
      </c>
      <c r="CG820" t="s">
        <v>125</v>
      </c>
      <c r="CH820" t="s">
        <v>125</v>
      </c>
      <c r="CI820" t="s">
        <v>125</v>
      </c>
      <c r="CJ820" t="s">
        <v>125</v>
      </c>
      <c r="CK820" t="s">
        <v>125</v>
      </c>
      <c r="CL820" t="s">
        <v>125</v>
      </c>
      <c r="CM820" t="s">
        <v>125</v>
      </c>
      <c r="CN820" t="s">
        <v>125</v>
      </c>
      <c r="CO820" t="s">
        <v>125</v>
      </c>
      <c r="CP820" t="s">
        <v>125</v>
      </c>
      <c r="CQ820">
        <v>0.70186300000000001</v>
      </c>
      <c r="CR820">
        <v>0.875</v>
      </c>
      <c r="CS820">
        <v>23.395444999999999</v>
      </c>
      <c r="CT820">
        <v>50</v>
      </c>
      <c r="CU820" t="s">
        <v>125</v>
      </c>
      <c r="CV820" t="s">
        <v>125</v>
      </c>
      <c r="CW820" t="s">
        <v>125</v>
      </c>
      <c r="CX820" t="s">
        <v>125</v>
      </c>
      <c r="CY820" t="s">
        <v>125</v>
      </c>
      <c r="CZ820" t="s">
        <v>125</v>
      </c>
      <c r="DA820">
        <v>15.314097</v>
      </c>
      <c r="DB820">
        <v>17.400950000000002</v>
      </c>
      <c r="DC820">
        <v>16.332519999999999</v>
      </c>
      <c r="DD820" t="s">
        <v>125</v>
      </c>
      <c r="DE820">
        <v>1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Q820" t="s">
        <v>126</v>
      </c>
    </row>
    <row r="821" spans="1:121" x14ac:dyDescent="0.15">
      <c r="A821">
        <v>2018</v>
      </c>
      <c r="B821" t="s">
        <v>247</v>
      </c>
      <c r="C821" t="str">
        <f t="shared" si="33"/>
        <v>1180011</v>
      </c>
      <c r="D821" t="s">
        <v>977</v>
      </c>
      <c r="E821" t="str">
        <f>"1180211"</f>
        <v>1180211</v>
      </c>
      <c r="F821" t="s">
        <v>328</v>
      </c>
      <c r="G821" t="s">
        <v>329</v>
      </c>
      <c r="H821">
        <v>5</v>
      </c>
      <c r="I821" t="s">
        <v>330</v>
      </c>
      <c r="J821" t="s">
        <v>331</v>
      </c>
      <c r="K821">
        <v>710.05985899999996</v>
      </c>
      <c r="L821">
        <v>800</v>
      </c>
      <c r="M821">
        <v>88.757481999999996</v>
      </c>
      <c r="N821">
        <v>2</v>
      </c>
      <c r="O821">
        <v>0</v>
      </c>
      <c r="P821">
        <v>82.329971999999998</v>
      </c>
      <c r="Q821">
        <v>50</v>
      </c>
      <c r="R821">
        <v>50</v>
      </c>
      <c r="S821">
        <v>69.548398000000006</v>
      </c>
      <c r="T821">
        <v>75</v>
      </c>
      <c r="U821">
        <v>46.365597999999999</v>
      </c>
      <c r="V821">
        <v>50</v>
      </c>
      <c r="W821">
        <v>81.193286000000001</v>
      </c>
      <c r="X821">
        <v>50</v>
      </c>
      <c r="Y821">
        <v>50</v>
      </c>
      <c r="Z821">
        <v>75</v>
      </c>
      <c r="AA821">
        <v>67.154746000000003</v>
      </c>
      <c r="AB821">
        <v>44.769831000000003</v>
      </c>
      <c r="AC821">
        <v>50</v>
      </c>
      <c r="AD821">
        <v>74.645161000000002</v>
      </c>
      <c r="AE821">
        <v>49.763441</v>
      </c>
      <c r="AF821">
        <v>50</v>
      </c>
      <c r="AG821" t="s">
        <v>125</v>
      </c>
      <c r="AH821">
        <v>75</v>
      </c>
      <c r="AI821" t="s">
        <v>125</v>
      </c>
      <c r="AJ821" t="s">
        <v>125</v>
      </c>
      <c r="AK821">
        <v>5.45</v>
      </c>
      <c r="AL821">
        <v>7.84</v>
      </c>
      <c r="AM821" t="s">
        <v>125</v>
      </c>
      <c r="AN821">
        <v>0.86429999999999996</v>
      </c>
      <c r="AO821">
        <v>86.430031999999997</v>
      </c>
      <c r="AP821">
        <v>100</v>
      </c>
      <c r="AQ821">
        <v>0.93016600000000005</v>
      </c>
      <c r="AR821">
        <v>93.016613000000007</v>
      </c>
      <c r="AS821">
        <v>100</v>
      </c>
      <c r="AT821">
        <v>0.74447399999999997</v>
      </c>
      <c r="AU821">
        <v>0.90205400000000002</v>
      </c>
      <c r="AV821">
        <v>74.447395999999998</v>
      </c>
      <c r="AW821">
        <v>100</v>
      </c>
      <c r="AX821">
        <v>0.74711399999999994</v>
      </c>
      <c r="AY821">
        <v>0.98864099999999999</v>
      </c>
      <c r="AZ821">
        <v>74.711391000000006</v>
      </c>
      <c r="BA821">
        <v>100</v>
      </c>
      <c r="BB821" t="s">
        <v>125</v>
      </c>
      <c r="BC821" t="s">
        <v>125</v>
      </c>
      <c r="BD821" t="s">
        <v>125</v>
      </c>
      <c r="BE821" t="s">
        <v>125</v>
      </c>
      <c r="BF821" t="s">
        <v>125</v>
      </c>
      <c r="BG821" t="s">
        <v>125</v>
      </c>
      <c r="BH821">
        <v>1</v>
      </c>
      <c r="BI821">
        <v>0.97435899999999998</v>
      </c>
      <c r="BJ821">
        <v>0.93478300000000003</v>
      </c>
      <c r="BK821">
        <v>0.99090900000000004</v>
      </c>
      <c r="BL821">
        <v>0.96794899999999995</v>
      </c>
      <c r="BM821">
        <v>0.93478300000000003</v>
      </c>
      <c r="BN821">
        <v>0.98181799999999997</v>
      </c>
      <c r="BO821">
        <v>0.95</v>
      </c>
      <c r="BP821">
        <v>0.90476199999999996</v>
      </c>
      <c r="BQ821">
        <v>0.97435899999999998</v>
      </c>
      <c r="BR821">
        <v>4.2403000000000003E-2</v>
      </c>
      <c r="BS821">
        <v>50</v>
      </c>
      <c r="BT821">
        <v>50</v>
      </c>
      <c r="BU821">
        <v>9.7222000000000003E-2</v>
      </c>
      <c r="BV821">
        <v>40.555556000000003</v>
      </c>
      <c r="BW821">
        <v>50</v>
      </c>
      <c r="BX821" t="s">
        <v>125</v>
      </c>
      <c r="BY821" t="s">
        <v>125</v>
      </c>
      <c r="BZ821" t="s">
        <v>125</v>
      </c>
      <c r="CA821" t="s">
        <v>125</v>
      </c>
      <c r="CB821" t="s">
        <v>125</v>
      </c>
      <c r="CC821" t="s">
        <v>125</v>
      </c>
      <c r="CD821" t="s">
        <v>125</v>
      </c>
      <c r="CE821" t="s">
        <v>125</v>
      </c>
      <c r="CF821" t="s">
        <v>125</v>
      </c>
      <c r="CG821" t="s">
        <v>125</v>
      </c>
      <c r="CH821" t="s">
        <v>125</v>
      </c>
      <c r="CI821" t="s">
        <v>125</v>
      </c>
      <c r="CJ821" t="s">
        <v>125</v>
      </c>
      <c r="CK821" t="s">
        <v>125</v>
      </c>
      <c r="CL821" t="s">
        <v>125</v>
      </c>
      <c r="CM821" t="s">
        <v>125</v>
      </c>
      <c r="CN821" t="s">
        <v>125</v>
      </c>
      <c r="CO821" t="s">
        <v>125</v>
      </c>
      <c r="CP821" t="s">
        <v>125</v>
      </c>
      <c r="CQ821">
        <v>0.76</v>
      </c>
      <c r="CR821">
        <v>1</v>
      </c>
      <c r="CS821">
        <v>50</v>
      </c>
      <c r="CT821">
        <v>50</v>
      </c>
      <c r="CU821" t="s">
        <v>125</v>
      </c>
      <c r="CV821" t="s">
        <v>125</v>
      </c>
      <c r="CW821" t="s">
        <v>125</v>
      </c>
      <c r="CX821" t="s">
        <v>125</v>
      </c>
      <c r="CY821" t="s">
        <v>125</v>
      </c>
      <c r="CZ821" t="s">
        <v>125</v>
      </c>
      <c r="DA821">
        <v>15.314097</v>
      </c>
      <c r="DB821">
        <v>17.400950000000002</v>
      </c>
      <c r="DC821">
        <v>16.332519999999999</v>
      </c>
      <c r="DD821" t="s">
        <v>125</v>
      </c>
      <c r="DE821">
        <v>1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Q821" t="s">
        <v>126</v>
      </c>
    </row>
    <row r="822" spans="1:121" x14ac:dyDescent="0.15">
      <c r="A822">
        <v>2018</v>
      </c>
      <c r="B822" t="s">
        <v>250</v>
      </c>
      <c r="C822" t="str">
        <f>"1190011"</f>
        <v>1190011</v>
      </c>
      <c r="D822" t="s">
        <v>978</v>
      </c>
      <c r="E822" t="str">
        <f>"1195111"</f>
        <v>1195111</v>
      </c>
      <c r="F822" t="s">
        <v>328</v>
      </c>
      <c r="G822">
        <v>5</v>
      </c>
      <c r="H822">
        <v>8</v>
      </c>
      <c r="I822" t="s">
        <v>330</v>
      </c>
      <c r="J822" t="s">
        <v>331</v>
      </c>
      <c r="K822">
        <v>700.48120800000004</v>
      </c>
      <c r="L822">
        <v>900</v>
      </c>
      <c r="M822">
        <v>77.831244999999996</v>
      </c>
      <c r="N822">
        <v>2</v>
      </c>
      <c r="O822">
        <v>0</v>
      </c>
      <c r="P822">
        <v>80.705421000000001</v>
      </c>
      <c r="Q822">
        <v>50</v>
      </c>
      <c r="R822">
        <v>50</v>
      </c>
      <c r="S822">
        <v>67.411985000000001</v>
      </c>
      <c r="T822">
        <v>75</v>
      </c>
      <c r="U822">
        <v>44.941322999999997</v>
      </c>
      <c r="V822">
        <v>50</v>
      </c>
      <c r="W822">
        <v>73.765490999999997</v>
      </c>
      <c r="X822">
        <v>49.176994000000001</v>
      </c>
      <c r="Y822">
        <v>50</v>
      </c>
      <c r="Z822">
        <v>75</v>
      </c>
      <c r="AA822">
        <v>59.76314</v>
      </c>
      <c r="AB822">
        <v>39.842092999999998</v>
      </c>
      <c r="AC822">
        <v>50</v>
      </c>
      <c r="AD822">
        <v>76.014334000000005</v>
      </c>
      <c r="AE822">
        <v>50</v>
      </c>
      <c r="AF822">
        <v>50</v>
      </c>
      <c r="AG822">
        <v>67.964539000000002</v>
      </c>
      <c r="AH822">
        <v>75</v>
      </c>
      <c r="AI822">
        <v>45.309693000000003</v>
      </c>
      <c r="AJ822">
        <v>50</v>
      </c>
      <c r="AK822">
        <v>7.58</v>
      </c>
      <c r="AL822">
        <v>15.23</v>
      </c>
      <c r="AM822">
        <v>7.03</v>
      </c>
      <c r="AN822">
        <v>0.69354000000000005</v>
      </c>
      <c r="AO822">
        <v>69.353982999999999</v>
      </c>
      <c r="AP822">
        <v>100</v>
      </c>
      <c r="AQ822">
        <v>0.68528199999999995</v>
      </c>
      <c r="AR822">
        <v>68.528210000000001</v>
      </c>
      <c r="AS822">
        <v>100</v>
      </c>
      <c r="AT822">
        <v>0.60516999999999999</v>
      </c>
      <c r="AU822">
        <v>0.72137099999999998</v>
      </c>
      <c r="AV822">
        <v>60.517023999999999</v>
      </c>
      <c r="AW822">
        <v>100</v>
      </c>
      <c r="AX822">
        <v>0.53823100000000001</v>
      </c>
      <c r="AY822">
        <v>0.73125700000000005</v>
      </c>
      <c r="AZ822">
        <v>53.823090000000001</v>
      </c>
      <c r="BA822">
        <v>100</v>
      </c>
      <c r="BB822" t="s">
        <v>125</v>
      </c>
      <c r="BC822" t="s">
        <v>125</v>
      </c>
      <c r="BD822" t="s">
        <v>125</v>
      </c>
      <c r="BE822" t="s">
        <v>125</v>
      </c>
      <c r="BF822" t="s">
        <v>125</v>
      </c>
      <c r="BG822" t="s">
        <v>125</v>
      </c>
      <c r="BH822">
        <v>0</v>
      </c>
      <c r="BI822">
        <v>0.99678999999999995</v>
      </c>
      <c r="BJ822">
        <v>1</v>
      </c>
      <c r="BK822">
        <v>0.995305</v>
      </c>
      <c r="BL822">
        <v>0.99679499999999999</v>
      </c>
      <c r="BM822">
        <v>1</v>
      </c>
      <c r="BN822">
        <v>0.995305</v>
      </c>
      <c r="BO822">
        <v>0.99170100000000005</v>
      </c>
      <c r="BP822">
        <v>1</v>
      </c>
      <c r="BQ822">
        <v>0.98773</v>
      </c>
      <c r="BR822">
        <v>7.2581000000000007E-2</v>
      </c>
      <c r="BS822">
        <v>45.483871000000001</v>
      </c>
      <c r="BT822">
        <v>50</v>
      </c>
      <c r="BU822">
        <v>0.122449</v>
      </c>
      <c r="BV822">
        <v>35.510204000000002</v>
      </c>
      <c r="BW822">
        <v>50</v>
      </c>
      <c r="BX822" t="s">
        <v>125</v>
      </c>
      <c r="BY822" t="s">
        <v>125</v>
      </c>
      <c r="BZ822" t="s">
        <v>125</v>
      </c>
      <c r="CA822" t="s">
        <v>125</v>
      </c>
      <c r="CB822" t="s">
        <v>125</v>
      </c>
      <c r="CC822" t="s">
        <v>125</v>
      </c>
      <c r="CD822">
        <v>0.98816599999999999</v>
      </c>
      <c r="CE822">
        <v>50</v>
      </c>
      <c r="CF822">
        <v>50</v>
      </c>
      <c r="CG822" t="s">
        <v>125</v>
      </c>
      <c r="CH822" t="s">
        <v>125</v>
      </c>
      <c r="CI822" t="s">
        <v>125</v>
      </c>
      <c r="CJ822" t="s">
        <v>125</v>
      </c>
      <c r="CK822" t="s">
        <v>125</v>
      </c>
      <c r="CL822" t="s">
        <v>125</v>
      </c>
      <c r="CM822" t="s">
        <v>125</v>
      </c>
      <c r="CN822" t="s">
        <v>125</v>
      </c>
      <c r="CO822" t="s">
        <v>125</v>
      </c>
      <c r="CP822" t="s">
        <v>125</v>
      </c>
      <c r="CQ822">
        <v>0.56992100000000001</v>
      </c>
      <c r="CR822">
        <v>0.99736800000000003</v>
      </c>
      <c r="CS822">
        <v>37.994723</v>
      </c>
      <c r="CT822">
        <v>50</v>
      </c>
      <c r="CU822" t="s">
        <v>125</v>
      </c>
      <c r="CV822" t="s">
        <v>125</v>
      </c>
      <c r="CW822" t="s">
        <v>125</v>
      </c>
      <c r="CX822" t="s">
        <v>125</v>
      </c>
      <c r="CY822" t="s">
        <v>125</v>
      </c>
      <c r="CZ822" t="s">
        <v>125</v>
      </c>
      <c r="DA822">
        <v>15.314097</v>
      </c>
      <c r="DB822">
        <v>17.400950000000002</v>
      </c>
      <c r="DC822">
        <v>16.332519999999999</v>
      </c>
      <c r="DD822" t="s">
        <v>125</v>
      </c>
      <c r="DE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Q822" t="s">
        <v>126</v>
      </c>
    </row>
    <row r="823" spans="1:121" x14ac:dyDescent="0.15">
      <c r="A823">
        <v>2018</v>
      </c>
      <c r="B823" t="s">
        <v>250</v>
      </c>
      <c r="C823" t="str">
        <f>"1190011"</f>
        <v>1190011</v>
      </c>
      <c r="D823" t="s">
        <v>979</v>
      </c>
      <c r="E823" t="str">
        <f>"1190411"</f>
        <v>1190411</v>
      </c>
      <c r="F823" t="s">
        <v>328</v>
      </c>
      <c r="G823" t="s">
        <v>329</v>
      </c>
      <c r="H823">
        <v>5</v>
      </c>
      <c r="I823" t="s">
        <v>330</v>
      </c>
      <c r="J823" t="s">
        <v>331</v>
      </c>
      <c r="K823">
        <v>731.22595000000001</v>
      </c>
      <c r="L823">
        <v>950</v>
      </c>
      <c r="M823">
        <v>76.971153000000001</v>
      </c>
      <c r="N823">
        <v>2</v>
      </c>
      <c r="O823">
        <v>0</v>
      </c>
      <c r="P823">
        <v>75.799381999999994</v>
      </c>
      <c r="Q823">
        <v>50</v>
      </c>
      <c r="R823">
        <v>50</v>
      </c>
      <c r="S823">
        <v>66.514488</v>
      </c>
      <c r="T823">
        <v>75</v>
      </c>
      <c r="U823">
        <v>44.342992000000002</v>
      </c>
      <c r="V823">
        <v>50</v>
      </c>
      <c r="W823">
        <v>73.656143999999998</v>
      </c>
      <c r="X823">
        <v>49.104095999999998</v>
      </c>
      <c r="Y823">
        <v>50</v>
      </c>
      <c r="Z823">
        <v>75</v>
      </c>
      <c r="AA823">
        <v>63.551833000000002</v>
      </c>
      <c r="AB823">
        <v>42.367888000000001</v>
      </c>
      <c r="AC823">
        <v>50</v>
      </c>
      <c r="AD823">
        <v>66.938350999999997</v>
      </c>
      <c r="AE823">
        <v>44.625568000000001</v>
      </c>
      <c r="AF823">
        <v>50</v>
      </c>
      <c r="AG823">
        <v>59.460828999999997</v>
      </c>
      <c r="AH823">
        <v>73.481183000000001</v>
      </c>
      <c r="AI823">
        <v>39.640552999999997</v>
      </c>
      <c r="AJ823">
        <v>50</v>
      </c>
      <c r="AK823">
        <v>8.48</v>
      </c>
      <c r="AL823">
        <v>11.44</v>
      </c>
      <c r="AM823">
        <v>14.02</v>
      </c>
      <c r="AN823">
        <v>0.74704999999999999</v>
      </c>
      <c r="AO823">
        <v>74.704992000000004</v>
      </c>
      <c r="AP823">
        <v>100</v>
      </c>
      <c r="AQ823">
        <v>0.82693000000000005</v>
      </c>
      <c r="AR823">
        <v>82.693042000000005</v>
      </c>
      <c r="AS823">
        <v>100</v>
      </c>
      <c r="AT823">
        <v>0.64605100000000004</v>
      </c>
      <c r="AU823">
        <v>0.81676599999999999</v>
      </c>
      <c r="AV823">
        <v>64.605136000000002</v>
      </c>
      <c r="AW823">
        <v>100</v>
      </c>
      <c r="AX823">
        <v>0.753637</v>
      </c>
      <c r="AY823">
        <v>0.87797400000000003</v>
      </c>
      <c r="AZ823">
        <v>75.363714999999999</v>
      </c>
      <c r="BA823">
        <v>100</v>
      </c>
      <c r="BB823">
        <v>0.641046</v>
      </c>
      <c r="BC823">
        <v>32.052287999999997</v>
      </c>
      <c r="BD823">
        <v>50</v>
      </c>
      <c r="BE823">
        <v>0.48427799999999999</v>
      </c>
      <c r="BF823">
        <v>24.213875999999999</v>
      </c>
      <c r="BG823">
        <v>50</v>
      </c>
      <c r="BH823">
        <v>0</v>
      </c>
      <c r="BI823">
        <v>0.99668900000000005</v>
      </c>
      <c r="BJ823">
        <v>0.99259299999999995</v>
      </c>
      <c r="BK823">
        <v>1</v>
      </c>
      <c r="BL823">
        <v>0.99667799999999995</v>
      </c>
      <c r="BM823">
        <v>0.99259299999999995</v>
      </c>
      <c r="BN823">
        <v>1</v>
      </c>
      <c r="BO823">
        <v>1</v>
      </c>
      <c r="BP823">
        <v>1</v>
      </c>
      <c r="BQ823">
        <v>1</v>
      </c>
      <c r="BR823">
        <v>5.6799000000000002E-2</v>
      </c>
      <c r="BS823">
        <v>48.640275000000003</v>
      </c>
      <c r="BT823">
        <v>50</v>
      </c>
      <c r="BU823">
        <v>8.2031000000000007E-2</v>
      </c>
      <c r="BV823">
        <v>43.59375</v>
      </c>
      <c r="BW823">
        <v>50</v>
      </c>
      <c r="BX823" t="s">
        <v>125</v>
      </c>
      <c r="BY823" t="s">
        <v>125</v>
      </c>
      <c r="BZ823" t="s">
        <v>125</v>
      </c>
      <c r="CA823" t="s">
        <v>125</v>
      </c>
      <c r="CB823" t="s">
        <v>125</v>
      </c>
      <c r="CC823" t="s">
        <v>125</v>
      </c>
      <c r="CD823" t="s">
        <v>125</v>
      </c>
      <c r="CE823" t="s">
        <v>125</v>
      </c>
      <c r="CF823" t="s">
        <v>125</v>
      </c>
      <c r="CG823" t="s">
        <v>125</v>
      </c>
      <c r="CH823" t="s">
        <v>125</v>
      </c>
      <c r="CI823" t="s">
        <v>125</v>
      </c>
      <c r="CJ823" t="s">
        <v>125</v>
      </c>
      <c r="CK823" t="s">
        <v>125</v>
      </c>
      <c r="CL823" t="s">
        <v>125</v>
      </c>
      <c r="CM823" t="s">
        <v>125</v>
      </c>
      <c r="CN823" t="s">
        <v>125</v>
      </c>
      <c r="CO823" t="s">
        <v>125</v>
      </c>
      <c r="CP823" t="s">
        <v>125</v>
      </c>
      <c r="CQ823">
        <v>0.45833299999999999</v>
      </c>
      <c r="CR823">
        <v>0.88888900000000004</v>
      </c>
      <c r="CS823">
        <v>15.277778</v>
      </c>
      <c r="CT823">
        <v>50</v>
      </c>
      <c r="CU823" t="s">
        <v>125</v>
      </c>
      <c r="CV823" t="s">
        <v>125</v>
      </c>
      <c r="CW823" t="s">
        <v>125</v>
      </c>
      <c r="CX823" t="s">
        <v>125</v>
      </c>
      <c r="CY823" t="s">
        <v>125</v>
      </c>
      <c r="CZ823" t="s">
        <v>125</v>
      </c>
      <c r="DA823">
        <v>15.314097</v>
      </c>
      <c r="DB823">
        <v>17.400950000000002</v>
      </c>
      <c r="DC823">
        <v>16.332519999999999</v>
      </c>
      <c r="DD823" t="s">
        <v>125</v>
      </c>
      <c r="DE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Q823" t="s">
        <v>126</v>
      </c>
    </row>
    <row r="824" spans="1:121" x14ac:dyDescent="0.15">
      <c r="A824">
        <v>2018</v>
      </c>
      <c r="B824" t="s">
        <v>250</v>
      </c>
      <c r="C824" t="str">
        <f>"1190011"</f>
        <v>1190011</v>
      </c>
      <c r="D824" t="s">
        <v>980</v>
      </c>
      <c r="E824" t="str">
        <f>"1196111"</f>
        <v>1196111</v>
      </c>
      <c r="F824" t="s">
        <v>328</v>
      </c>
      <c r="G824">
        <v>9</v>
      </c>
      <c r="H824">
        <v>12</v>
      </c>
      <c r="I824" t="s">
        <v>330</v>
      </c>
      <c r="J824" t="s">
        <v>331</v>
      </c>
      <c r="K824">
        <v>1182.8492209999999</v>
      </c>
      <c r="L824">
        <v>1450</v>
      </c>
      <c r="M824">
        <v>81.575807999999995</v>
      </c>
      <c r="N824">
        <v>3</v>
      </c>
      <c r="O824">
        <v>1</v>
      </c>
      <c r="P824">
        <v>60.840277999999998</v>
      </c>
      <c r="Q824">
        <v>121.680556</v>
      </c>
      <c r="R824">
        <v>150</v>
      </c>
      <c r="S824">
        <v>49.489279000000003</v>
      </c>
      <c r="T824">
        <v>66.277310999999997</v>
      </c>
      <c r="U824">
        <v>98.978558000000007</v>
      </c>
      <c r="V824">
        <v>150</v>
      </c>
      <c r="W824">
        <v>59.59375</v>
      </c>
      <c r="X824">
        <v>119.1875</v>
      </c>
      <c r="Y824">
        <v>150</v>
      </c>
      <c r="Z824">
        <v>64.890755999999996</v>
      </c>
      <c r="AA824">
        <v>48.535088000000002</v>
      </c>
      <c r="AB824">
        <v>97.070175000000006</v>
      </c>
      <c r="AC824">
        <v>150</v>
      </c>
      <c r="AD824">
        <v>64.444804000000005</v>
      </c>
      <c r="AE824">
        <v>85.926405000000003</v>
      </c>
      <c r="AF824">
        <v>100</v>
      </c>
      <c r="AG824">
        <v>54.597428999999998</v>
      </c>
      <c r="AH824">
        <v>69.078862000000001</v>
      </c>
      <c r="AI824">
        <v>72.796571999999998</v>
      </c>
      <c r="AJ824">
        <v>100</v>
      </c>
      <c r="AK824">
        <v>16.78</v>
      </c>
      <c r="AL824">
        <v>16.350000000000001</v>
      </c>
      <c r="AM824">
        <v>14.48</v>
      </c>
      <c r="AN824" t="s">
        <v>125</v>
      </c>
      <c r="AO824" t="s">
        <v>125</v>
      </c>
      <c r="AP824" t="s">
        <v>125</v>
      </c>
      <c r="AQ824" t="s">
        <v>125</v>
      </c>
      <c r="AR824" t="s">
        <v>125</v>
      </c>
      <c r="AS824" t="s">
        <v>125</v>
      </c>
      <c r="AT824" t="s">
        <v>125</v>
      </c>
      <c r="AU824" t="s">
        <v>125</v>
      </c>
      <c r="AV824" t="s">
        <v>125</v>
      </c>
      <c r="AW824" t="s">
        <v>125</v>
      </c>
      <c r="AX824" t="s">
        <v>125</v>
      </c>
      <c r="AY824" t="s">
        <v>125</v>
      </c>
      <c r="AZ824" t="s">
        <v>125</v>
      </c>
      <c r="BA824" t="s">
        <v>125</v>
      </c>
      <c r="BB824" t="s">
        <v>125</v>
      </c>
      <c r="BC824" t="s">
        <v>125</v>
      </c>
      <c r="BD824" t="s">
        <v>125</v>
      </c>
      <c r="BE824" t="s">
        <v>125</v>
      </c>
      <c r="BF824" t="s">
        <v>125</v>
      </c>
      <c r="BG824" t="s">
        <v>125</v>
      </c>
      <c r="BH824">
        <v>1</v>
      </c>
      <c r="BI824">
        <v>0.97814199999999996</v>
      </c>
      <c r="BJ824">
        <v>0.95161300000000004</v>
      </c>
      <c r="BK824">
        <v>0.99173599999999995</v>
      </c>
      <c r="BL824">
        <v>0.97814199999999996</v>
      </c>
      <c r="BM824">
        <v>0.95161300000000004</v>
      </c>
      <c r="BN824">
        <v>0.99173599999999995</v>
      </c>
      <c r="BO824">
        <v>0.97267800000000004</v>
      </c>
      <c r="BP824">
        <v>0.93548399999999998</v>
      </c>
      <c r="BQ824">
        <v>0.99173599999999995</v>
      </c>
      <c r="BR824">
        <v>8.0380999999999994E-2</v>
      </c>
      <c r="BS824">
        <v>43.923706000000003</v>
      </c>
      <c r="BT824">
        <v>50</v>
      </c>
      <c r="BU824">
        <v>0.12851399999999999</v>
      </c>
      <c r="BV824">
        <v>34.297189000000003</v>
      </c>
      <c r="BW824">
        <v>50</v>
      </c>
      <c r="BX824">
        <v>0.79347800000000002</v>
      </c>
      <c r="BY824">
        <v>50</v>
      </c>
      <c r="BZ824">
        <v>50</v>
      </c>
      <c r="CA824">
        <v>0.48913000000000001</v>
      </c>
      <c r="CB824">
        <v>32.608696000000002</v>
      </c>
      <c r="CC824">
        <v>50</v>
      </c>
      <c r="CD824">
        <v>0.97058800000000001</v>
      </c>
      <c r="CE824">
        <v>50</v>
      </c>
      <c r="CF824">
        <v>50</v>
      </c>
      <c r="CG824">
        <v>0.96067400000000003</v>
      </c>
      <c r="CH824">
        <v>100</v>
      </c>
      <c r="CI824">
        <v>100</v>
      </c>
      <c r="CJ824">
        <v>0</v>
      </c>
      <c r="CK824">
        <v>0.91666700000000001</v>
      </c>
      <c r="CL824">
        <v>97.51773</v>
      </c>
      <c r="CM824">
        <v>100</v>
      </c>
      <c r="CN824">
        <v>0.85955099999999995</v>
      </c>
      <c r="CO824">
        <v>100</v>
      </c>
      <c r="CP824">
        <v>100</v>
      </c>
      <c r="CQ824">
        <v>0.60221000000000002</v>
      </c>
      <c r="CR824">
        <v>0.92346899999999998</v>
      </c>
      <c r="CS824">
        <v>40.147329999999997</v>
      </c>
      <c r="CT824">
        <v>50</v>
      </c>
      <c r="CU824">
        <v>0.46457799999999999</v>
      </c>
      <c r="CV824">
        <v>38.714804999999998</v>
      </c>
      <c r="CW824">
        <v>50</v>
      </c>
      <c r="CX824">
        <v>0.91666700000000001</v>
      </c>
      <c r="CY824">
        <v>0.94</v>
      </c>
      <c r="CZ824">
        <v>2.3333E-2</v>
      </c>
      <c r="DA824">
        <v>15.314097</v>
      </c>
      <c r="DB824">
        <v>17.400950000000002</v>
      </c>
      <c r="DC824">
        <v>16.332519999999999</v>
      </c>
      <c r="DD824">
        <v>7.9891730000000001</v>
      </c>
      <c r="DE824">
        <v>1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Q824" t="s">
        <v>126</v>
      </c>
    </row>
    <row r="825" spans="1:121" x14ac:dyDescent="0.15">
      <c r="A825">
        <v>2018</v>
      </c>
      <c r="B825" t="s">
        <v>250</v>
      </c>
      <c r="C825" t="str">
        <f>"1190011"</f>
        <v>1190011</v>
      </c>
      <c r="D825" t="s">
        <v>981</v>
      </c>
      <c r="E825" t="str">
        <f>"1190511"</f>
        <v>1190511</v>
      </c>
      <c r="F825" t="s">
        <v>328</v>
      </c>
      <c r="G825" t="s">
        <v>329</v>
      </c>
      <c r="H825">
        <v>5</v>
      </c>
      <c r="J825" t="s">
        <v>331</v>
      </c>
      <c r="K825">
        <v>808.20667900000001</v>
      </c>
      <c r="L825">
        <v>950</v>
      </c>
      <c r="M825">
        <v>85.074387000000002</v>
      </c>
      <c r="N825">
        <v>1</v>
      </c>
      <c r="O825">
        <v>0</v>
      </c>
      <c r="P825">
        <v>81.661801999999994</v>
      </c>
      <c r="Q825">
        <v>50</v>
      </c>
      <c r="R825">
        <v>50</v>
      </c>
      <c r="S825">
        <v>73.761199000000005</v>
      </c>
      <c r="T825">
        <v>75</v>
      </c>
      <c r="U825">
        <v>49.174132</v>
      </c>
      <c r="V825">
        <v>50</v>
      </c>
      <c r="W825">
        <v>81.109323000000003</v>
      </c>
      <c r="X825">
        <v>50</v>
      </c>
      <c r="Y825">
        <v>50</v>
      </c>
      <c r="Z825">
        <v>75</v>
      </c>
      <c r="AA825">
        <v>72.648059000000003</v>
      </c>
      <c r="AB825">
        <v>48.432039000000003</v>
      </c>
      <c r="AC825">
        <v>50</v>
      </c>
      <c r="AD825">
        <v>78.150828000000004</v>
      </c>
      <c r="AE825">
        <v>50</v>
      </c>
      <c r="AF825">
        <v>50</v>
      </c>
      <c r="AG825">
        <v>70.456773999999996</v>
      </c>
      <c r="AH825">
        <v>75</v>
      </c>
      <c r="AI825">
        <v>46.971183000000003</v>
      </c>
      <c r="AJ825">
        <v>50</v>
      </c>
      <c r="AK825">
        <v>1.23</v>
      </c>
      <c r="AL825">
        <v>2.35</v>
      </c>
      <c r="AM825">
        <v>4.54</v>
      </c>
      <c r="AN825">
        <v>0.73602400000000001</v>
      </c>
      <c r="AO825">
        <v>73.602363999999994</v>
      </c>
      <c r="AP825">
        <v>100</v>
      </c>
      <c r="AQ825">
        <v>0.80642599999999998</v>
      </c>
      <c r="AR825">
        <v>80.642633000000004</v>
      </c>
      <c r="AS825">
        <v>100</v>
      </c>
      <c r="AT825">
        <v>0.80893999999999999</v>
      </c>
      <c r="AU825">
        <v>0.71635499999999996</v>
      </c>
      <c r="AV825">
        <v>80.894029000000003</v>
      </c>
      <c r="AW825">
        <v>100</v>
      </c>
      <c r="AX825">
        <v>0.69784100000000004</v>
      </c>
      <c r="AY825">
        <v>0.83500099999999999</v>
      </c>
      <c r="AZ825">
        <v>69.784093999999996</v>
      </c>
      <c r="BA825">
        <v>100</v>
      </c>
      <c r="BB825">
        <v>0.93002600000000002</v>
      </c>
      <c r="BC825">
        <v>46.501297999999998</v>
      </c>
      <c r="BD825">
        <v>50</v>
      </c>
      <c r="BE825">
        <v>0.68854300000000002</v>
      </c>
      <c r="BF825">
        <v>34.427128000000003</v>
      </c>
      <c r="BG825">
        <v>50</v>
      </c>
      <c r="BH825">
        <v>0</v>
      </c>
      <c r="BI825">
        <v>0.99721400000000004</v>
      </c>
      <c r="BJ825">
        <v>0.99315100000000001</v>
      </c>
      <c r="BK825">
        <v>1</v>
      </c>
      <c r="BL825">
        <v>0.99720699999999995</v>
      </c>
      <c r="BM825">
        <v>0.99305600000000005</v>
      </c>
      <c r="BN825">
        <v>1</v>
      </c>
      <c r="BO825">
        <v>0.98780500000000004</v>
      </c>
      <c r="BP825">
        <v>0.96875</v>
      </c>
      <c r="BQ825">
        <v>1</v>
      </c>
      <c r="BR825">
        <v>2.7737000000000001E-2</v>
      </c>
      <c r="BS825">
        <v>50</v>
      </c>
      <c r="BT825">
        <v>50</v>
      </c>
      <c r="BU825">
        <v>4.2735000000000002E-2</v>
      </c>
      <c r="BV825">
        <v>50</v>
      </c>
      <c r="BW825">
        <v>50</v>
      </c>
      <c r="BX825" t="s">
        <v>125</v>
      </c>
      <c r="BY825" t="s">
        <v>125</v>
      </c>
      <c r="BZ825" t="s">
        <v>125</v>
      </c>
      <c r="CA825" t="s">
        <v>125</v>
      </c>
      <c r="CB825" t="s">
        <v>125</v>
      </c>
      <c r="CC825" t="s">
        <v>125</v>
      </c>
      <c r="CD825" t="s">
        <v>125</v>
      </c>
      <c r="CE825" t="s">
        <v>125</v>
      </c>
      <c r="CF825" t="s">
        <v>125</v>
      </c>
      <c r="CG825" t="s">
        <v>125</v>
      </c>
      <c r="CH825" t="s">
        <v>125</v>
      </c>
      <c r="CI825" t="s">
        <v>125</v>
      </c>
      <c r="CJ825" t="s">
        <v>125</v>
      </c>
      <c r="CK825" t="s">
        <v>125</v>
      </c>
      <c r="CL825" t="s">
        <v>125</v>
      </c>
      <c r="CM825" t="s">
        <v>125</v>
      </c>
      <c r="CN825" t="s">
        <v>125</v>
      </c>
      <c r="CO825" t="s">
        <v>125</v>
      </c>
      <c r="CP825" t="s">
        <v>125</v>
      </c>
      <c r="CQ825">
        <v>0.41666700000000001</v>
      </c>
      <c r="CR825">
        <v>1</v>
      </c>
      <c r="CS825">
        <v>27.777778000000001</v>
      </c>
      <c r="CT825">
        <v>50</v>
      </c>
      <c r="CU825" t="s">
        <v>125</v>
      </c>
      <c r="CV825" t="s">
        <v>125</v>
      </c>
      <c r="CW825" t="s">
        <v>125</v>
      </c>
      <c r="CX825" t="s">
        <v>125</v>
      </c>
      <c r="CY825" t="s">
        <v>125</v>
      </c>
      <c r="CZ825" t="s">
        <v>125</v>
      </c>
      <c r="DA825">
        <v>15.314097</v>
      </c>
      <c r="DB825">
        <v>17.400950000000002</v>
      </c>
      <c r="DC825">
        <v>16.332519999999999</v>
      </c>
      <c r="DD825" t="s">
        <v>125</v>
      </c>
      <c r="DE825">
        <v>0</v>
      </c>
      <c r="DH825" t="s">
        <v>332</v>
      </c>
      <c r="DI825" t="s">
        <v>524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0</v>
      </c>
      <c r="DQ825" t="s">
        <v>126</v>
      </c>
    </row>
    <row r="826" spans="1:121" x14ac:dyDescent="0.15">
      <c r="A826">
        <v>2018</v>
      </c>
      <c r="B826" t="s">
        <v>275</v>
      </c>
      <c r="C826" t="str">
        <f>"1210011"</f>
        <v>1210011</v>
      </c>
      <c r="D826" t="s">
        <v>982</v>
      </c>
      <c r="E826" t="str">
        <f>"1210111"</f>
        <v>1210111</v>
      </c>
      <c r="F826" t="s">
        <v>328</v>
      </c>
      <c r="G826" t="s">
        <v>329</v>
      </c>
      <c r="H826">
        <v>8</v>
      </c>
      <c r="I826" t="s">
        <v>330</v>
      </c>
      <c r="J826" t="s">
        <v>331</v>
      </c>
      <c r="K826">
        <v>721.388149</v>
      </c>
      <c r="L826">
        <v>900</v>
      </c>
      <c r="M826">
        <v>80.154239000000004</v>
      </c>
      <c r="N826">
        <v>2</v>
      </c>
      <c r="O826">
        <v>0</v>
      </c>
      <c r="P826">
        <v>80.226870000000005</v>
      </c>
      <c r="Q826">
        <v>50</v>
      </c>
      <c r="R826">
        <v>50</v>
      </c>
      <c r="S826">
        <v>65.401242999999994</v>
      </c>
      <c r="T826">
        <v>75</v>
      </c>
      <c r="U826">
        <v>43.600828999999997</v>
      </c>
      <c r="V826">
        <v>50</v>
      </c>
      <c r="W826">
        <v>76.317972999999995</v>
      </c>
      <c r="X826">
        <v>50</v>
      </c>
      <c r="Y826">
        <v>50</v>
      </c>
      <c r="Z826">
        <v>75</v>
      </c>
      <c r="AA826">
        <v>60.737057</v>
      </c>
      <c r="AB826">
        <v>40.491371000000001</v>
      </c>
      <c r="AC826">
        <v>50</v>
      </c>
      <c r="AD826">
        <v>78.825384</v>
      </c>
      <c r="AE826">
        <v>50</v>
      </c>
      <c r="AF826">
        <v>50</v>
      </c>
      <c r="AG826">
        <v>67.453401999999997</v>
      </c>
      <c r="AH826">
        <v>75</v>
      </c>
      <c r="AI826">
        <v>44.968935000000002</v>
      </c>
      <c r="AJ826">
        <v>50</v>
      </c>
      <c r="AK826">
        <v>9.59</v>
      </c>
      <c r="AL826">
        <v>14.26</v>
      </c>
      <c r="AM826">
        <v>7.54</v>
      </c>
      <c r="AN826">
        <v>0.67071099999999995</v>
      </c>
      <c r="AO826">
        <v>67.071084999999997</v>
      </c>
      <c r="AP826">
        <v>100</v>
      </c>
      <c r="AQ826">
        <v>0.74013099999999998</v>
      </c>
      <c r="AR826">
        <v>74.013076999999996</v>
      </c>
      <c r="AS826">
        <v>100</v>
      </c>
      <c r="AT826">
        <v>0.55702499999999999</v>
      </c>
      <c r="AU826">
        <v>0.71263299999999996</v>
      </c>
      <c r="AV826">
        <v>55.702480999999999</v>
      </c>
      <c r="AW826">
        <v>100</v>
      </c>
      <c r="AX826">
        <v>0.62207000000000001</v>
      </c>
      <c r="AY826">
        <v>0.78292799999999996</v>
      </c>
      <c r="AZ826">
        <v>62.207037999999997</v>
      </c>
      <c r="BA826">
        <v>100</v>
      </c>
      <c r="BB826" t="s">
        <v>125</v>
      </c>
      <c r="BC826" t="s">
        <v>125</v>
      </c>
      <c r="BD826" t="s">
        <v>125</v>
      </c>
      <c r="BE826" t="s">
        <v>125</v>
      </c>
      <c r="BF826" t="s">
        <v>125</v>
      </c>
      <c r="BG826" t="s">
        <v>125</v>
      </c>
      <c r="BH826">
        <v>0</v>
      </c>
      <c r="BI826">
        <v>0.99642900000000001</v>
      </c>
      <c r="BJ826">
        <v>1</v>
      </c>
      <c r="BK826">
        <v>0.99504999999999999</v>
      </c>
      <c r="BL826">
        <v>0.99285699999999999</v>
      </c>
      <c r="BM826">
        <v>0.98717900000000003</v>
      </c>
      <c r="BN826">
        <v>0.99504999999999999</v>
      </c>
      <c r="BO826">
        <v>1</v>
      </c>
      <c r="BP826">
        <v>1</v>
      </c>
      <c r="BQ826">
        <v>1</v>
      </c>
      <c r="BR826">
        <v>3.5088000000000001E-2</v>
      </c>
      <c r="BS826">
        <v>50</v>
      </c>
      <c r="BT826">
        <v>50</v>
      </c>
      <c r="BU826">
        <v>3.5714000000000003E-2</v>
      </c>
      <c r="BV826">
        <v>50</v>
      </c>
      <c r="BW826">
        <v>50</v>
      </c>
      <c r="BX826" t="s">
        <v>125</v>
      </c>
      <c r="BY826" t="s">
        <v>125</v>
      </c>
      <c r="BZ826" t="s">
        <v>125</v>
      </c>
      <c r="CA826" t="s">
        <v>125</v>
      </c>
      <c r="CB826" t="s">
        <v>125</v>
      </c>
      <c r="CC826" t="s">
        <v>125</v>
      </c>
      <c r="CD826">
        <v>1</v>
      </c>
      <c r="CE826">
        <v>50</v>
      </c>
      <c r="CF826">
        <v>50</v>
      </c>
      <c r="CG826" t="s">
        <v>125</v>
      </c>
      <c r="CH826" t="s">
        <v>125</v>
      </c>
      <c r="CI826" t="s">
        <v>125</v>
      </c>
      <c r="CJ826" t="s">
        <v>125</v>
      </c>
      <c r="CK826" t="s">
        <v>125</v>
      </c>
      <c r="CL826" t="s">
        <v>125</v>
      </c>
      <c r="CM826" t="s">
        <v>125</v>
      </c>
      <c r="CN826" t="s">
        <v>125</v>
      </c>
      <c r="CO826" t="s">
        <v>125</v>
      </c>
      <c r="CP826" t="s">
        <v>125</v>
      </c>
      <c r="CQ826">
        <v>0.5</v>
      </c>
      <c r="CR826">
        <v>0.98630099999999998</v>
      </c>
      <c r="CS826">
        <v>33.333333000000003</v>
      </c>
      <c r="CT826">
        <v>50</v>
      </c>
      <c r="CU826" t="s">
        <v>125</v>
      </c>
      <c r="CV826" t="s">
        <v>125</v>
      </c>
      <c r="CW826" t="s">
        <v>125</v>
      </c>
      <c r="CX826" t="s">
        <v>125</v>
      </c>
      <c r="CY826" t="s">
        <v>125</v>
      </c>
      <c r="CZ826" t="s">
        <v>125</v>
      </c>
      <c r="DA826">
        <v>15.314097</v>
      </c>
      <c r="DB826">
        <v>17.400950000000002</v>
      </c>
      <c r="DC826">
        <v>16.332519999999999</v>
      </c>
      <c r="DD826" t="s">
        <v>125</v>
      </c>
      <c r="DE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Q826" t="s">
        <v>126</v>
      </c>
    </row>
    <row r="827" spans="1:121" x14ac:dyDescent="0.15">
      <c r="A827">
        <v>2018</v>
      </c>
      <c r="B827" t="s">
        <v>276</v>
      </c>
      <c r="C827" t="str">
        <f>"1220011"</f>
        <v>1220011</v>
      </c>
      <c r="D827" t="s">
        <v>983</v>
      </c>
      <c r="E827" t="str">
        <f>"1220111"</f>
        <v>1220111</v>
      </c>
      <c r="F827" t="s">
        <v>328</v>
      </c>
      <c r="G827" t="s">
        <v>329</v>
      </c>
      <c r="H827">
        <v>8</v>
      </c>
      <c r="J827" t="s">
        <v>331</v>
      </c>
      <c r="K827">
        <v>668.54507799999999</v>
      </c>
      <c r="L827">
        <v>850</v>
      </c>
      <c r="M827">
        <v>78.652361999999997</v>
      </c>
      <c r="N827">
        <v>2</v>
      </c>
      <c r="O827">
        <v>0</v>
      </c>
      <c r="P827">
        <v>81.548004000000006</v>
      </c>
      <c r="Q827">
        <v>50</v>
      </c>
      <c r="R827">
        <v>50</v>
      </c>
      <c r="S827">
        <v>73.037687000000005</v>
      </c>
      <c r="T827">
        <v>75</v>
      </c>
      <c r="U827">
        <v>48.691792</v>
      </c>
      <c r="V827">
        <v>50</v>
      </c>
      <c r="W827">
        <v>70.553837999999999</v>
      </c>
      <c r="X827">
        <v>47.035891999999997</v>
      </c>
      <c r="Y827">
        <v>50</v>
      </c>
      <c r="Z827">
        <v>75</v>
      </c>
      <c r="AA827">
        <v>61.857250999999998</v>
      </c>
      <c r="AB827">
        <v>41.238166999999997</v>
      </c>
      <c r="AC827">
        <v>50</v>
      </c>
      <c r="AD827">
        <v>76.813744</v>
      </c>
      <c r="AE827">
        <v>50</v>
      </c>
      <c r="AF827">
        <v>50</v>
      </c>
      <c r="AG827" t="s">
        <v>125</v>
      </c>
      <c r="AH827">
        <v>75</v>
      </c>
      <c r="AI827" t="s">
        <v>125</v>
      </c>
      <c r="AJ827" t="s">
        <v>125</v>
      </c>
      <c r="AK827">
        <v>1.96</v>
      </c>
      <c r="AL827">
        <v>13.14</v>
      </c>
      <c r="AM827" t="s">
        <v>125</v>
      </c>
      <c r="AN827">
        <v>0.70958100000000002</v>
      </c>
      <c r="AO827">
        <v>70.958106999999998</v>
      </c>
      <c r="AP827">
        <v>100</v>
      </c>
      <c r="AQ827">
        <v>0.63417199999999996</v>
      </c>
      <c r="AR827">
        <v>63.417236000000003</v>
      </c>
      <c r="AS827">
        <v>100</v>
      </c>
      <c r="AT827">
        <v>0.75270800000000004</v>
      </c>
      <c r="AU827">
        <v>0.68826600000000004</v>
      </c>
      <c r="AV827">
        <v>75.270770999999996</v>
      </c>
      <c r="AW827">
        <v>100</v>
      </c>
      <c r="AX827">
        <v>0.61167700000000003</v>
      </c>
      <c r="AY827">
        <v>0.64529099999999995</v>
      </c>
      <c r="AZ827">
        <v>61.167676</v>
      </c>
      <c r="BA827">
        <v>100</v>
      </c>
      <c r="BB827" t="s">
        <v>125</v>
      </c>
      <c r="BC827" t="s">
        <v>125</v>
      </c>
      <c r="BD827" t="s">
        <v>125</v>
      </c>
      <c r="BE827" t="s">
        <v>125</v>
      </c>
      <c r="BF827" t="s">
        <v>125</v>
      </c>
      <c r="BG827" t="s">
        <v>125</v>
      </c>
      <c r="BH827">
        <v>0</v>
      </c>
      <c r="BI827">
        <v>0.98901099999999997</v>
      </c>
      <c r="BJ827">
        <v>0.98507500000000003</v>
      </c>
      <c r="BK827">
        <v>0.99130399999999996</v>
      </c>
      <c r="BL827">
        <v>0.98901099999999997</v>
      </c>
      <c r="BM827">
        <v>0.98507500000000003</v>
      </c>
      <c r="BN827">
        <v>0.99130399999999996</v>
      </c>
      <c r="BO827">
        <v>0.96551699999999996</v>
      </c>
      <c r="BP827" t="s">
        <v>125</v>
      </c>
      <c r="BQ827">
        <v>0.97674399999999995</v>
      </c>
      <c r="BR827">
        <v>6.5934000000000006E-2</v>
      </c>
      <c r="BS827">
        <v>46.813186999999999</v>
      </c>
      <c r="BT827">
        <v>50</v>
      </c>
      <c r="BU827">
        <v>0.12903200000000001</v>
      </c>
      <c r="BV827">
        <v>34.193548</v>
      </c>
      <c r="BW827">
        <v>50</v>
      </c>
      <c r="BX827" t="s">
        <v>125</v>
      </c>
      <c r="BY827" t="s">
        <v>125</v>
      </c>
      <c r="BZ827" t="s">
        <v>125</v>
      </c>
      <c r="CA827" t="s">
        <v>125</v>
      </c>
      <c r="CB827" t="s">
        <v>125</v>
      </c>
      <c r="CC827" t="s">
        <v>125</v>
      </c>
      <c r="CD827">
        <v>0.88</v>
      </c>
      <c r="CE827">
        <v>46.808511000000003</v>
      </c>
      <c r="CF827">
        <v>50</v>
      </c>
      <c r="CG827" t="s">
        <v>125</v>
      </c>
      <c r="CH827" t="s">
        <v>125</v>
      </c>
      <c r="CI827" t="s">
        <v>125</v>
      </c>
      <c r="CJ827" t="s">
        <v>125</v>
      </c>
      <c r="CK827" t="s">
        <v>125</v>
      </c>
      <c r="CL827" t="s">
        <v>125</v>
      </c>
      <c r="CM827" t="s">
        <v>125</v>
      </c>
      <c r="CN827" t="s">
        <v>125</v>
      </c>
      <c r="CO827" t="s">
        <v>125</v>
      </c>
      <c r="CP827" t="s">
        <v>125</v>
      </c>
      <c r="CQ827">
        <v>0.494253</v>
      </c>
      <c r="CR827">
        <v>0.96666700000000005</v>
      </c>
      <c r="CS827">
        <v>32.950192000000001</v>
      </c>
      <c r="CT827">
        <v>50</v>
      </c>
      <c r="CU827" t="s">
        <v>125</v>
      </c>
      <c r="CV827" t="s">
        <v>125</v>
      </c>
      <c r="CW827" t="s">
        <v>125</v>
      </c>
      <c r="CX827" t="s">
        <v>125</v>
      </c>
      <c r="CY827" t="s">
        <v>125</v>
      </c>
      <c r="CZ827" t="s">
        <v>125</v>
      </c>
      <c r="DA827">
        <v>15.314097</v>
      </c>
      <c r="DB827">
        <v>17.400950000000002</v>
      </c>
      <c r="DC827">
        <v>16.332519999999999</v>
      </c>
      <c r="DD827" t="s">
        <v>125</v>
      </c>
      <c r="DE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Q827" t="s">
        <v>126</v>
      </c>
    </row>
    <row r="828" spans="1:121" x14ac:dyDescent="0.15">
      <c r="A828">
        <v>2018</v>
      </c>
      <c r="B828" t="s">
        <v>277</v>
      </c>
      <c r="C828" t="str">
        <f>"1230011"</f>
        <v>1230011</v>
      </c>
      <c r="D828" t="s">
        <v>975</v>
      </c>
      <c r="E828" t="str">
        <f>"1230111"</f>
        <v>1230111</v>
      </c>
      <c r="F828" t="s">
        <v>328</v>
      </c>
      <c r="G828" t="s">
        <v>329</v>
      </c>
      <c r="H828">
        <v>6</v>
      </c>
      <c r="I828" t="s">
        <v>336</v>
      </c>
      <c r="J828" t="s">
        <v>331</v>
      </c>
      <c r="K828">
        <v>394.75178199999999</v>
      </c>
      <c r="L828">
        <v>450</v>
      </c>
      <c r="M828">
        <v>87.722617999999997</v>
      </c>
      <c r="N828">
        <v>1</v>
      </c>
      <c r="O828">
        <v>0</v>
      </c>
      <c r="P828">
        <v>76.522161999999994</v>
      </c>
      <c r="Q828">
        <v>50</v>
      </c>
      <c r="R828">
        <v>50</v>
      </c>
      <c r="S828" t="s">
        <v>125</v>
      </c>
      <c r="T828">
        <v>75</v>
      </c>
      <c r="U828" t="s">
        <v>125</v>
      </c>
      <c r="V828" t="s">
        <v>125</v>
      </c>
      <c r="W828">
        <v>70.923062000000002</v>
      </c>
      <c r="X828">
        <v>47.282041999999997</v>
      </c>
      <c r="Y828">
        <v>50</v>
      </c>
      <c r="Z828">
        <v>75</v>
      </c>
      <c r="AA828" t="s">
        <v>125</v>
      </c>
      <c r="AB828" t="s">
        <v>125</v>
      </c>
      <c r="AC828" t="s">
        <v>125</v>
      </c>
      <c r="AD828" t="s">
        <v>125</v>
      </c>
      <c r="AE828" t="s">
        <v>125</v>
      </c>
      <c r="AF828" t="s">
        <v>125</v>
      </c>
      <c r="AG828" t="s">
        <v>125</v>
      </c>
      <c r="AH828" t="s">
        <v>125</v>
      </c>
      <c r="AI828" t="s">
        <v>125</v>
      </c>
      <c r="AJ828" t="s">
        <v>125</v>
      </c>
      <c r="AK828" t="s">
        <v>125</v>
      </c>
      <c r="AL828" t="s">
        <v>125</v>
      </c>
      <c r="AM828" t="s">
        <v>125</v>
      </c>
      <c r="AN828">
        <v>0.67613299999999998</v>
      </c>
      <c r="AO828">
        <v>67.613259999999997</v>
      </c>
      <c r="AP828">
        <v>100</v>
      </c>
      <c r="AQ828">
        <v>0.923126</v>
      </c>
      <c r="AR828">
        <v>92.312619999999995</v>
      </c>
      <c r="AS828">
        <v>100</v>
      </c>
      <c r="AT828" t="s">
        <v>125</v>
      </c>
      <c r="AU828">
        <v>0.74214899999999995</v>
      </c>
      <c r="AV828" t="s">
        <v>125</v>
      </c>
      <c r="AW828" t="s">
        <v>125</v>
      </c>
      <c r="AX828" t="s">
        <v>125</v>
      </c>
      <c r="AY828">
        <v>0.99383500000000002</v>
      </c>
      <c r="AZ828" t="s">
        <v>125</v>
      </c>
      <c r="BA828" t="s">
        <v>125</v>
      </c>
      <c r="BB828" t="s">
        <v>125</v>
      </c>
      <c r="BC828" t="s">
        <v>125</v>
      </c>
      <c r="BD828" t="s">
        <v>125</v>
      </c>
      <c r="BE828" t="s">
        <v>125</v>
      </c>
      <c r="BF828" t="s">
        <v>125</v>
      </c>
      <c r="BG828" t="s">
        <v>125</v>
      </c>
      <c r="BH828">
        <v>0</v>
      </c>
      <c r="BI828">
        <v>0.97872300000000001</v>
      </c>
      <c r="BJ828" t="s">
        <v>125</v>
      </c>
      <c r="BK828">
        <v>1</v>
      </c>
      <c r="BL828">
        <v>0.97872300000000001</v>
      </c>
      <c r="BM828" t="s">
        <v>125</v>
      </c>
      <c r="BN828">
        <v>1</v>
      </c>
      <c r="BO828" t="s">
        <v>125</v>
      </c>
      <c r="BP828" t="s">
        <v>125</v>
      </c>
      <c r="BQ828" t="s">
        <v>125</v>
      </c>
      <c r="BR828">
        <v>3.4091000000000003E-2</v>
      </c>
      <c r="BS828">
        <v>50</v>
      </c>
      <c r="BT828">
        <v>50</v>
      </c>
      <c r="BU828">
        <v>7.8947000000000003E-2</v>
      </c>
      <c r="BV828">
        <v>44.210526000000002</v>
      </c>
      <c r="BW828">
        <v>50</v>
      </c>
      <c r="BX828" t="s">
        <v>125</v>
      </c>
      <c r="BY828" t="s">
        <v>125</v>
      </c>
      <c r="BZ828" t="s">
        <v>125</v>
      </c>
      <c r="CA828" t="s">
        <v>125</v>
      </c>
      <c r="CB828" t="s">
        <v>125</v>
      </c>
      <c r="CC828" t="s">
        <v>125</v>
      </c>
      <c r="CD828" t="s">
        <v>125</v>
      </c>
      <c r="CE828" t="s">
        <v>125</v>
      </c>
      <c r="CF828" t="s">
        <v>125</v>
      </c>
      <c r="CG828" t="s">
        <v>125</v>
      </c>
      <c r="CH828" t="s">
        <v>125</v>
      </c>
      <c r="CI828" t="s">
        <v>125</v>
      </c>
      <c r="CJ828" t="s">
        <v>125</v>
      </c>
      <c r="CK828" t="s">
        <v>125</v>
      </c>
      <c r="CL828" t="s">
        <v>125</v>
      </c>
      <c r="CM828" t="s">
        <v>125</v>
      </c>
      <c r="CN828" t="s">
        <v>125</v>
      </c>
      <c r="CO828" t="s">
        <v>125</v>
      </c>
      <c r="CP828" t="s">
        <v>125</v>
      </c>
      <c r="CQ828">
        <v>0.65</v>
      </c>
      <c r="CR828">
        <v>1</v>
      </c>
      <c r="CS828">
        <v>43.333333000000003</v>
      </c>
      <c r="CT828">
        <v>50</v>
      </c>
      <c r="CU828" t="s">
        <v>125</v>
      </c>
      <c r="CV828" t="s">
        <v>125</v>
      </c>
      <c r="CW828" t="s">
        <v>125</v>
      </c>
      <c r="CX828" t="s">
        <v>125</v>
      </c>
      <c r="CY828" t="s">
        <v>125</v>
      </c>
      <c r="CZ828" t="s">
        <v>125</v>
      </c>
      <c r="DA828">
        <v>15.314097</v>
      </c>
      <c r="DB828">
        <v>17.400950000000002</v>
      </c>
      <c r="DC828">
        <v>16.332519999999999</v>
      </c>
      <c r="DD828" t="s">
        <v>125</v>
      </c>
      <c r="DE828">
        <v>0</v>
      </c>
      <c r="DH828" t="s">
        <v>332</v>
      </c>
      <c r="DI828" t="s">
        <v>546</v>
      </c>
      <c r="DJ828">
        <v>1</v>
      </c>
      <c r="DK828">
        <v>0</v>
      </c>
      <c r="DL828">
        <v>1</v>
      </c>
      <c r="DM828">
        <v>0</v>
      </c>
      <c r="DN828">
        <v>0</v>
      </c>
      <c r="DO828">
        <v>0</v>
      </c>
      <c r="DQ828" t="s">
        <v>126</v>
      </c>
    </row>
    <row r="829" spans="1:121" x14ac:dyDescent="0.15">
      <c r="A829">
        <v>2018</v>
      </c>
      <c r="B829" t="s">
        <v>278</v>
      </c>
      <c r="C829" t="str">
        <f>"1240011"</f>
        <v>1240011</v>
      </c>
      <c r="D829" t="s">
        <v>984</v>
      </c>
      <c r="E829" t="str">
        <f>"1240111"</f>
        <v>1240111</v>
      </c>
      <c r="F829" t="s">
        <v>328</v>
      </c>
      <c r="G829" t="s">
        <v>339</v>
      </c>
      <c r="H829">
        <v>5</v>
      </c>
      <c r="I829" t="s">
        <v>330</v>
      </c>
      <c r="J829" t="s">
        <v>331</v>
      </c>
      <c r="K829">
        <v>679.996756</v>
      </c>
      <c r="L829">
        <v>850</v>
      </c>
      <c r="M829">
        <v>79.999617999999998</v>
      </c>
      <c r="N829">
        <v>2</v>
      </c>
      <c r="O829">
        <v>0</v>
      </c>
      <c r="P829">
        <v>73.994534000000002</v>
      </c>
      <c r="Q829">
        <v>49.329689000000002</v>
      </c>
      <c r="R829">
        <v>50</v>
      </c>
      <c r="S829">
        <v>65.901770999999997</v>
      </c>
      <c r="T829">
        <v>75</v>
      </c>
      <c r="U829">
        <v>43.934514</v>
      </c>
      <c r="V829">
        <v>50</v>
      </c>
      <c r="W829">
        <v>69.539248000000001</v>
      </c>
      <c r="X829">
        <v>46.359498000000002</v>
      </c>
      <c r="Y829">
        <v>50</v>
      </c>
      <c r="Z829">
        <v>74.530344999999997</v>
      </c>
      <c r="AA829">
        <v>62.052602</v>
      </c>
      <c r="AB829">
        <v>41.368400999999999</v>
      </c>
      <c r="AC829">
        <v>50</v>
      </c>
      <c r="AD829">
        <v>67.490686999999994</v>
      </c>
      <c r="AE829">
        <v>44.993791999999999</v>
      </c>
      <c r="AF829">
        <v>50</v>
      </c>
      <c r="AG829">
        <v>63.304054000000001</v>
      </c>
      <c r="AH829">
        <v>70.786547999999996</v>
      </c>
      <c r="AI829">
        <v>42.202703</v>
      </c>
      <c r="AJ829">
        <v>50</v>
      </c>
      <c r="AK829">
        <v>9.09</v>
      </c>
      <c r="AL829">
        <v>12.47</v>
      </c>
      <c r="AM829">
        <v>7.48</v>
      </c>
      <c r="AN829">
        <v>0.65809200000000001</v>
      </c>
      <c r="AO829">
        <v>65.809218000000001</v>
      </c>
      <c r="AP829">
        <v>100</v>
      </c>
      <c r="AQ829">
        <v>0.825098</v>
      </c>
      <c r="AR829">
        <v>82.509749999999997</v>
      </c>
      <c r="AS829">
        <v>100</v>
      </c>
      <c r="AT829">
        <v>0.55022199999999999</v>
      </c>
      <c r="AU829">
        <v>0.72537799999999997</v>
      </c>
      <c r="AV829">
        <v>55.022176999999999</v>
      </c>
      <c r="AW829">
        <v>100</v>
      </c>
      <c r="AX829">
        <v>0.75180000000000002</v>
      </c>
      <c r="AY829">
        <v>0.87081799999999998</v>
      </c>
      <c r="AZ829">
        <v>75.179996000000003</v>
      </c>
      <c r="BA829">
        <v>100</v>
      </c>
      <c r="BB829" t="s">
        <v>125</v>
      </c>
      <c r="BC829" t="s">
        <v>125</v>
      </c>
      <c r="BD829" t="s">
        <v>125</v>
      </c>
      <c r="BE829" t="s">
        <v>125</v>
      </c>
      <c r="BF829" t="s">
        <v>125</v>
      </c>
      <c r="BG829" t="s">
        <v>125</v>
      </c>
      <c r="BH829">
        <v>0</v>
      </c>
      <c r="BI829">
        <v>0.9869</v>
      </c>
      <c r="BJ829">
        <v>0.97826100000000005</v>
      </c>
      <c r="BK829">
        <v>0.99270099999999994</v>
      </c>
      <c r="BL829">
        <v>0.99126599999999998</v>
      </c>
      <c r="BM829">
        <v>0.98912999999999995</v>
      </c>
      <c r="BN829">
        <v>0.99270099999999994</v>
      </c>
      <c r="BO829">
        <v>1</v>
      </c>
      <c r="BP829">
        <v>1</v>
      </c>
      <c r="BQ829">
        <v>1</v>
      </c>
      <c r="BR829">
        <v>6.1224000000000001E-2</v>
      </c>
      <c r="BS829">
        <v>47.755102000000001</v>
      </c>
      <c r="BT829">
        <v>50</v>
      </c>
      <c r="BU829">
        <v>0.12234</v>
      </c>
      <c r="BV829">
        <v>35.531914999999998</v>
      </c>
      <c r="BW829">
        <v>50</v>
      </c>
      <c r="BX829" t="s">
        <v>125</v>
      </c>
      <c r="BY829" t="s">
        <v>125</v>
      </c>
      <c r="BZ829" t="s">
        <v>125</v>
      </c>
      <c r="CA829" t="s">
        <v>125</v>
      </c>
      <c r="CB829" t="s">
        <v>125</v>
      </c>
      <c r="CC829" t="s">
        <v>125</v>
      </c>
      <c r="CD829" t="s">
        <v>125</v>
      </c>
      <c r="CE829" t="s">
        <v>125</v>
      </c>
      <c r="CF829" t="s">
        <v>125</v>
      </c>
      <c r="CG829" t="s">
        <v>125</v>
      </c>
      <c r="CH829" t="s">
        <v>125</v>
      </c>
      <c r="CI829" t="s">
        <v>125</v>
      </c>
      <c r="CJ829" t="s">
        <v>125</v>
      </c>
      <c r="CK829" t="s">
        <v>125</v>
      </c>
      <c r="CL829" t="s">
        <v>125</v>
      </c>
      <c r="CM829" t="s">
        <v>125</v>
      </c>
      <c r="CN829" t="s">
        <v>125</v>
      </c>
      <c r="CO829" t="s">
        <v>125</v>
      </c>
      <c r="CP829" t="s">
        <v>125</v>
      </c>
      <c r="CQ829">
        <v>0.77011499999999999</v>
      </c>
      <c r="CR829">
        <v>0.98863599999999996</v>
      </c>
      <c r="CS829">
        <v>50</v>
      </c>
      <c r="CT829">
        <v>50</v>
      </c>
      <c r="CU829" t="s">
        <v>125</v>
      </c>
      <c r="CV829" t="s">
        <v>125</v>
      </c>
      <c r="CW829" t="s">
        <v>125</v>
      </c>
      <c r="CX829" t="s">
        <v>125</v>
      </c>
      <c r="CY829" t="s">
        <v>125</v>
      </c>
      <c r="CZ829" t="s">
        <v>125</v>
      </c>
      <c r="DA829">
        <v>15.314097</v>
      </c>
      <c r="DB829">
        <v>17.400950000000002</v>
      </c>
      <c r="DC829">
        <v>16.332519999999999</v>
      </c>
      <c r="DD829" t="s">
        <v>125</v>
      </c>
      <c r="DE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Q829" t="s">
        <v>126</v>
      </c>
    </row>
    <row r="830" spans="1:121" x14ac:dyDescent="0.15">
      <c r="A830">
        <v>2018</v>
      </c>
      <c r="B830" t="s">
        <v>278</v>
      </c>
      <c r="C830" t="str">
        <f>"1240011"</f>
        <v>1240011</v>
      </c>
      <c r="D830" t="s">
        <v>985</v>
      </c>
      <c r="E830" t="str">
        <f>"1240211"</f>
        <v>1240211</v>
      </c>
      <c r="F830" t="s">
        <v>328</v>
      </c>
      <c r="G830" t="s">
        <v>329</v>
      </c>
      <c r="H830">
        <v>5</v>
      </c>
      <c r="I830" t="s">
        <v>330</v>
      </c>
      <c r="J830" t="s">
        <v>331</v>
      </c>
      <c r="K830">
        <v>660.72047299999997</v>
      </c>
      <c r="L830">
        <v>850</v>
      </c>
      <c r="M830">
        <v>77.731819999999999</v>
      </c>
      <c r="N830">
        <v>2</v>
      </c>
      <c r="O830">
        <v>0</v>
      </c>
      <c r="P830">
        <v>70.319990000000004</v>
      </c>
      <c r="Q830">
        <v>46.879994000000003</v>
      </c>
      <c r="R830">
        <v>50</v>
      </c>
      <c r="S830">
        <v>63.513764000000002</v>
      </c>
      <c r="T830">
        <v>75</v>
      </c>
      <c r="U830">
        <v>42.342509</v>
      </c>
      <c r="V830">
        <v>50</v>
      </c>
      <c r="W830">
        <v>66.635677999999999</v>
      </c>
      <c r="X830">
        <v>44.423785000000002</v>
      </c>
      <c r="Y830">
        <v>50</v>
      </c>
      <c r="Z830">
        <v>75</v>
      </c>
      <c r="AA830">
        <v>58.397444</v>
      </c>
      <c r="AB830">
        <v>38.931629000000001</v>
      </c>
      <c r="AC830">
        <v>50</v>
      </c>
      <c r="AD830">
        <v>65.981020000000001</v>
      </c>
      <c r="AE830">
        <v>43.987347</v>
      </c>
      <c r="AF830">
        <v>50</v>
      </c>
      <c r="AG830">
        <v>59.979154000000001</v>
      </c>
      <c r="AH830">
        <v>72.896213000000003</v>
      </c>
      <c r="AI830">
        <v>39.986103</v>
      </c>
      <c r="AJ830">
        <v>50</v>
      </c>
      <c r="AK830">
        <v>11.48</v>
      </c>
      <c r="AL830">
        <v>16.600000000000001</v>
      </c>
      <c r="AM830">
        <v>12.91</v>
      </c>
      <c r="AN830">
        <v>0.61960400000000004</v>
      </c>
      <c r="AO830">
        <v>61.960402000000002</v>
      </c>
      <c r="AP830">
        <v>100</v>
      </c>
      <c r="AQ830">
        <v>0.74405200000000005</v>
      </c>
      <c r="AR830">
        <v>74.405243999999996</v>
      </c>
      <c r="AS830">
        <v>100</v>
      </c>
      <c r="AT830">
        <v>0.57289000000000001</v>
      </c>
      <c r="AU830">
        <v>0.67543299999999995</v>
      </c>
      <c r="AV830">
        <v>57.288991000000003</v>
      </c>
      <c r="AW830">
        <v>100</v>
      </c>
      <c r="AX830">
        <v>0.68763399999999997</v>
      </c>
      <c r="AY830">
        <v>0.81147899999999995</v>
      </c>
      <c r="AZ830">
        <v>68.763419999999996</v>
      </c>
      <c r="BA830">
        <v>100</v>
      </c>
      <c r="BB830" t="s">
        <v>125</v>
      </c>
      <c r="BC830" t="s">
        <v>125</v>
      </c>
      <c r="BD830" t="s">
        <v>125</v>
      </c>
      <c r="BE830" t="s">
        <v>125</v>
      </c>
      <c r="BF830" t="s">
        <v>125</v>
      </c>
      <c r="BG830" t="s">
        <v>125</v>
      </c>
      <c r="BH830">
        <v>0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5.7034000000000001E-2</v>
      </c>
      <c r="BS830">
        <v>48.593156</v>
      </c>
      <c r="BT830">
        <v>50</v>
      </c>
      <c r="BU830">
        <v>8.4210999999999994E-2</v>
      </c>
      <c r="BV830">
        <v>43.157895000000003</v>
      </c>
      <c r="BW830">
        <v>50</v>
      </c>
      <c r="BX830" t="s">
        <v>125</v>
      </c>
      <c r="BY830" t="s">
        <v>125</v>
      </c>
      <c r="BZ830" t="s">
        <v>125</v>
      </c>
      <c r="CA830" t="s">
        <v>125</v>
      </c>
      <c r="CB830" t="s">
        <v>125</v>
      </c>
      <c r="CC830" t="s">
        <v>125</v>
      </c>
      <c r="CD830" t="s">
        <v>125</v>
      </c>
      <c r="CE830" t="s">
        <v>125</v>
      </c>
      <c r="CF830" t="s">
        <v>125</v>
      </c>
      <c r="CG830" t="s">
        <v>125</v>
      </c>
      <c r="CH830" t="s">
        <v>125</v>
      </c>
      <c r="CI830" t="s">
        <v>125</v>
      </c>
      <c r="CJ830" t="s">
        <v>125</v>
      </c>
      <c r="CK830" t="s">
        <v>125</v>
      </c>
      <c r="CL830" t="s">
        <v>125</v>
      </c>
      <c r="CM830" t="s">
        <v>125</v>
      </c>
      <c r="CN830" t="s">
        <v>125</v>
      </c>
      <c r="CO830" t="s">
        <v>125</v>
      </c>
      <c r="CP830" t="s">
        <v>125</v>
      </c>
      <c r="CQ830">
        <v>0.79775300000000005</v>
      </c>
      <c r="CR830">
        <v>1</v>
      </c>
      <c r="CS830">
        <v>50</v>
      </c>
      <c r="CT830">
        <v>50</v>
      </c>
      <c r="CU830" t="s">
        <v>125</v>
      </c>
      <c r="CV830" t="s">
        <v>125</v>
      </c>
      <c r="CW830" t="s">
        <v>125</v>
      </c>
      <c r="CX830" t="s">
        <v>125</v>
      </c>
      <c r="CY830" t="s">
        <v>125</v>
      </c>
      <c r="CZ830" t="s">
        <v>125</v>
      </c>
      <c r="DA830">
        <v>15.314097</v>
      </c>
      <c r="DB830">
        <v>17.400950000000002</v>
      </c>
      <c r="DC830">
        <v>16.332519999999999</v>
      </c>
      <c r="DD830" t="s">
        <v>125</v>
      </c>
      <c r="DE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Q830" t="s">
        <v>126</v>
      </c>
    </row>
    <row r="831" spans="1:121" x14ac:dyDescent="0.15">
      <c r="A831">
        <v>2018</v>
      </c>
      <c r="B831" t="s">
        <v>278</v>
      </c>
      <c r="C831" t="str">
        <f>"1240011"</f>
        <v>1240011</v>
      </c>
      <c r="D831" t="s">
        <v>986</v>
      </c>
      <c r="E831" t="str">
        <f>"1246111"</f>
        <v>1246111</v>
      </c>
      <c r="F831" t="s">
        <v>328</v>
      </c>
      <c r="G831">
        <v>9</v>
      </c>
      <c r="H831">
        <v>12</v>
      </c>
      <c r="I831" t="s">
        <v>330</v>
      </c>
      <c r="J831" t="s">
        <v>331</v>
      </c>
      <c r="K831">
        <v>1056.656309</v>
      </c>
      <c r="L831">
        <v>1450</v>
      </c>
      <c r="M831">
        <v>72.872849000000002</v>
      </c>
      <c r="N831">
        <v>3</v>
      </c>
      <c r="O831">
        <v>0</v>
      </c>
      <c r="P831">
        <v>57.2</v>
      </c>
      <c r="Q831">
        <v>114.4</v>
      </c>
      <c r="R831">
        <v>150</v>
      </c>
      <c r="S831">
        <v>47.919539999999998</v>
      </c>
      <c r="T831">
        <v>62.749141000000002</v>
      </c>
      <c r="U831">
        <v>95.839079999999996</v>
      </c>
      <c r="V831">
        <v>150</v>
      </c>
      <c r="W831">
        <v>53.580644999999997</v>
      </c>
      <c r="X831">
        <v>107.16128999999999</v>
      </c>
      <c r="Y831">
        <v>150</v>
      </c>
      <c r="Z831">
        <v>57.967354</v>
      </c>
      <c r="AA831">
        <v>46.244253</v>
      </c>
      <c r="AB831">
        <v>92.488506000000001</v>
      </c>
      <c r="AC831">
        <v>150</v>
      </c>
      <c r="AD831">
        <v>53.680667999999997</v>
      </c>
      <c r="AE831">
        <v>71.574224000000001</v>
      </c>
      <c r="AF831">
        <v>100</v>
      </c>
      <c r="AG831">
        <v>45.415385000000001</v>
      </c>
      <c r="AH831">
        <v>58.367168999999997</v>
      </c>
      <c r="AI831">
        <v>60.553846</v>
      </c>
      <c r="AJ831">
        <v>100</v>
      </c>
      <c r="AK831">
        <v>14.82</v>
      </c>
      <c r="AL831">
        <v>11.72</v>
      </c>
      <c r="AM831">
        <v>12.95</v>
      </c>
      <c r="AN831" t="s">
        <v>125</v>
      </c>
      <c r="AO831" t="s">
        <v>125</v>
      </c>
      <c r="AP831" t="s">
        <v>125</v>
      </c>
      <c r="AQ831" t="s">
        <v>125</v>
      </c>
      <c r="AR831" t="s">
        <v>125</v>
      </c>
      <c r="AS831" t="s">
        <v>125</v>
      </c>
      <c r="AT831" t="s">
        <v>125</v>
      </c>
      <c r="AU831" t="s">
        <v>125</v>
      </c>
      <c r="AV831" t="s">
        <v>125</v>
      </c>
      <c r="AW831" t="s">
        <v>125</v>
      </c>
      <c r="AX831" t="s">
        <v>125</v>
      </c>
      <c r="AY831" t="s">
        <v>125</v>
      </c>
      <c r="AZ831" t="s">
        <v>125</v>
      </c>
      <c r="BA831" t="s">
        <v>125</v>
      </c>
      <c r="BB831" t="s">
        <v>125</v>
      </c>
      <c r="BC831" t="s">
        <v>125</v>
      </c>
      <c r="BD831" t="s">
        <v>125</v>
      </c>
      <c r="BE831" t="s">
        <v>125</v>
      </c>
      <c r="BF831" t="s">
        <v>125</v>
      </c>
      <c r="BG831" t="s">
        <v>125</v>
      </c>
      <c r="BH831">
        <v>1</v>
      </c>
      <c r="BI831">
        <v>0.98765400000000003</v>
      </c>
      <c r="BJ831">
        <v>0.96875</v>
      </c>
      <c r="BK831">
        <v>1</v>
      </c>
      <c r="BL831">
        <v>0.98765400000000003</v>
      </c>
      <c r="BM831">
        <v>0.96875</v>
      </c>
      <c r="BN831">
        <v>1</v>
      </c>
      <c r="BO831">
        <v>0.969136</v>
      </c>
      <c r="BP831">
        <v>0.921875</v>
      </c>
      <c r="BQ831">
        <v>1</v>
      </c>
      <c r="BR831">
        <v>0.21179999999999999</v>
      </c>
      <c r="BS831">
        <v>17.639938999999998</v>
      </c>
      <c r="BT831">
        <v>50</v>
      </c>
      <c r="BU831">
        <v>0.30249100000000001</v>
      </c>
      <c r="BV831">
        <v>0</v>
      </c>
      <c r="BW831">
        <v>50</v>
      </c>
      <c r="BX831">
        <v>0.80538900000000002</v>
      </c>
      <c r="BY831">
        <v>50</v>
      </c>
      <c r="BZ831">
        <v>50</v>
      </c>
      <c r="CA831">
        <v>0.404192</v>
      </c>
      <c r="CB831">
        <v>26.946107999999999</v>
      </c>
      <c r="CC831">
        <v>50</v>
      </c>
      <c r="CD831">
        <v>0.97385600000000005</v>
      </c>
      <c r="CE831">
        <v>50</v>
      </c>
      <c r="CF831">
        <v>50</v>
      </c>
      <c r="CG831">
        <v>0.94267500000000004</v>
      </c>
      <c r="CH831">
        <v>100</v>
      </c>
      <c r="CI831">
        <v>100</v>
      </c>
      <c r="CJ831">
        <v>0</v>
      </c>
      <c r="CK831">
        <v>0.95</v>
      </c>
      <c r="CL831">
        <v>100</v>
      </c>
      <c r="CM831">
        <v>100</v>
      </c>
      <c r="CN831">
        <v>0.74834400000000001</v>
      </c>
      <c r="CO831">
        <v>99.779248999999993</v>
      </c>
      <c r="CP831">
        <v>100</v>
      </c>
      <c r="CQ831">
        <v>0.61805600000000005</v>
      </c>
      <c r="CR831">
        <v>0.82758600000000004</v>
      </c>
      <c r="CS831">
        <v>20.601852000000001</v>
      </c>
      <c r="CT831">
        <v>50</v>
      </c>
      <c r="CU831">
        <v>0.59606700000000001</v>
      </c>
      <c r="CV831">
        <v>49.672213999999997</v>
      </c>
      <c r="CW831">
        <v>50</v>
      </c>
      <c r="CX831">
        <v>0.95</v>
      </c>
      <c r="CY831">
        <v>0.94</v>
      </c>
      <c r="CZ831">
        <v>-0.01</v>
      </c>
      <c r="DA831">
        <v>15.314097</v>
      </c>
      <c r="DB831">
        <v>17.400950000000002</v>
      </c>
      <c r="DC831">
        <v>16.332519999999999</v>
      </c>
      <c r="DD831">
        <v>7.9891730000000001</v>
      </c>
      <c r="DE831">
        <v>1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Q831" t="s">
        <v>126</v>
      </c>
    </row>
    <row r="832" spans="1:121" x14ac:dyDescent="0.15">
      <c r="A832">
        <v>2018</v>
      </c>
      <c r="B832" t="s">
        <v>278</v>
      </c>
      <c r="C832" t="str">
        <f>"1240011"</f>
        <v>1240011</v>
      </c>
      <c r="D832" t="s">
        <v>987</v>
      </c>
      <c r="E832" t="str">
        <f>"1245111"</f>
        <v>1245111</v>
      </c>
      <c r="F832" t="s">
        <v>328</v>
      </c>
      <c r="G832">
        <v>6</v>
      </c>
      <c r="H832">
        <v>8</v>
      </c>
      <c r="I832" t="s">
        <v>330</v>
      </c>
      <c r="J832" t="s">
        <v>331</v>
      </c>
      <c r="K832">
        <v>599.90883499999995</v>
      </c>
      <c r="L832">
        <v>900</v>
      </c>
      <c r="M832">
        <v>66.656537</v>
      </c>
      <c r="N832">
        <v>3</v>
      </c>
      <c r="O832">
        <v>1</v>
      </c>
      <c r="P832">
        <v>65.790763999999996</v>
      </c>
      <c r="Q832">
        <v>43.860509999999998</v>
      </c>
      <c r="R832">
        <v>50</v>
      </c>
      <c r="S832">
        <v>57.193232999999999</v>
      </c>
      <c r="T832">
        <v>72.741960000000006</v>
      </c>
      <c r="U832">
        <v>38.128822</v>
      </c>
      <c r="V832">
        <v>50</v>
      </c>
      <c r="W832">
        <v>63.950648000000001</v>
      </c>
      <c r="X832">
        <v>42.633764999999997</v>
      </c>
      <c r="Y832">
        <v>50</v>
      </c>
      <c r="Z832">
        <v>71.521237999999997</v>
      </c>
      <c r="AA832">
        <v>54.545774000000002</v>
      </c>
      <c r="AB832">
        <v>36.363849000000002</v>
      </c>
      <c r="AC832">
        <v>50</v>
      </c>
      <c r="AD832">
        <v>68.805549999999997</v>
      </c>
      <c r="AE832">
        <v>45.870367000000002</v>
      </c>
      <c r="AF832">
        <v>50</v>
      </c>
      <c r="AG832">
        <v>59.536135999999999</v>
      </c>
      <c r="AH832">
        <v>75</v>
      </c>
      <c r="AI832">
        <v>39.690756999999998</v>
      </c>
      <c r="AJ832">
        <v>50</v>
      </c>
      <c r="AK832">
        <v>15.54</v>
      </c>
      <c r="AL832">
        <v>16.97</v>
      </c>
      <c r="AM832">
        <v>15.46</v>
      </c>
      <c r="AN832">
        <v>0.49373400000000001</v>
      </c>
      <c r="AO832">
        <v>49.373412999999999</v>
      </c>
      <c r="AP832">
        <v>100</v>
      </c>
      <c r="AQ832">
        <v>0.52651599999999998</v>
      </c>
      <c r="AR832">
        <v>52.651648999999999</v>
      </c>
      <c r="AS832">
        <v>100</v>
      </c>
      <c r="AT832">
        <v>0.44814500000000002</v>
      </c>
      <c r="AU832">
        <v>0.52607199999999998</v>
      </c>
      <c r="AV832">
        <v>44.814546999999997</v>
      </c>
      <c r="AW832">
        <v>100</v>
      </c>
      <c r="AX832">
        <v>0.47203899999999999</v>
      </c>
      <c r="AY832">
        <v>0.564971</v>
      </c>
      <c r="AZ832">
        <v>47.203932000000002</v>
      </c>
      <c r="BA832">
        <v>100</v>
      </c>
      <c r="BB832" t="s">
        <v>125</v>
      </c>
      <c r="BC832" t="s">
        <v>125</v>
      </c>
      <c r="BD832" t="s">
        <v>125</v>
      </c>
      <c r="BE832" t="s">
        <v>125</v>
      </c>
      <c r="BF832" t="s">
        <v>125</v>
      </c>
      <c r="BG832" t="s">
        <v>125</v>
      </c>
      <c r="BH832">
        <v>0</v>
      </c>
      <c r="BI832">
        <v>0.99621199999999999</v>
      </c>
      <c r="BJ832">
        <v>1</v>
      </c>
      <c r="BK832">
        <v>0.993031</v>
      </c>
      <c r="BL832">
        <v>0.99431800000000004</v>
      </c>
      <c r="BM832">
        <v>0.99585100000000004</v>
      </c>
      <c r="BN832">
        <v>0.993031</v>
      </c>
      <c r="BO832">
        <v>1</v>
      </c>
      <c r="BP832">
        <v>1</v>
      </c>
      <c r="BQ832">
        <v>1</v>
      </c>
      <c r="BR832">
        <v>7.9545000000000005E-2</v>
      </c>
      <c r="BS832">
        <v>44.090909000000003</v>
      </c>
      <c r="BT832">
        <v>50</v>
      </c>
      <c r="BU832">
        <v>0.15189900000000001</v>
      </c>
      <c r="BV832">
        <v>29.620253000000002</v>
      </c>
      <c r="BW832">
        <v>50</v>
      </c>
      <c r="BX832" t="s">
        <v>125</v>
      </c>
      <c r="BY832" t="s">
        <v>125</v>
      </c>
      <c r="BZ832" t="s">
        <v>125</v>
      </c>
      <c r="CA832" t="s">
        <v>125</v>
      </c>
      <c r="CB832" t="s">
        <v>125</v>
      </c>
      <c r="CC832" t="s">
        <v>125</v>
      </c>
      <c r="CD832">
        <v>0.97660800000000003</v>
      </c>
      <c r="CE832">
        <v>50</v>
      </c>
      <c r="CF832">
        <v>50</v>
      </c>
      <c r="CG832" t="s">
        <v>125</v>
      </c>
      <c r="CH832" t="s">
        <v>125</v>
      </c>
      <c r="CI832" t="s">
        <v>125</v>
      </c>
      <c r="CJ832" t="s">
        <v>125</v>
      </c>
      <c r="CK832" t="s">
        <v>125</v>
      </c>
      <c r="CL832" t="s">
        <v>125</v>
      </c>
      <c r="CM832" t="s">
        <v>125</v>
      </c>
      <c r="CN832" t="s">
        <v>125</v>
      </c>
      <c r="CO832" t="s">
        <v>125</v>
      </c>
      <c r="CP832" t="s">
        <v>125</v>
      </c>
      <c r="CQ832">
        <v>0.53409099999999998</v>
      </c>
      <c r="CR832">
        <v>0.96174899999999997</v>
      </c>
      <c r="CS832">
        <v>35.606060999999997</v>
      </c>
      <c r="CT832">
        <v>50</v>
      </c>
      <c r="CU832" t="s">
        <v>125</v>
      </c>
      <c r="CV832" t="s">
        <v>125</v>
      </c>
      <c r="CW832" t="s">
        <v>125</v>
      </c>
      <c r="CX832" t="s">
        <v>125</v>
      </c>
      <c r="CY832" t="s">
        <v>125</v>
      </c>
      <c r="CZ832" t="s">
        <v>125</v>
      </c>
      <c r="DA832">
        <v>15.314097</v>
      </c>
      <c r="DB832">
        <v>17.400950000000002</v>
      </c>
      <c r="DC832">
        <v>16.332519999999999</v>
      </c>
      <c r="DD832" t="s">
        <v>125</v>
      </c>
      <c r="DE832">
        <v>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Q832" t="s">
        <v>126</v>
      </c>
    </row>
    <row r="833" spans="1:121" x14ac:dyDescent="0.15">
      <c r="A833">
        <v>2018</v>
      </c>
      <c r="B833" t="s">
        <v>279</v>
      </c>
      <c r="C833" t="str">
        <f>"1250011"</f>
        <v>1250011</v>
      </c>
      <c r="D833" t="s">
        <v>988</v>
      </c>
      <c r="E833" t="str">
        <f>"1250111"</f>
        <v>1250111</v>
      </c>
      <c r="F833" t="s">
        <v>328</v>
      </c>
      <c r="G833" t="s">
        <v>329</v>
      </c>
      <c r="H833">
        <v>8</v>
      </c>
      <c r="I833" t="s">
        <v>330</v>
      </c>
      <c r="J833" t="s">
        <v>331</v>
      </c>
      <c r="K833">
        <v>674.75871700000005</v>
      </c>
      <c r="L833">
        <v>800</v>
      </c>
      <c r="M833">
        <v>84.344840000000005</v>
      </c>
      <c r="N833">
        <v>2</v>
      </c>
      <c r="O833">
        <v>0</v>
      </c>
      <c r="P833">
        <v>75.064696999999995</v>
      </c>
      <c r="Q833">
        <v>50</v>
      </c>
      <c r="R833">
        <v>50</v>
      </c>
      <c r="S833">
        <v>66.677358999999996</v>
      </c>
      <c r="T833">
        <v>75</v>
      </c>
      <c r="U833">
        <v>44.451573000000003</v>
      </c>
      <c r="V833">
        <v>50</v>
      </c>
      <c r="W833">
        <v>66.759618000000003</v>
      </c>
      <c r="X833">
        <v>44.506411999999997</v>
      </c>
      <c r="Y833">
        <v>50</v>
      </c>
      <c r="Z833">
        <v>72.569918000000001</v>
      </c>
      <c r="AA833">
        <v>60.792282999999998</v>
      </c>
      <c r="AB833">
        <v>40.528188</v>
      </c>
      <c r="AC833">
        <v>50</v>
      </c>
      <c r="AD833">
        <v>76.404359999999997</v>
      </c>
      <c r="AE833">
        <v>50</v>
      </c>
      <c r="AF833">
        <v>50</v>
      </c>
      <c r="AG833" t="s">
        <v>125</v>
      </c>
      <c r="AH833" t="s">
        <v>125</v>
      </c>
      <c r="AI833" t="s">
        <v>125</v>
      </c>
      <c r="AJ833" t="s">
        <v>125</v>
      </c>
      <c r="AK833">
        <v>8.32</v>
      </c>
      <c r="AL833">
        <v>11.77</v>
      </c>
      <c r="AM833" t="s">
        <v>125</v>
      </c>
      <c r="AN833">
        <v>0.789744</v>
      </c>
      <c r="AO833">
        <v>78.974383000000003</v>
      </c>
      <c r="AP833">
        <v>100</v>
      </c>
      <c r="AQ833">
        <v>0.75256299999999998</v>
      </c>
      <c r="AR833">
        <v>75.256260999999995</v>
      </c>
      <c r="AS833">
        <v>100</v>
      </c>
      <c r="AT833">
        <v>0.66395199999999999</v>
      </c>
      <c r="AU833">
        <v>0.90410000000000001</v>
      </c>
      <c r="AV833">
        <v>66.395182000000005</v>
      </c>
      <c r="AW833">
        <v>100</v>
      </c>
      <c r="AX833">
        <v>0.82715099999999997</v>
      </c>
      <c r="AY833">
        <v>0.691137</v>
      </c>
      <c r="AZ833">
        <v>82.715123000000006</v>
      </c>
      <c r="BA833">
        <v>100</v>
      </c>
      <c r="BB833" t="s">
        <v>125</v>
      </c>
      <c r="BC833" t="s">
        <v>125</v>
      </c>
      <c r="BD833" t="s">
        <v>125</v>
      </c>
      <c r="BE833" t="s">
        <v>125</v>
      </c>
      <c r="BF833" t="s">
        <v>125</v>
      </c>
      <c r="BG833" t="s">
        <v>125</v>
      </c>
      <c r="BH833">
        <v>0</v>
      </c>
      <c r="BI833">
        <v>0.98750000000000004</v>
      </c>
      <c r="BJ833">
        <v>1</v>
      </c>
      <c r="BK833">
        <v>0.97499999999999998</v>
      </c>
      <c r="BL833">
        <v>0.98750000000000004</v>
      </c>
      <c r="BM833">
        <v>0.97499999999999998</v>
      </c>
      <c r="BN833">
        <v>1</v>
      </c>
      <c r="BO833">
        <v>0.96296300000000001</v>
      </c>
      <c r="BP833" t="s">
        <v>125</v>
      </c>
      <c r="BQ833" t="s">
        <v>125</v>
      </c>
      <c r="BR833">
        <v>5.1723999999999999E-2</v>
      </c>
      <c r="BS833">
        <v>49.655172</v>
      </c>
      <c r="BT833">
        <v>50</v>
      </c>
      <c r="BU833">
        <v>4.9180000000000001E-2</v>
      </c>
      <c r="BV833">
        <v>50</v>
      </c>
      <c r="BW833">
        <v>50</v>
      </c>
      <c r="BX833" t="s">
        <v>125</v>
      </c>
      <c r="BY833" t="s">
        <v>125</v>
      </c>
      <c r="BZ833" t="s">
        <v>125</v>
      </c>
      <c r="CA833" t="s">
        <v>125</v>
      </c>
      <c r="CB833" t="s">
        <v>125</v>
      </c>
      <c r="CC833" t="s">
        <v>125</v>
      </c>
      <c r="CD833" t="s">
        <v>125</v>
      </c>
      <c r="CE833" t="s">
        <v>125</v>
      </c>
      <c r="CF833" t="s">
        <v>125</v>
      </c>
      <c r="CG833" t="s">
        <v>125</v>
      </c>
      <c r="CH833" t="s">
        <v>125</v>
      </c>
      <c r="CI833" t="s">
        <v>125</v>
      </c>
      <c r="CJ833" t="s">
        <v>125</v>
      </c>
      <c r="CK833" t="s">
        <v>125</v>
      </c>
      <c r="CL833" t="s">
        <v>125</v>
      </c>
      <c r="CM833" t="s">
        <v>125</v>
      </c>
      <c r="CN833" t="s">
        <v>125</v>
      </c>
      <c r="CO833" t="s">
        <v>125</v>
      </c>
      <c r="CP833" t="s">
        <v>125</v>
      </c>
      <c r="CQ833">
        <v>0.63414599999999999</v>
      </c>
      <c r="CR833">
        <v>0.911111</v>
      </c>
      <c r="CS833">
        <v>42.276423000000001</v>
      </c>
      <c r="CT833">
        <v>50</v>
      </c>
      <c r="CU833" t="s">
        <v>125</v>
      </c>
      <c r="CV833" t="s">
        <v>125</v>
      </c>
      <c r="CW833" t="s">
        <v>125</v>
      </c>
      <c r="CX833" t="s">
        <v>125</v>
      </c>
      <c r="CY833" t="s">
        <v>125</v>
      </c>
      <c r="CZ833" t="s">
        <v>125</v>
      </c>
      <c r="DA833">
        <v>15.314097</v>
      </c>
      <c r="DB833">
        <v>17.400950000000002</v>
      </c>
      <c r="DC833">
        <v>16.332519999999999</v>
      </c>
      <c r="DD833" t="s">
        <v>125</v>
      </c>
      <c r="DE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Q833" t="s">
        <v>126</v>
      </c>
    </row>
    <row r="834" spans="1:121" x14ac:dyDescent="0.15">
      <c r="A834">
        <v>2018</v>
      </c>
      <c r="B834" t="s">
        <v>280</v>
      </c>
      <c r="C834" t="str">
        <f t="shared" ref="C834:C841" si="34">"1260011"</f>
        <v>1260011</v>
      </c>
      <c r="D834" t="s">
        <v>989</v>
      </c>
      <c r="E834" t="str">
        <f>"1261011"</f>
        <v>1261011</v>
      </c>
      <c r="F834" t="s">
        <v>328</v>
      </c>
      <c r="G834" t="s">
        <v>339</v>
      </c>
      <c r="H834">
        <v>4</v>
      </c>
      <c r="J834" t="s">
        <v>331</v>
      </c>
      <c r="K834">
        <v>631.35210400000005</v>
      </c>
      <c r="L834">
        <v>850</v>
      </c>
      <c r="M834">
        <v>74.276718000000002</v>
      </c>
      <c r="N834">
        <v>2</v>
      </c>
      <c r="O834">
        <v>0</v>
      </c>
      <c r="P834">
        <v>80.231294000000005</v>
      </c>
      <c r="Q834">
        <v>50</v>
      </c>
      <c r="R834">
        <v>50</v>
      </c>
      <c r="S834">
        <v>71.380654000000007</v>
      </c>
      <c r="T834">
        <v>75</v>
      </c>
      <c r="U834">
        <v>47.587102999999999</v>
      </c>
      <c r="V834">
        <v>50</v>
      </c>
      <c r="W834">
        <v>76.453450000000004</v>
      </c>
      <c r="X834">
        <v>50</v>
      </c>
      <c r="Y834">
        <v>50</v>
      </c>
      <c r="Z834">
        <v>75</v>
      </c>
      <c r="AA834">
        <v>66.568544000000003</v>
      </c>
      <c r="AB834">
        <v>44.379029000000003</v>
      </c>
      <c r="AC834">
        <v>50</v>
      </c>
      <c r="AD834" t="s">
        <v>125</v>
      </c>
      <c r="AE834" t="s">
        <v>125</v>
      </c>
      <c r="AF834" t="s">
        <v>125</v>
      </c>
      <c r="AG834" t="s">
        <v>125</v>
      </c>
      <c r="AH834" t="s">
        <v>125</v>
      </c>
      <c r="AI834" t="s">
        <v>125</v>
      </c>
      <c r="AJ834" t="s">
        <v>125</v>
      </c>
      <c r="AK834">
        <v>3.61</v>
      </c>
      <c r="AL834">
        <v>8.43</v>
      </c>
      <c r="AM834" t="s">
        <v>125</v>
      </c>
      <c r="AN834">
        <v>0.62389799999999995</v>
      </c>
      <c r="AO834">
        <v>62.389772000000001</v>
      </c>
      <c r="AP834">
        <v>100</v>
      </c>
      <c r="AQ834">
        <v>0.76422900000000005</v>
      </c>
      <c r="AR834">
        <v>76.422926000000004</v>
      </c>
      <c r="AS834">
        <v>100</v>
      </c>
      <c r="AT834">
        <v>0.40995500000000001</v>
      </c>
      <c r="AU834">
        <v>0.70647199999999999</v>
      </c>
      <c r="AV834">
        <v>40.995538000000003</v>
      </c>
      <c r="AW834">
        <v>100</v>
      </c>
      <c r="AX834">
        <v>0.61293900000000001</v>
      </c>
      <c r="AY834">
        <v>0.82262199999999996</v>
      </c>
      <c r="AZ834">
        <v>61.293939000000002</v>
      </c>
      <c r="BA834">
        <v>100</v>
      </c>
      <c r="BB834">
        <v>0.682558</v>
      </c>
      <c r="BC834">
        <v>34.127907</v>
      </c>
      <c r="BD834">
        <v>50</v>
      </c>
      <c r="BE834">
        <v>0.53901399999999999</v>
      </c>
      <c r="BF834">
        <v>26.950707000000001</v>
      </c>
      <c r="BG834">
        <v>50</v>
      </c>
      <c r="BH834">
        <v>0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 t="s">
        <v>125</v>
      </c>
      <c r="BP834" t="s">
        <v>125</v>
      </c>
      <c r="BQ834" t="s">
        <v>125</v>
      </c>
      <c r="BR834">
        <v>5.2786E-2</v>
      </c>
      <c r="BS834">
        <v>49.442815000000003</v>
      </c>
      <c r="BT834">
        <v>50</v>
      </c>
      <c r="BU834">
        <v>8.7378999999999998E-2</v>
      </c>
      <c r="BV834">
        <v>42.524272000000003</v>
      </c>
      <c r="BW834">
        <v>50</v>
      </c>
      <c r="BX834" t="s">
        <v>125</v>
      </c>
      <c r="BY834" t="s">
        <v>125</v>
      </c>
      <c r="BZ834" t="s">
        <v>125</v>
      </c>
      <c r="CA834" t="s">
        <v>125</v>
      </c>
      <c r="CB834" t="s">
        <v>125</v>
      </c>
      <c r="CC834" t="s">
        <v>125</v>
      </c>
      <c r="CD834" t="s">
        <v>125</v>
      </c>
      <c r="CE834" t="s">
        <v>125</v>
      </c>
      <c r="CF834" t="s">
        <v>125</v>
      </c>
      <c r="CG834" t="s">
        <v>125</v>
      </c>
      <c r="CH834" t="s">
        <v>125</v>
      </c>
      <c r="CI834" t="s">
        <v>125</v>
      </c>
      <c r="CJ834" t="s">
        <v>125</v>
      </c>
      <c r="CK834" t="s">
        <v>125</v>
      </c>
      <c r="CL834" t="s">
        <v>125</v>
      </c>
      <c r="CM834" t="s">
        <v>125</v>
      </c>
      <c r="CN834" t="s">
        <v>125</v>
      </c>
      <c r="CO834" t="s">
        <v>125</v>
      </c>
      <c r="CP834" t="s">
        <v>125</v>
      </c>
      <c r="CQ834">
        <v>0.67857100000000004</v>
      </c>
      <c r="CR834">
        <v>1.037037</v>
      </c>
      <c r="CS834">
        <v>45.238095000000001</v>
      </c>
      <c r="CT834">
        <v>50</v>
      </c>
      <c r="CU834" t="s">
        <v>125</v>
      </c>
      <c r="CV834" t="s">
        <v>125</v>
      </c>
      <c r="CW834" t="s">
        <v>125</v>
      </c>
      <c r="CX834" t="s">
        <v>125</v>
      </c>
      <c r="CY834" t="s">
        <v>125</v>
      </c>
      <c r="CZ834" t="s">
        <v>125</v>
      </c>
      <c r="DA834">
        <v>15.314097</v>
      </c>
      <c r="DB834">
        <v>17.400950000000002</v>
      </c>
      <c r="DC834">
        <v>16.332519999999999</v>
      </c>
      <c r="DD834" t="s">
        <v>125</v>
      </c>
      <c r="DE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Q834" t="s">
        <v>126</v>
      </c>
    </row>
    <row r="835" spans="1:121" x14ac:dyDescent="0.15">
      <c r="A835">
        <v>2018</v>
      </c>
      <c r="B835" t="s">
        <v>280</v>
      </c>
      <c r="C835" t="str">
        <f t="shared" si="34"/>
        <v>1260011</v>
      </c>
      <c r="D835" t="s">
        <v>990</v>
      </c>
      <c r="E835" t="str">
        <f>"1260511"</f>
        <v>1260511</v>
      </c>
      <c r="F835" t="s">
        <v>328</v>
      </c>
      <c r="G835" t="s">
        <v>339</v>
      </c>
      <c r="H835">
        <v>4</v>
      </c>
      <c r="J835" t="s">
        <v>331</v>
      </c>
      <c r="K835">
        <v>638.49187900000004</v>
      </c>
      <c r="L835">
        <v>850</v>
      </c>
      <c r="M835">
        <v>75.116692</v>
      </c>
      <c r="N835">
        <v>2</v>
      </c>
      <c r="O835">
        <v>0</v>
      </c>
      <c r="P835">
        <v>77.152495000000002</v>
      </c>
      <c r="Q835">
        <v>50</v>
      </c>
      <c r="R835">
        <v>50</v>
      </c>
      <c r="S835">
        <v>67.863664</v>
      </c>
      <c r="T835">
        <v>75</v>
      </c>
      <c r="U835">
        <v>45.242443000000002</v>
      </c>
      <c r="V835">
        <v>50</v>
      </c>
      <c r="W835">
        <v>70.895314999999997</v>
      </c>
      <c r="X835">
        <v>47.263542999999999</v>
      </c>
      <c r="Y835">
        <v>50</v>
      </c>
      <c r="Z835">
        <v>75</v>
      </c>
      <c r="AA835">
        <v>59.988947000000003</v>
      </c>
      <c r="AB835">
        <v>39.992631000000003</v>
      </c>
      <c r="AC835">
        <v>50</v>
      </c>
      <c r="AD835" t="s">
        <v>125</v>
      </c>
      <c r="AE835" t="s">
        <v>125</v>
      </c>
      <c r="AF835" t="s">
        <v>125</v>
      </c>
      <c r="AG835" t="s">
        <v>125</v>
      </c>
      <c r="AH835" t="s">
        <v>125</v>
      </c>
      <c r="AI835" t="s">
        <v>125</v>
      </c>
      <c r="AJ835" t="s">
        <v>125</v>
      </c>
      <c r="AK835">
        <v>7.13</v>
      </c>
      <c r="AL835">
        <v>15.01</v>
      </c>
      <c r="AM835" t="s">
        <v>125</v>
      </c>
      <c r="AN835">
        <v>0.70178499999999999</v>
      </c>
      <c r="AO835">
        <v>70.178469000000007</v>
      </c>
      <c r="AP835">
        <v>100</v>
      </c>
      <c r="AQ835">
        <v>0.62889300000000004</v>
      </c>
      <c r="AR835">
        <v>62.889288000000001</v>
      </c>
      <c r="AS835">
        <v>100</v>
      </c>
      <c r="AT835">
        <v>0.67315999999999998</v>
      </c>
      <c r="AU835">
        <v>0.71828000000000003</v>
      </c>
      <c r="AV835">
        <v>67.316001999999997</v>
      </c>
      <c r="AW835">
        <v>100</v>
      </c>
      <c r="AX835">
        <v>0.53065600000000002</v>
      </c>
      <c r="AY835">
        <v>0.685504</v>
      </c>
      <c r="AZ835">
        <v>53.065556999999998</v>
      </c>
      <c r="BA835">
        <v>100</v>
      </c>
      <c r="BB835">
        <v>0.69709100000000002</v>
      </c>
      <c r="BC835">
        <v>34.854574999999997</v>
      </c>
      <c r="BD835">
        <v>50</v>
      </c>
      <c r="BE835">
        <v>0.53434300000000001</v>
      </c>
      <c r="BF835">
        <v>26.717148000000002</v>
      </c>
      <c r="BG835">
        <v>50</v>
      </c>
      <c r="BH835">
        <v>0</v>
      </c>
      <c r="BI835">
        <v>0.99453599999999998</v>
      </c>
      <c r="BJ835">
        <v>0.98630099999999998</v>
      </c>
      <c r="BK835">
        <v>1</v>
      </c>
      <c r="BL835">
        <v>0.99453599999999998</v>
      </c>
      <c r="BM835">
        <v>0.98630099999999998</v>
      </c>
      <c r="BN835">
        <v>1</v>
      </c>
      <c r="BO835" t="s">
        <v>125</v>
      </c>
      <c r="BP835" t="s">
        <v>125</v>
      </c>
      <c r="BQ835" t="s">
        <v>125</v>
      </c>
      <c r="BR835">
        <v>2.1142000000000001E-2</v>
      </c>
      <c r="BS835">
        <v>50</v>
      </c>
      <c r="BT835">
        <v>50</v>
      </c>
      <c r="BU835">
        <v>4.0697999999999998E-2</v>
      </c>
      <c r="BV835">
        <v>50</v>
      </c>
      <c r="BW835">
        <v>50</v>
      </c>
      <c r="BX835" t="s">
        <v>125</v>
      </c>
      <c r="BY835" t="s">
        <v>125</v>
      </c>
      <c r="BZ835" t="s">
        <v>125</v>
      </c>
      <c r="CA835" t="s">
        <v>125</v>
      </c>
      <c r="CB835" t="s">
        <v>125</v>
      </c>
      <c r="CC835" t="s">
        <v>125</v>
      </c>
      <c r="CD835" t="s">
        <v>125</v>
      </c>
      <c r="CE835" t="s">
        <v>125</v>
      </c>
      <c r="CF835" t="s">
        <v>125</v>
      </c>
      <c r="CG835" t="s">
        <v>125</v>
      </c>
      <c r="CH835" t="s">
        <v>125</v>
      </c>
      <c r="CI835" t="s">
        <v>125</v>
      </c>
      <c r="CJ835" t="s">
        <v>125</v>
      </c>
      <c r="CK835" t="s">
        <v>125</v>
      </c>
      <c r="CL835" t="s">
        <v>125</v>
      </c>
      <c r="CM835" t="s">
        <v>125</v>
      </c>
      <c r="CN835" t="s">
        <v>125</v>
      </c>
      <c r="CO835" t="s">
        <v>125</v>
      </c>
      <c r="CP835" t="s">
        <v>125</v>
      </c>
      <c r="CQ835">
        <v>0.61458299999999999</v>
      </c>
      <c r="CR835">
        <v>1</v>
      </c>
      <c r="CS835">
        <v>40.972222000000002</v>
      </c>
      <c r="CT835">
        <v>50</v>
      </c>
      <c r="CU835" t="s">
        <v>125</v>
      </c>
      <c r="CV835" t="s">
        <v>125</v>
      </c>
      <c r="CW835" t="s">
        <v>125</v>
      </c>
      <c r="CX835" t="s">
        <v>125</v>
      </c>
      <c r="CY835" t="s">
        <v>125</v>
      </c>
      <c r="CZ835" t="s">
        <v>125</v>
      </c>
      <c r="DA835">
        <v>15.314097</v>
      </c>
      <c r="DB835">
        <v>17.400950000000002</v>
      </c>
      <c r="DC835">
        <v>16.332519999999999</v>
      </c>
      <c r="DD835" t="s">
        <v>125</v>
      </c>
      <c r="DE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Q835" t="s">
        <v>126</v>
      </c>
    </row>
    <row r="836" spans="1:121" x14ac:dyDescent="0.15">
      <c r="A836">
        <v>2018</v>
      </c>
      <c r="B836" t="s">
        <v>280</v>
      </c>
      <c r="C836" t="str">
        <f t="shared" si="34"/>
        <v>1260011</v>
      </c>
      <c r="D836" t="s">
        <v>991</v>
      </c>
      <c r="E836" t="str">
        <f>"1265111"</f>
        <v>1265111</v>
      </c>
      <c r="F836" t="s">
        <v>328</v>
      </c>
      <c r="G836">
        <v>7</v>
      </c>
      <c r="H836">
        <v>8</v>
      </c>
      <c r="J836" t="s">
        <v>331</v>
      </c>
      <c r="K836">
        <v>655.710959</v>
      </c>
      <c r="L836">
        <v>900</v>
      </c>
      <c r="M836">
        <v>72.856773000000004</v>
      </c>
      <c r="N836">
        <v>3</v>
      </c>
      <c r="O836">
        <v>1</v>
      </c>
      <c r="P836">
        <v>73.383453000000003</v>
      </c>
      <c r="Q836">
        <v>48.922302000000002</v>
      </c>
      <c r="R836">
        <v>50</v>
      </c>
      <c r="S836">
        <v>63.541910000000001</v>
      </c>
      <c r="T836">
        <v>75</v>
      </c>
      <c r="U836">
        <v>42.361272999999997</v>
      </c>
      <c r="V836">
        <v>50</v>
      </c>
      <c r="W836">
        <v>68.328368999999995</v>
      </c>
      <c r="X836">
        <v>45.552245999999997</v>
      </c>
      <c r="Y836">
        <v>50</v>
      </c>
      <c r="Z836">
        <v>75</v>
      </c>
      <c r="AA836">
        <v>55.719507999999998</v>
      </c>
      <c r="AB836">
        <v>37.146338999999998</v>
      </c>
      <c r="AC836">
        <v>50</v>
      </c>
      <c r="AD836">
        <v>68.123806000000002</v>
      </c>
      <c r="AE836">
        <v>45.415869999999998</v>
      </c>
      <c r="AF836">
        <v>50</v>
      </c>
      <c r="AG836">
        <v>59.484999999999999</v>
      </c>
      <c r="AH836">
        <v>73.735337000000001</v>
      </c>
      <c r="AI836">
        <v>39.656666999999999</v>
      </c>
      <c r="AJ836">
        <v>50</v>
      </c>
      <c r="AK836">
        <v>11.45</v>
      </c>
      <c r="AL836">
        <v>19.28</v>
      </c>
      <c r="AM836">
        <v>14.25</v>
      </c>
      <c r="AN836">
        <v>0.582283</v>
      </c>
      <c r="AO836">
        <v>58.228326000000003</v>
      </c>
      <c r="AP836">
        <v>100</v>
      </c>
      <c r="AQ836">
        <v>0.62523499999999999</v>
      </c>
      <c r="AR836">
        <v>62.523488999999998</v>
      </c>
      <c r="AS836">
        <v>100</v>
      </c>
      <c r="AT836">
        <v>0.56461799999999995</v>
      </c>
      <c r="AU836">
        <v>0.59250999999999998</v>
      </c>
      <c r="AV836">
        <v>56.461824</v>
      </c>
      <c r="AW836">
        <v>100</v>
      </c>
      <c r="AX836">
        <v>0.51627000000000001</v>
      </c>
      <c r="AY836">
        <v>0.68859800000000004</v>
      </c>
      <c r="AZ836">
        <v>51.626956</v>
      </c>
      <c r="BA836">
        <v>100</v>
      </c>
      <c r="BB836" t="s">
        <v>125</v>
      </c>
      <c r="BC836" t="s">
        <v>125</v>
      </c>
      <c r="BD836" t="s">
        <v>125</v>
      </c>
      <c r="BE836" t="s">
        <v>125</v>
      </c>
      <c r="BF836" t="s">
        <v>125</v>
      </c>
      <c r="BG836" t="s">
        <v>125</v>
      </c>
      <c r="BH836">
        <v>0</v>
      </c>
      <c r="BI836">
        <v>0.99870599999999998</v>
      </c>
      <c r="BJ836">
        <v>0.99671100000000001</v>
      </c>
      <c r="BK836">
        <v>1</v>
      </c>
      <c r="BL836">
        <v>0.99741299999999999</v>
      </c>
      <c r="BM836">
        <v>1</v>
      </c>
      <c r="BN836">
        <v>0.99573599999999995</v>
      </c>
      <c r="BO836">
        <v>1</v>
      </c>
      <c r="BP836">
        <v>1</v>
      </c>
      <c r="BQ836">
        <v>1</v>
      </c>
      <c r="BR836">
        <v>7.0129999999999998E-2</v>
      </c>
      <c r="BS836">
        <v>45.974026000000002</v>
      </c>
      <c r="BT836">
        <v>50</v>
      </c>
      <c r="BU836">
        <v>0.12751699999999999</v>
      </c>
      <c r="BV836">
        <v>34.496644000000003</v>
      </c>
      <c r="BW836">
        <v>50</v>
      </c>
      <c r="BX836" t="s">
        <v>125</v>
      </c>
      <c r="BY836" t="s">
        <v>125</v>
      </c>
      <c r="BZ836" t="s">
        <v>125</v>
      </c>
      <c r="CA836" t="s">
        <v>125</v>
      </c>
      <c r="CB836" t="s">
        <v>125</v>
      </c>
      <c r="CC836" t="s">
        <v>125</v>
      </c>
      <c r="CD836">
        <v>0.91317400000000004</v>
      </c>
      <c r="CE836">
        <v>48.573067000000002</v>
      </c>
      <c r="CF836">
        <v>50</v>
      </c>
      <c r="CG836" t="s">
        <v>125</v>
      </c>
      <c r="CH836" t="s">
        <v>125</v>
      </c>
      <c r="CI836" t="s">
        <v>125</v>
      </c>
      <c r="CJ836" t="s">
        <v>125</v>
      </c>
      <c r="CK836" t="s">
        <v>125</v>
      </c>
      <c r="CL836" t="s">
        <v>125</v>
      </c>
      <c r="CM836" t="s">
        <v>125</v>
      </c>
      <c r="CN836" t="s">
        <v>125</v>
      </c>
      <c r="CO836" t="s">
        <v>125</v>
      </c>
      <c r="CP836" t="s">
        <v>125</v>
      </c>
      <c r="CQ836">
        <v>0.58157899999999996</v>
      </c>
      <c r="CR836">
        <v>0.96202500000000002</v>
      </c>
      <c r="CS836">
        <v>38.771929999999998</v>
      </c>
      <c r="CT836">
        <v>50</v>
      </c>
      <c r="CU836" t="s">
        <v>125</v>
      </c>
      <c r="CV836" t="s">
        <v>125</v>
      </c>
      <c r="CW836" t="s">
        <v>125</v>
      </c>
      <c r="CX836" t="s">
        <v>125</v>
      </c>
      <c r="CY836" t="s">
        <v>125</v>
      </c>
      <c r="CZ836" t="s">
        <v>125</v>
      </c>
      <c r="DA836">
        <v>15.314097</v>
      </c>
      <c r="DB836">
        <v>17.400950000000002</v>
      </c>
      <c r="DC836">
        <v>16.332519999999999</v>
      </c>
      <c r="DD836" t="s">
        <v>125</v>
      </c>
      <c r="DE836">
        <v>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Q836" t="s">
        <v>126</v>
      </c>
    </row>
    <row r="837" spans="1:121" x14ac:dyDescent="0.15">
      <c r="A837">
        <v>2018</v>
      </c>
      <c r="B837" t="s">
        <v>280</v>
      </c>
      <c r="C837" t="str">
        <f t="shared" si="34"/>
        <v>1260011</v>
      </c>
      <c r="D837" t="s">
        <v>992</v>
      </c>
      <c r="E837" t="str">
        <f>"1260811"</f>
        <v>1260811</v>
      </c>
      <c r="F837" t="s">
        <v>328</v>
      </c>
      <c r="G837" t="s">
        <v>339</v>
      </c>
      <c r="H837">
        <v>4</v>
      </c>
      <c r="I837" t="s">
        <v>330</v>
      </c>
      <c r="J837" t="s">
        <v>331</v>
      </c>
      <c r="K837">
        <v>696.98474699999997</v>
      </c>
      <c r="L837">
        <v>850</v>
      </c>
      <c r="M837">
        <v>81.998205999999996</v>
      </c>
      <c r="N837">
        <v>2</v>
      </c>
      <c r="O837">
        <v>0</v>
      </c>
      <c r="P837">
        <v>75.744039000000001</v>
      </c>
      <c r="Q837">
        <v>50</v>
      </c>
      <c r="R837">
        <v>50</v>
      </c>
      <c r="S837">
        <v>71.616316999999995</v>
      </c>
      <c r="T837">
        <v>75</v>
      </c>
      <c r="U837">
        <v>47.744211</v>
      </c>
      <c r="V837">
        <v>50</v>
      </c>
      <c r="W837">
        <v>69.785713000000001</v>
      </c>
      <c r="X837">
        <v>46.523809</v>
      </c>
      <c r="Y837">
        <v>50</v>
      </c>
      <c r="Z837">
        <v>75</v>
      </c>
      <c r="AA837">
        <v>66.661375000000007</v>
      </c>
      <c r="AB837">
        <v>44.440916999999999</v>
      </c>
      <c r="AC837">
        <v>50</v>
      </c>
      <c r="AD837" t="s">
        <v>125</v>
      </c>
      <c r="AE837" t="s">
        <v>125</v>
      </c>
      <c r="AF837" t="s">
        <v>125</v>
      </c>
      <c r="AG837" t="s">
        <v>125</v>
      </c>
      <c r="AH837" t="s">
        <v>125</v>
      </c>
      <c r="AI837" t="s">
        <v>125</v>
      </c>
      <c r="AJ837" t="s">
        <v>125</v>
      </c>
      <c r="AK837">
        <v>3.38</v>
      </c>
      <c r="AL837">
        <v>8.33</v>
      </c>
      <c r="AM837" t="s">
        <v>125</v>
      </c>
      <c r="AN837">
        <v>0.65174299999999996</v>
      </c>
      <c r="AO837">
        <v>65.174267</v>
      </c>
      <c r="AP837">
        <v>100</v>
      </c>
      <c r="AQ837">
        <v>0.80613000000000001</v>
      </c>
      <c r="AR837">
        <v>80.612955999999997</v>
      </c>
      <c r="AS837">
        <v>100</v>
      </c>
      <c r="AT837">
        <v>0.67942199999999997</v>
      </c>
      <c r="AU837">
        <v>0.60809400000000002</v>
      </c>
      <c r="AV837">
        <v>67.942248000000006</v>
      </c>
      <c r="AW837">
        <v>100</v>
      </c>
      <c r="AX837">
        <v>0.79813100000000003</v>
      </c>
      <c r="AY837">
        <v>0.81874199999999997</v>
      </c>
      <c r="AZ837">
        <v>79.813124000000002</v>
      </c>
      <c r="BA837">
        <v>100</v>
      </c>
      <c r="BB837">
        <v>0.78082300000000004</v>
      </c>
      <c r="BC837">
        <v>39.041139999999999</v>
      </c>
      <c r="BD837">
        <v>50</v>
      </c>
      <c r="BE837">
        <v>0.658327</v>
      </c>
      <c r="BF837">
        <v>32.916367000000001</v>
      </c>
      <c r="BG837">
        <v>50</v>
      </c>
      <c r="BH837">
        <v>0</v>
      </c>
      <c r="BI837">
        <v>0.98648599999999997</v>
      </c>
      <c r="BJ837">
        <v>1</v>
      </c>
      <c r="BK837">
        <v>0.96226400000000001</v>
      </c>
      <c r="BL837">
        <v>0.98648599999999997</v>
      </c>
      <c r="BM837">
        <v>1</v>
      </c>
      <c r="BN837">
        <v>0.96226400000000001</v>
      </c>
      <c r="BO837" t="s">
        <v>125</v>
      </c>
      <c r="BP837" t="s">
        <v>125</v>
      </c>
      <c r="BQ837" t="s">
        <v>125</v>
      </c>
      <c r="BR837">
        <v>4.3715999999999998E-2</v>
      </c>
      <c r="BS837">
        <v>50</v>
      </c>
      <c r="BT837">
        <v>50</v>
      </c>
      <c r="BU837">
        <v>5.5300000000000002E-2</v>
      </c>
      <c r="BV837">
        <v>48.940092</v>
      </c>
      <c r="BW837">
        <v>50</v>
      </c>
      <c r="BX837" t="s">
        <v>125</v>
      </c>
      <c r="BY837" t="s">
        <v>125</v>
      </c>
      <c r="BZ837" t="s">
        <v>125</v>
      </c>
      <c r="CA837" t="s">
        <v>125</v>
      </c>
      <c r="CB837" t="s">
        <v>125</v>
      </c>
      <c r="CC837" t="s">
        <v>125</v>
      </c>
      <c r="CD837" t="s">
        <v>125</v>
      </c>
      <c r="CE837" t="s">
        <v>125</v>
      </c>
      <c r="CF837" t="s">
        <v>125</v>
      </c>
      <c r="CG837" t="s">
        <v>125</v>
      </c>
      <c r="CH837" t="s">
        <v>125</v>
      </c>
      <c r="CI837" t="s">
        <v>125</v>
      </c>
      <c r="CJ837" t="s">
        <v>125</v>
      </c>
      <c r="CK837" t="s">
        <v>125</v>
      </c>
      <c r="CL837" t="s">
        <v>125</v>
      </c>
      <c r="CM837" t="s">
        <v>125</v>
      </c>
      <c r="CN837" t="s">
        <v>125</v>
      </c>
      <c r="CO837" t="s">
        <v>125</v>
      </c>
      <c r="CP837" t="s">
        <v>125</v>
      </c>
      <c r="CQ837">
        <v>0.65753399999999995</v>
      </c>
      <c r="CR837">
        <v>1.013889</v>
      </c>
      <c r="CS837">
        <v>43.835616000000002</v>
      </c>
      <c r="CT837">
        <v>50</v>
      </c>
      <c r="CU837" t="s">
        <v>125</v>
      </c>
      <c r="CV837" t="s">
        <v>125</v>
      </c>
      <c r="CW837" t="s">
        <v>125</v>
      </c>
      <c r="CX837" t="s">
        <v>125</v>
      </c>
      <c r="CY837" t="s">
        <v>125</v>
      </c>
      <c r="CZ837" t="s">
        <v>125</v>
      </c>
      <c r="DA837">
        <v>15.314097</v>
      </c>
      <c r="DB837">
        <v>17.400950000000002</v>
      </c>
      <c r="DC837">
        <v>16.332519999999999</v>
      </c>
      <c r="DD837" t="s">
        <v>125</v>
      </c>
      <c r="DE837">
        <v>0</v>
      </c>
      <c r="DH837" t="s">
        <v>332</v>
      </c>
      <c r="DI837" t="s">
        <v>432</v>
      </c>
      <c r="DJ837">
        <v>0</v>
      </c>
      <c r="DK837">
        <v>0</v>
      </c>
      <c r="DL837">
        <v>0</v>
      </c>
      <c r="DM837">
        <v>0</v>
      </c>
      <c r="DN837">
        <v>1</v>
      </c>
      <c r="DO837">
        <v>0</v>
      </c>
      <c r="DQ837" t="s">
        <v>126</v>
      </c>
    </row>
    <row r="838" spans="1:121" x14ac:dyDescent="0.15">
      <c r="A838">
        <v>2018</v>
      </c>
      <c r="B838" t="s">
        <v>280</v>
      </c>
      <c r="C838" t="str">
        <f t="shared" si="34"/>
        <v>1260011</v>
      </c>
      <c r="D838" t="s">
        <v>785</v>
      </c>
      <c r="E838" t="str">
        <f>"1260911"</f>
        <v>1260911</v>
      </c>
      <c r="F838" t="s">
        <v>328</v>
      </c>
      <c r="G838" t="s">
        <v>329</v>
      </c>
      <c r="H838">
        <v>4</v>
      </c>
      <c r="J838" t="s">
        <v>331</v>
      </c>
      <c r="K838">
        <v>430.77315900000002</v>
      </c>
      <c r="L838">
        <v>550</v>
      </c>
      <c r="M838">
        <v>78.322391999999994</v>
      </c>
      <c r="N838">
        <v>2</v>
      </c>
      <c r="O838">
        <v>0</v>
      </c>
      <c r="P838">
        <v>81.737708999999995</v>
      </c>
      <c r="Q838">
        <v>50</v>
      </c>
      <c r="R838">
        <v>50</v>
      </c>
      <c r="S838">
        <v>68.700518000000002</v>
      </c>
      <c r="T838">
        <v>75</v>
      </c>
      <c r="U838">
        <v>45.800345</v>
      </c>
      <c r="V838">
        <v>50</v>
      </c>
      <c r="W838">
        <v>76.435682</v>
      </c>
      <c r="X838">
        <v>50</v>
      </c>
      <c r="Y838">
        <v>50</v>
      </c>
      <c r="Z838">
        <v>75</v>
      </c>
      <c r="AA838">
        <v>64.612784000000005</v>
      </c>
      <c r="AB838">
        <v>43.075189000000002</v>
      </c>
      <c r="AC838">
        <v>50</v>
      </c>
      <c r="AD838" t="s">
        <v>125</v>
      </c>
      <c r="AE838" t="s">
        <v>125</v>
      </c>
      <c r="AF838" t="s">
        <v>125</v>
      </c>
      <c r="AG838" t="s">
        <v>125</v>
      </c>
      <c r="AH838" t="s">
        <v>125</v>
      </c>
      <c r="AI838" t="s">
        <v>125</v>
      </c>
      <c r="AJ838" t="s">
        <v>125</v>
      </c>
      <c r="AK838">
        <v>6.29</v>
      </c>
      <c r="AL838">
        <v>10.38</v>
      </c>
      <c r="AM838" t="s">
        <v>125</v>
      </c>
      <c r="AN838">
        <v>0.61097299999999999</v>
      </c>
      <c r="AO838">
        <v>61.097254</v>
      </c>
      <c r="AP838">
        <v>100</v>
      </c>
      <c r="AQ838">
        <v>0.49059700000000001</v>
      </c>
      <c r="AR838">
        <v>49.059744000000002</v>
      </c>
      <c r="AS838">
        <v>100</v>
      </c>
      <c r="AT838" t="s">
        <v>125</v>
      </c>
      <c r="AU838">
        <v>0.70450900000000005</v>
      </c>
      <c r="AV838" t="s">
        <v>125</v>
      </c>
      <c r="AW838" t="s">
        <v>125</v>
      </c>
      <c r="AX838" t="s">
        <v>125</v>
      </c>
      <c r="AY838">
        <v>0.44979000000000002</v>
      </c>
      <c r="AZ838" t="s">
        <v>125</v>
      </c>
      <c r="BA838" t="s">
        <v>125</v>
      </c>
      <c r="BB838" t="s">
        <v>125</v>
      </c>
      <c r="BC838" t="s">
        <v>125</v>
      </c>
      <c r="BD838" t="s">
        <v>125</v>
      </c>
      <c r="BE838" t="s">
        <v>125</v>
      </c>
      <c r="BF838" t="s">
        <v>125</v>
      </c>
      <c r="BG838" t="s">
        <v>125</v>
      </c>
      <c r="BH838">
        <v>0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 t="s">
        <v>125</v>
      </c>
      <c r="BP838" t="s">
        <v>125</v>
      </c>
      <c r="BQ838" t="s">
        <v>125</v>
      </c>
      <c r="BR838">
        <v>4.6099000000000001E-2</v>
      </c>
      <c r="BS838">
        <v>50</v>
      </c>
      <c r="BT838">
        <v>50</v>
      </c>
      <c r="BU838">
        <v>7.8431000000000001E-2</v>
      </c>
      <c r="BV838">
        <v>44.313724999999998</v>
      </c>
      <c r="BW838">
        <v>50</v>
      </c>
      <c r="BX838" t="s">
        <v>125</v>
      </c>
      <c r="BY838" t="s">
        <v>125</v>
      </c>
      <c r="BZ838" t="s">
        <v>125</v>
      </c>
      <c r="CA838" t="s">
        <v>125</v>
      </c>
      <c r="CB838" t="s">
        <v>125</v>
      </c>
      <c r="CC838" t="s">
        <v>125</v>
      </c>
      <c r="CD838" t="s">
        <v>125</v>
      </c>
      <c r="CE838" t="s">
        <v>125</v>
      </c>
      <c r="CF838" t="s">
        <v>125</v>
      </c>
      <c r="CG838" t="s">
        <v>125</v>
      </c>
      <c r="CH838" t="s">
        <v>125</v>
      </c>
      <c r="CI838" t="s">
        <v>125</v>
      </c>
      <c r="CJ838" t="s">
        <v>125</v>
      </c>
      <c r="CK838" t="s">
        <v>125</v>
      </c>
      <c r="CL838" t="s">
        <v>125</v>
      </c>
      <c r="CM838" t="s">
        <v>125</v>
      </c>
      <c r="CN838" t="s">
        <v>125</v>
      </c>
      <c r="CO838" t="s">
        <v>125</v>
      </c>
      <c r="CP838" t="s">
        <v>125</v>
      </c>
      <c r="CQ838">
        <v>0.56140400000000001</v>
      </c>
      <c r="CR838">
        <v>1.017857</v>
      </c>
      <c r="CS838">
        <v>37.426901000000001</v>
      </c>
      <c r="CT838">
        <v>50</v>
      </c>
      <c r="CU838" t="s">
        <v>125</v>
      </c>
      <c r="CV838" t="s">
        <v>125</v>
      </c>
      <c r="CW838" t="s">
        <v>125</v>
      </c>
      <c r="CX838" t="s">
        <v>125</v>
      </c>
      <c r="CY838" t="s">
        <v>125</v>
      </c>
      <c r="CZ838" t="s">
        <v>125</v>
      </c>
      <c r="DA838">
        <v>15.314097</v>
      </c>
      <c r="DB838">
        <v>17.400950000000002</v>
      </c>
      <c r="DC838">
        <v>16.332519999999999</v>
      </c>
      <c r="DD838" t="s">
        <v>125</v>
      </c>
      <c r="DE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Q838" t="s">
        <v>126</v>
      </c>
    </row>
    <row r="839" spans="1:121" x14ac:dyDescent="0.15">
      <c r="A839">
        <v>2018</v>
      </c>
      <c r="B839" t="s">
        <v>280</v>
      </c>
      <c r="C839" t="str">
        <f t="shared" si="34"/>
        <v>1260011</v>
      </c>
      <c r="D839" t="s">
        <v>993</v>
      </c>
      <c r="E839" t="str">
        <f>"1261111"</f>
        <v>1261111</v>
      </c>
      <c r="F839" t="s">
        <v>328</v>
      </c>
      <c r="G839">
        <v>5</v>
      </c>
      <c r="H839">
        <v>6</v>
      </c>
      <c r="I839" t="s">
        <v>330</v>
      </c>
      <c r="J839" t="s">
        <v>331</v>
      </c>
      <c r="K839">
        <v>746.16003599999999</v>
      </c>
      <c r="L839">
        <v>950</v>
      </c>
      <c r="M839">
        <v>78.543161999999995</v>
      </c>
      <c r="N839">
        <v>2</v>
      </c>
      <c r="O839">
        <v>0</v>
      </c>
      <c r="P839">
        <v>78.379649999999998</v>
      </c>
      <c r="Q839">
        <v>50</v>
      </c>
      <c r="R839">
        <v>50</v>
      </c>
      <c r="S839">
        <v>70.266767000000002</v>
      </c>
      <c r="T839">
        <v>75</v>
      </c>
      <c r="U839">
        <v>46.844512000000002</v>
      </c>
      <c r="V839">
        <v>50</v>
      </c>
      <c r="W839">
        <v>73.512587999999994</v>
      </c>
      <c r="X839">
        <v>49.008392000000001</v>
      </c>
      <c r="Y839">
        <v>50</v>
      </c>
      <c r="Z839">
        <v>75</v>
      </c>
      <c r="AA839">
        <v>64.840969999999999</v>
      </c>
      <c r="AB839">
        <v>43.227314</v>
      </c>
      <c r="AC839">
        <v>50</v>
      </c>
      <c r="AD839">
        <v>75.173914999999994</v>
      </c>
      <c r="AE839">
        <v>50</v>
      </c>
      <c r="AF839">
        <v>50</v>
      </c>
      <c r="AG839">
        <v>70.111485999999999</v>
      </c>
      <c r="AH839">
        <v>75</v>
      </c>
      <c r="AI839">
        <v>46.740991000000001</v>
      </c>
      <c r="AJ839">
        <v>50</v>
      </c>
      <c r="AK839">
        <v>4.7300000000000004</v>
      </c>
      <c r="AL839">
        <v>10.15</v>
      </c>
      <c r="AM839">
        <v>4.88</v>
      </c>
      <c r="AN839">
        <v>0.65834800000000004</v>
      </c>
      <c r="AO839">
        <v>65.834779999999995</v>
      </c>
      <c r="AP839">
        <v>100</v>
      </c>
      <c r="AQ839">
        <v>0.717727</v>
      </c>
      <c r="AR839">
        <v>71.772707999999994</v>
      </c>
      <c r="AS839">
        <v>100</v>
      </c>
      <c r="AT839">
        <v>0.57226399999999999</v>
      </c>
      <c r="AU839">
        <v>0.71721400000000002</v>
      </c>
      <c r="AV839">
        <v>57.226429000000003</v>
      </c>
      <c r="AW839">
        <v>100</v>
      </c>
      <c r="AX839">
        <v>0.62396399999999996</v>
      </c>
      <c r="AY839">
        <v>0.78184500000000001</v>
      </c>
      <c r="AZ839">
        <v>62.396369999999997</v>
      </c>
      <c r="BA839">
        <v>100</v>
      </c>
      <c r="BB839">
        <v>0.61831800000000003</v>
      </c>
      <c r="BC839">
        <v>30.915901999999999</v>
      </c>
      <c r="BD839">
        <v>50</v>
      </c>
      <c r="BE839">
        <v>0.60621899999999995</v>
      </c>
      <c r="BF839">
        <v>30.310936000000002</v>
      </c>
      <c r="BG839">
        <v>50</v>
      </c>
      <c r="BH839">
        <v>0</v>
      </c>
      <c r="BI839">
        <v>0.99865000000000004</v>
      </c>
      <c r="BJ839">
        <v>0.99700599999999995</v>
      </c>
      <c r="BK839">
        <v>1</v>
      </c>
      <c r="BL839">
        <v>0.99865000000000004</v>
      </c>
      <c r="BM839">
        <v>0.99700599999999995</v>
      </c>
      <c r="BN839">
        <v>1</v>
      </c>
      <c r="BO839">
        <v>0.99715100000000001</v>
      </c>
      <c r="BP839">
        <v>0.99375000000000002</v>
      </c>
      <c r="BQ839">
        <v>1</v>
      </c>
      <c r="BR839">
        <v>3.6485999999999998E-2</v>
      </c>
      <c r="BS839">
        <v>50</v>
      </c>
      <c r="BT839">
        <v>50</v>
      </c>
      <c r="BU839">
        <v>5.8824000000000001E-2</v>
      </c>
      <c r="BV839">
        <v>48.235294000000003</v>
      </c>
      <c r="BW839">
        <v>50</v>
      </c>
      <c r="BX839" t="s">
        <v>125</v>
      </c>
      <c r="BY839" t="s">
        <v>125</v>
      </c>
      <c r="BZ839" t="s">
        <v>125</v>
      </c>
      <c r="CA839" t="s">
        <v>125</v>
      </c>
      <c r="CB839" t="s">
        <v>125</v>
      </c>
      <c r="CC839" t="s">
        <v>125</v>
      </c>
      <c r="CD839" t="s">
        <v>125</v>
      </c>
      <c r="CE839" t="s">
        <v>125</v>
      </c>
      <c r="CF839" t="s">
        <v>125</v>
      </c>
      <c r="CG839" t="s">
        <v>125</v>
      </c>
      <c r="CH839" t="s">
        <v>125</v>
      </c>
      <c r="CI839" t="s">
        <v>125</v>
      </c>
      <c r="CJ839" t="s">
        <v>125</v>
      </c>
      <c r="CK839" t="s">
        <v>125</v>
      </c>
      <c r="CL839" t="s">
        <v>125</v>
      </c>
      <c r="CM839" t="s">
        <v>125</v>
      </c>
      <c r="CN839" t="s">
        <v>125</v>
      </c>
      <c r="CO839" t="s">
        <v>125</v>
      </c>
      <c r="CP839" t="s">
        <v>125</v>
      </c>
      <c r="CQ839">
        <v>0.65469599999999994</v>
      </c>
      <c r="CR839">
        <v>0.93059099999999995</v>
      </c>
      <c r="CS839">
        <v>43.646408999999998</v>
      </c>
      <c r="CT839">
        <v>50</v>
      </c>
      <c r="CU839" t="s">
        <v>125</v>
      </c>
      <c r="CV839" t="s">
        <v>125</v>
      </c>
      <c r="CW839" t="s">
        <v>125</v>
      </c>
      <c r="CX839" t="s">
        <v>125</v>
      </c>
      <c r="CY839" t="s">
        <v>125</v>
      </c>
      <c r="CZ839" t="s">
        <v>125</v>
      </c>
      <c r="DA839">
        <v>15.314097</v>
      </c>
      <c r="DB839">
        <v>17.400950000000002</v>
      </c>
      <c r="DC839">
        <v>16.332519999999999</v>
      </c>
      <c r="DD839" t="s">
        <v>125</v>
      </c>
      <c r="DE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Q839" t="s">
        <v>126</v>
      </c>
    </row>
    <row r="840" spans="1:121" x14ac:dyDescent="0.15">
      <c r="A840">
        <v>2018</v>
      </c>
      <c r="B840" t="s">
        <v>280</v>
      </c>
      <c r="C840" t="str">
        <f t="shared" si="34"/>
        <v>1260011</v>
      </c>
      <c r="D840" t="s">
        <v>994</v>
      </c>
      <c r="E840" t="str">
        <f>"1266111"</f>
        <v>1266111</v>
      </c>
      <c r="F840" t="s">
        <v>328</v>
      </c>
      <c r="G840">
        <v>9</v>
      </c>
      <c r="H840">
        <v>12</v>
      </c>
      <c r="J840" t="s">
        <v>331</v>
      </c>
      <c r="K840">
        <v>1165.9344940000001</v>
      </c>
      <c r="L840">
        <v>1450</v>
      </c>
      <c r="M840">
        <v>80.409274999999994</v>
      </c>
      <c r="N840">
        <v>3</v>
      </c>
      <c r="O840">
        <v>0</v>
      </c>
      <c r="P840">
        <v>61.493482</v>
      </c>
      <c r="Q840">
        <v>122.986965</v>
      </c>
      <c r="R840">
        <v>150</v>
      </c>
      <c r="S840">
        <v>52.555556000000003</v>
      </c>
      <c r="T840">
        <v>65.832642000000007</v>
      </c>
      <c r="U840">
        <v>105.11111099999999</v>
      </c>
      <c r="V840">
        <v>150</v>
      </c>
      <c r="W840">
        <v>60.348075999999999</v>
      </c>
      <c r="X840">
        <v>120.696151</v>
      </c>
      <c r="Y840">
        <v>150</v>
      </c>
      <c r="Z840">
        <v>64.273167000000001</v>
      </c>
      <c r="AA840">
        <v>52.263058000000001</v>
      </c>
      <c r="AB840">
        <v>104.526116</v>
      </c>
      <c r="AC840">
        <v>150</v>
      </c>
      <c r="AD840">
        <v>64.336252000000002</v>
      </c>
      <c r="AE840">
        <v>85.781670000000005</v>
      </c>
      <c r="AF840">
        <v>100</v>
      </c>
      <c r="AG840">
        <v>54.881397999999997</v>
      </c>
      <c r="AH840">
        <v>68.924051000000006</v>
      </c>
      <c r="AI840">
        <v>73.175197999999995</v>
      </c>
      <c r="AJ840">
        <v>100</v>
      </c>
      <c r="AK840">
        <v>13.27</v>
      </c>
      <c r="AL840">
        <v>12.01</v>
      </c>
      <c r="AM840">
        <v>14.04</v>
      </c>
      <c r="AN840" t="s">
        <v>125</v>
      </c>
      <c r="AO840" t="s">
        <v>125</v>
      </c>
      <c r="AP840" t="s">
        <v>125</v>
      </c>
      <c r="AQ840" t="s">
        <v>125</v>
      </c>
      <c r="AR840" t="s">
        <v>125</v>
      </c>
      <c r="AS840" t="s">
        <v>125</v>
      </c>
      <c r="AT840" t="s">
        <v>125</v>
      </c>
      <c r="AU840" t="s">
        <v>125</v>
      </c>
      <c r="AV840" t="s">
        <v>125</v>
      </c>
      <c r="AW840" t="s">
        <v>125</v>
      </c>
      <c r="AX840" t="s">
        <v>125</v>
      </c>
      <c r="AY840" t="s">
        <v>125</v>
      </c>
      <c r="AZ840" t="s">
        <v>125</v>
      </c>
      <c r="BA840" t="s">
        <v>125</v>
      </c>
      <c r="BB840" t="s">
        <v>125</v>
      </c>
      <c r="BC840" t="s">
        <v>125</v>
      </c>
      <c r="BD840" t="s">
        <v>125</v>
      </c>
      <c r="BE840" t="s">
        <v>125</v>
      </c>
      <c r="BF840" t="s">
        <v>125</v>
      </c>
      <c r="BG840" t="s">
        <v>125</v>
      </c>
      <c r="BH840">
        <v>1</v>
      </c>
      <c r="BI840">
        <v>0.98108099999999998</v>
      </c>
      <c r="BJ840">
        <v>0.959677</v>
      </c>
      <c r="BK840">
        <v>0.99187000000000003</v>
      </c>
      <c r="BL840">
        <v>0.98108099999999998</v>
      </c>
      <c r="BM840">
        <v>0.959677</v>
      </c>
      <c r="BN840">
        <v>0.99187000000000003</v>
      </c>
      <c r="BO840">
        <v>0.96216199999999996</v>
      </c>
      <c r="BP840">
        <v>0.94354800000000005</v>
      </c>
      <c r="BQ840">
        <v>0.97154499999999999</v>
      </c>
      <c r="BR840">
        <v>0.118364</v>
      </c>
      <c r="BS840">
        <v>36.327115999999997</v>
      </c>
      <c r="BT840">
        <v>50</v>
      </c>
      <c r="BU840">
        <v>0.18997900000000001</v>
      </c>
      <c r="BV840">
        <v>22.004175</v>
      </c>
      <c r="BW840">
        <v>50</v>
      </c>
      <c r="BX840">
        <v>0.83516500000000005</v>
      </c>
      <c r="BY840">
        <v>50</v>
      </c>
      <c r="BZ840">
        <v>50</v>
      </c>
      <c r="CA840">
        <v>0.53159299999999998</v>
      </c>
      <c r="CB840">
        <v>35.43956</v>
      </c>
      <c r="CC840">
        <v>50</v>
      </c>
      <c r="CD840">
        <v>0.89759</v>
      </c>
      <c r="CE840">
        <v>47.744168000000002</v>
      </c>
      <c r="CF840">
        <v>50</v>
      </c>
      <c r="CG840">
        <v>0.92528699999999997</v>
      </c>
      <c r="CH840">
        <v>98.434825000000004</v>
      </c>
      <c r="CI840">
        <v>100</v>
      </c>
      <c r="CJ840">
        <v>0</v>
      </c>
      <c r="CK840">
        <v>0.9</v>
      </c>
      <c r="CL840">
        <v>95.744681</v>
      </c>
      <c r="CM840">
        <v>100</v>
      </c>
      <c r="CN840">
        <v>0.76758400000000004</v>
      </c>
      <c r="CO840">
        <v>100</v>
      </c>
      <c r="CP840">
        <v>100</v>
      </c>
      <c r="CQ840">
        <v>0.63924099999999995</v>
      </c>
      <c r="CR840">
        <v>0.93215300000000001</v>
      </c>
      <c r="CS840">
        <v>42.616033999999999</v>
      </c>
      <c r="CT840">
        <v>50</v>
      </c>
      <c r="CU840">
        <v>0.30416100000000001</v>
      </c>
      <c r="CV840">
        <v>25.346723999999998</v>
      </c>
      <c r="CW840">
        <v>50</v>
      </c>
      <c r="CX840">
        <v>0.9</v>
      </c>
      <c r="CY840">
        <v>0.94</v>
      </c>
      <c r="CZ840">
        <v>0.04</v>
      </c>
      <c r="DA840">
        <v>15.314097</v>
      </c>
      <c r="DB840">
        <v>17.400950000000002</v>
      </c>
      <c r="DC840">
        <v>16.332519999999999</v>
      </c>
      <c r="DD840">
        <v>7.9891730000000001</v>
      </c>
      <c r="DE840">
        <v>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Q840" t="s">
        <v>126</v>
      </c>
    </row>
    <row r="841" spans="1:121" x14ac:dyDescent="0.15">
      <c r="A841">
        <v>2018</v>
      </c>
      <c r="B841" t="s">
        <v>280</v>
      </c>
      <c r="C841" t="str">
        <f t="shared" si="34"/>
        <v>1260011</v>
      </c>
      <c r="D841" t="s">
        <v>995</v>
      </c>
      <c r="E841" t="str">
        <f>"1260611"</f>
        <v>1260611</v>
      </c>
      <c r="F841" t="s">
        <v>328</v>
      </c>
      <c r="G841" t="s">
        <v>339</v>
      </c>
      <c r="H841">
        <v>4</v>
      </c>
      <c r="I841" t="s">
        <v>330</v>
      </c>
      <c r="J841" t="s">
        <v>331</v>
      </c>
      <c r="K841">
        <v>500.09380700000003</v>
      </c>
      <c r="L841">
        <v>550</v>
      </c>
      <c r="M841">
        <v>90.926147</v>
      </c>
      <c r="N841">
        <v>1</v>
      </c>
      <c r="O841">
        <v>0</v>
      </c>
      <c r="P841">
        <v>77.972373000000005</v>
      </c>
      <c r="Q841">
        <v>50</v>
      </c>
      <c r="R841">
        <v>50</v>
      </c>
      <c r="S841">
        <v>73.442081000000002</v>
      </c>
      <c r="T841">
        <v>75</v>
      </c>
      <c r="U841">
        <v>48.961387000000002</v>
      </c>
      <c r="V841">
        <v>50</v>
      </c>
      <c r="W841">
        <v>73.336326999999997</v>
      </c>
      <c r="X841">
        <v>48.890884</v>
      </c>
      <c r="Y841">
        <v>50</v>
      </c>
      <c r="Z841">
        <v>75</v>
      </c>
      <c r="AA841">
        <v>70.46611</v>
      </c>
      <c r="AB841">
        <v>46.977406999999999</v>
      </c>
      <c r="AC841">
        <v>50</v>
      </c>
      <c r="AD841" t="s">
        <v>125</v>
      </c>
      <c r="AE841" t="s">
        <v>125</v>
      </c>
      <c r="AF841" t="s">
        <v>125</v>
      </c>
      <c r="AG841" t="s">
        <v>125</v>
      </c>
      <c r="AH841" t="s">
        <v>125</v>
      </c>
      <c r="AI841" t="s">
        <v>125</v>
      </c>
      <c r="AJ841" t="s">
        <v>125</v>
      </c>
      <c r="AK841">
        <v>1.55</v>
      </c>
      <c r="AL841">
        <v>4.53</v>
      </c>
      <c r="AM841" t="s">
        <v>125</v>
      </c>
      <c r="AN841">
        <v>0.85562800000000006</v>
      </c>
      <c r="AO841">
        <v>85.562841000000006</v>
      </c>
      <c r="AP841">
        <v>100</v>
      </c>
      <c r="AQ841">
        <v>0.92679999999999996</v>
      </c>
      <c r="AR841">
        <v>92.680025999999998</v>
      </c>
      <c r="AS841">
        <v>100</v>
      </c>
      <c r="AT841" t="s">
        <v>125</v>
      </c>
      <c r="AU841">
        <v>0.82145400000000002</v>
      </c>
      <c r="AV841" t="s">
        <v>125</v>
      </c>
      <c r="AW841" t="s">
        <v>125</v>
      </c>
      <c r="AX841" t="s">
        <v>125</v>
      </c>
      <c r="AY841">
        <v>0.89570399999999994</v>
      </c>
      <c r="AZ841" t="s">
        <v>125</v>
      </c>
      <c r="BA841" t="s">
        <v>125</v>
      </c>
      <c r="BB841" t="s">
        <v>125</v>
      </c>
      <c r="BC841" t="s">
        <v>125</v>
      </c>
      <c r="BD841" t="s">
        <v>125</v>
      </c>
      <c r="BE841" t="s">
        <v>125</v>
      </c>
      <c r="BF841" t="s">
        <v>125</v>
      </c>
      <c r="BG841" t="s">
        <v>125</v>
      </c>
      <c r="BH841">
        <v>0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 t="s">
        <v>125</v>
      </c>
      <c r="BP841" t="s">
        <v>125</v>
      </c>
      <c r="BQ841" t="s">
        <v>125</v>
      </c>
      <c r="BR841">
        <v>7.9295000000000004E-2</v>
      </c>
      <c r="BS841">
        <v>44.140968999999998</v>
      </c>
      <c r="BT841">
        <v>50</v>
      </c>
      <c r="BU841">
        <v>0.110236</v>
      </c>
      <c r="BV841">
        <v>37.952756000000001</v>
      </c>
      <c r="BW841">
        <v>50</v>
      </c>
      <c r="BX841" t="s">
        <v>125</v>
      </c>
      <c r="BY841" t="s">
        <v>125</v>
      </c>
      <c r="BZ841" t="s">
        <v>125</v>
      </c>
      <c r="CA841" t="s">
        <v>125</v>
      </c>
      <c r="CB841" t="s">
        <v>125</v>
      </c>
      <c r="CC841" t="s">
        <v>125</v>
      </c>
      <c r="CD841" t="s">
        <v>125</v>
      </c>
      <c r="CE841" t="s">
        <v>125</v>
      </c>
      <c r="CF841" t="s">
        <v>125</v>
      </c>
      <c r="CG841" t="s">
        <v>125</v>
      </c>
      <c r="CH841" t="s">
        <v>125</v>
      </c>
      <c r="CI841" t="s">
        <v>125</v>
      </c>
      <c r="CJ841" t="s">
        <v>125</v>
      </c>
      <c r="CK841" t="s">
        <v>125</v>
      </c>
      <c r="CL841" t="s">
        <v>125</v>
      </c>
      <c r="CM841" t="s">
        <v>125</v>
      </c>
      <c r="CN841" t="s">
        <v>125</v>
      </c>
      <c r="CO841" t="s">
        <v>125</v>
      </c>
      <c r="CP841" t="s">
        <v>125</v>
      </c>
      <c r="CQ841">
        <v>0.67391299999999998</v>
      </c>
      <c r="CR841">
        <v>0.97872300000000001</v>
      </c>
      <c r="CS841">
        <v>44.927536000000003</v>
      </c>
      <c r="CT841">
        <v>50</v>
      </c>
      <c r="CU841" t="s">
        <v>125</v>
      </c>
      <c r="CV841" t="s">
        <v>125</v>
      </c>
      <c r="CW841" t="s">
        <v>125</v>
      </c>
      <c r="CX841" t="s">
        <v>125</v>
      </c>
      <c r="CY841" t="s">
        <v>125</v>
      </c>
      <c r="CZ841" t="s">
        <v>125</v>
      </c>
      <c r="DA841">
        <v>15.314097</v>
      </c>
      <c r="DB841">
        <v>17.400950000000002</v>
      </c>
      <c r="DC841">
        <v>16.332519999999999</v>
      </c>
      <c r="DD841" t="s">
        <v>125</v>
      </c>
      <c r="DE841">
        <v>0</v>
      </c>
      <c r="DH841" t="s">
        <v>332</v>
      </c>
      <c r="DI841" t="s">
        <v>498</v>
      </c>
      <c r="DJ841">
        <v>1</v>
      </c>
      <c r="DK841">
        <v>1</v>
      </c>
      <c r="DL841">
        <v>1</v>
      </c>
      <c r="DM841">
        <v>0</v>
      </c>
      <c r="DN841">
        <v>0</v>
      </c>
      <c r="DO841">
        <v>0</v>
      </c>
      <c r="DQ841" t="s">
        <v>126</v>
      </c>
    </row>
    <row r="842" spans="1:121" x14ac:dyDescent="0.15">
      <c r="A842">
        <v>2018</v>
      </c>
      <c r="B842" t="s">
        <v>281</v>
      </c>
      <c r="C842" t="str">
        <f>"1270011"</f>
        <v>1270011</v>
      </c>
      <c r="D842" t="s">
        <v>580</v>
      </c>
      <c r="E842" t="str">
        <f>"1270111"</f>
        <v>1270111</v>
      </c>
      <c r="F842" t="s">
        <v>328</v>
      </c>
      <c r="G842" t="s">
        <v>329</v>
      </c>
      <c r="H842">
        <v>8</v>
      </c>
      <c r="I842" t="s">
        <v>330</v>
      </c>
      <c r="J842" t="s">
        <v>331</v>
      </c>
      <c r="K842">
        <v>655.75992099999996</v>
      </c>
      <c r="L842">
        <v>850</v>
      </c>
      <c r="M842">
        <v>77.148225999999994</v>
      </c>
      <c r="N842">
        <v>3</v>
      </c>
      <c r="O842">
        <v>0</v>
      </c>
      <c r="P842">
        <v>73.349384999999998</v>
      </c>
      <c r="Q842">
        <v>48.899590000000003</v>
      </c>
      <c r="R842">
        <v>50</v>
      </c>
      <c r="S842">
        <v>61.605902</v>
      </c>
      <c r="T842">
        <v>75</v>
      </c>
      <c r="U842">
        <v>41.070601000000003</v>
      </c>
      <c r="V842">
        <v>50</v>
      </c>
      <c r="W842">
        <v>70.800359</v>
      </c>
      <c r="X842">
        <v>47.200239000000003</v>
      </c>
      <c r="Y842">
        <v>50</v>
      </c>
      <c r="Z842">
        <v>74.182822000000002</v>
      </c>
      <c r="AA842">
        <v>58.071615000000001</v>
      </c>
      <c r="AB842">
        <v>38.714410000000001</v>
      </c>
      <c r="AC842">
        <v>50</v>
      </c>
      <c r="AD842">
        <v>69.436706999999998</v>
      </c>
      <c r="AE842">
        <v>46.291137999999997</v>
      </c>
      <c r="AF842">
        <v>50</v>
      </c>
      <c r="AG842" t="s">
        <v>125</v>
      </c>
      <c r="AH842">
        <v>72.196111999999999</v>
      </c>
      <c r="AI842" t="s">
        <v>125</v>
      </c>
      <c r="AJ842" t="s">
        <v>125</v>
      </c>
      <c r="AK842">
        <v>13.39</v>
      </c>
      <c r="AL842">
        <v>16.11</v>
      </c>
      <c r="AM842" t="s">
        <v>125</v>
      </c>
      <c r="AN842">
        <v>0.60003799999999996</v>
      </c>
      <c r="AO842">
        <v>60.003833999999998</v>
      </c>
      <c r="AP842">
        <v>100</v>
      </c>
      <c r="AQ842">
        <v>0.67798199999999997</v>
      </c>
      <c r="AR842">
        <v>67.798162000000005</v>
      </c>
      <c r="AS842">
        <v>100</v>
      </c>
      <c r="AT842">
        <v>0.66543799999999997</v>
      </c>
      <c r="AU842">
        <v>0.58468399999999998</v>
      </c>
      <c r="AV842">
        <v>66.543805000000006</v>
      </c>
      <c r="AW842">
        <v>100</v>
      </c>
      <c r="AX842">
        <v>0.56957400000000002</v>
      </c>
      <c r="AY842">
        <v>0.70249099999999998</v>
      </c>
      <c r="AZ842">
        <v>56.957439999999998</v>
      </c>
      <c r="BA842">
        <v>100</v>
      </c>
      <c r="BB842" t="s">
        <v>125</v>
      </c>
      <c r="BC842" t="s">
        <v>125</v>
      </c>
      <c r="BD842" t="s">
        <v>125</v>
      </c>
      <c r="BE842" t="s">
        <v>125</v>
      </c>
      <c r="BF842" t="s">
        <v>125</v>
      </c>
      <c r="BG842" t="s">
        <v>125</v>
      </c>
      <c r="BH842">
        <v>1</v>
      </c>
      <c r="BI842">
        <v>0.93846200000000002</v>
      </c>
      <c r="BJ842">
        <v>0.97435899999999998</v>
      </c>
      <c r="BK842">
        <v>0.92948699999999995</v>
      </c>
      <c r="BL842">
        <v>0.93846200000000002</v>
      </c>
      <c r="BM842">
        <v>0.97435899999999998</v>
      </c>
      <c r="BN842">
        <v>0.92948699999999995</v>
      </c>
      <c r="BO842">
        <v>0.91666700000000001</v>
      </c>
      <c r="BP842" t="s">
        <v>125</v>
      </c>
      <c r="BQ842">
        <v>0.92</v>
      </c>
      <c r="BR842">
        <v>2.6315999999999999E-2</v>
      </c>
      <c r="BS842">
        <v>50</v>
      </c>
      <c r="BT842">
        <v>50</v>
      </c>
      <c r="BU842">
        <v>4.0815999999999998E-2</v>
      </c>
      <c r="BV842">
        <v>50</v>
      </c>
      <c r="BW842">
        <v>50</v>
      </c>
      <c r="BX842" t="s">
        <v>125</v>
      </c>
      <c r="BY842" t="s">
        <v>125</v>
      </c>
      <c r="BZ842" t="s">
        <v>125</v>
      </c>
      <c r="CA842" t="s">
        <v>125</v>
      </c>
      <c r="CB842" t="s">
        <v>125</v>
      </c>
      <c r="CC842" t="s">
        <v>125</v>
      </c>
      <c r="CD842">
        <v>0.97058800000000001</v>
      </c>
      <c r="CE842">
        <v>50</v>
      </c>
      <c r="CF842">
        <v>50</v>
      </c>
      <c r="CG842" t="s">
        <v>125</v>
      </c>
      <c r="CH842" t="s">
        <v>125</v>
      </c>
      <c r="CI842" t="s">
        <v>125</v>
      </c>
      <c r="CJ842" t="s">
        <v>125</v>
      </c>
      <c r="CK842" t="s">
        <v>125</v>
      </c>
      <c r="CL842" t="s">
        <v>125</v>
      </c>
      <c r="CM842" t="s">
        <v>125</v>
      </c>
      <c r="CN842" t="s">
        <v>125</v>
      </c>
      <c r="CO842" t="s">
        <v>125</v>
      </c>
      <c r="CP842" t="s">
        <v>125</v>
      </c>
      <c r="CQ842">
        <v>0.484211</v>
      </c>
      <c r="CR842">
        <v>0.97938099999999995</v>
      </c>
      <c r="CS842">
        <v>32.280701999999998</v>
      </c>
      <c r="CT842">
        <v>50</v>
      </c>
      <c r="CU842" t="s">
        <v>125</v>
      </c>
      <c r="CV842" t="s">
        <v>125</v>
      </c>
      <c r="CW842" t="s">
        <v>125</v>
      </c>
      <c r="CX842" t="s">
        <v>125</v>
      </c>
      <c r="CY842" t="s">
        <v>125</v>
      </c>
      <c r="CZ842" t="s">
        <v>125</v>
      </c>
      <c r="DA842">
        <v>15.314097</v>
      </c>
      <c r="DB842">
        <v>17.400950000000002</v>
      </c>
      <c r="DC842">
        <v>16.332519999999999</v>
      </c>
      <c r="DD842" t="s">
        <v>125</v>
      </c>
      <c r="DE842">
        <v>1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Q842" t="s">
        <v>126</v>
      </c>
    </row>
    <row r="843" spans="1:121" x14ac:dyDescent="0.15">
      <c r="A843">
        <v>2018</v>
      </c>
      <c r="B843" t="s">
        <v>282</v>
      </c>
      <c r="C843" t="str">
        <f t="shared" ref="C843:C849" si="35">"1280011"</f>
        <v>1280011</v>
      </c>
      <c r="D843" t="s">
        <v>996</v>
      </c>
      <c r="E843" t="str">
        <f>"1280111"</f>
        <v>1280111</v>
      </c>
      <c r="F843" t="s">
        <v>328</v>
      </c>
      <c r="G843" t="s">
        <v>339</v>
      </c>
      <c r="H843">
        <v>6</v>
      </c>
      <c r="J843" t="s">
        <v>331</v>
      </c>
      <c r="K843">
        <v>663.59148600000003</v>
      </c>
      <c r="L843">
        <v>800</v>
      </c>
      <c r="M843">
        <v>82.948936000000003</v>
      </c>
      <c r="N843">
        <v>2</v>
      </c>
      <c r="O843">
        <v>0</v>
      </c>
      <c r="P843">
        <v>85.747055000000003</v>
      </c>
      <c r="Q843">
        <v>50</v>
      </c>
      <c r="R843">
        <v>50</v>
      </c>
      <c r="S843">
        <v>75.188394000000002</v>
      </c>
      <c r="T843">
        <v>75</v>
      </c>
      <c r="U843">
        <v>50</v>
      </c>
      <c r="V843">
        <v>50</v>
      </c>
      <c r="W843">
        <v>79.030253999999999</v>
      </c>
      <c r="X843">
        <v>50</v>
      </c>
      <c r="Y843">
        <v>50</v>
      </c>
      <c r="Z843">
        <v>75</v>
      </c>
      <c r="AA843">
        <v>71.062528999999998</v>
      </c>
      <c r="AB843">
        <v>47.375019000000002</v>
      </c>
      <c r="AC843">
        <v>50</v>
      </c>
      <c r="AD843">
        <v>84.899017999999998</v>
      </c>
      <c r="AE843">
        <v>50</v>
      </c>
      <c r="AF843">
        <v>50</v>
      </c>
      <c r="AG843" t="s">
        <v>125</v>
      </c>
      <c r="AH843">
        <v>75</v>
      </c>
      <c r="AI843" t="s">
        <v>125</v>
      </c>
      <c r="AJ843" t="s">
        <v>125</v>
      </c>
      <c r="AK843">
        <v>-0.18</v>
      </c>
      <c r="AL843">
        <v>3.93</v>
      </c>
      <c r="AM843" t="s">
        <v>125</v>
      </c>
      <c r="AN843">
        <v>0.71875699999999998</v>
      </c>
      <c r="AO843">
        <v>71.875698</v>
      </c>
      <c r="AP843">
        <v>100</v>
      </c>
      <c r="AQ843">
        <v>0.79482399999999997</v>
      </c>
      <c r="AR843">
        <v>79.482440999999994</v>
      </c>
      <c r="AS843">
        <v>100</v>
      </c>
      <c r="AT843">
        <v>0.53925800000000002</v>
      </c>
      <c r="AU843">
        <v>0.76363199999999998</v>
      </c>
      <c r="AV843">
        <v>53.925789000000002</v>
      </c>
      <c r="AW843">
        <v>100</v>
      </c>
      <c r="AX843">
        <v>0.686334</v>
      </c>
      <c r="AY843">
        <v>0.82194699999999998</v>
      </c>
      <c r="AZ843">
        <v>68.633352000000002</v>
      </c>
      <c r="BA843">
        <v>100</v>
      </c>
      <c r="BB843" t="s">
        <v>125</v>
      </c>
      <c r="BC843" t="s">
        <v>125</v>
      </c>
      <c r="BD843" t="s">
        <v>125</v>
      </c>
      <c r="BE843" t="s">
        <v>125</v>
      </c>
      <c r="BF843" t="s">
        <v>125</v>
      </c>
      <c r="BG843" t="s">
        <v>125</v>
      </c>
      <c r="BH843">
        <v>0</v>
      </c>
      <c r="BI843">
        <v>0.99541299999999999</v>
      </c>
      <c r="BJ843">
        <v>0.98039200000000004</v>
      </c>
      <c r="BK843">
        <v>1</v>
      </c>
      <c r="BL843">
        <v>0.99541299999999999</v>
      </c>
      <c r="BM843">
        <v>0.98039200000000004</v>
      </c>
      <c r="BN843">
        <v>1</v>
      </c>
      <c r="BO843">
        <v>1</v>
      </c>
      <c r="BP843" t="s">
        <v>125</v>
      </c>
      <c r="BQ843">
        <v>1</v>
      </c>
      <c r="BR843">
        <v>2.6525E-2</v>
      </c>
      <c r="BS843">
        <v>50</v>
      </c>
      <c r="BT843">
        <v>50</v>
      </c>
      <c r="BU843">
        <v>7.3171E-2</v>
      </c>
      <c r="BV843">
        <v>45.365853999999999</v>
      </c>
      <c r="BW843">
        <v>50</v>
      </c>
      <c r="BX843" t="s">
        <v>125</v>
      </c>
      <c r="BY843" t="s">
        <v>125</v>
      </c>
      <c r="BZ843" t="s">
        <v>125</v>
      </c>
      <c r="CA843" t="s">
        <v>125</v>
      </c>
      <c r="CB843" t="s">
        <v>125</v>
      </c>
      <c r="CC843" t="s">
        <v>125</v>
      </c>
      <c r="CD843" t="s">
        <v>125</v>
      </c>
      <c r="CE843" t="s">
        <v>125</v>
      </c>
      <c r="CF843" t="s">
        <v>125</v>
      </c>
      <c r="CG843" t="s">
        <v>125</v>
      </c>
      <c r="CH843" t="s">
        <v>125</v>
      </c>
      <c r="CI843" t="s">
        <v>125</v>
      </c>
      <c r="CJ843" t="s">
        <v>125</v>
      </c>
      <c r="CK843" t="s">
        <v>125</v>
      </c>
      <c r="CL843" t="s">
        <v>125</v>
      </c>
      <c r="CM843" t="s">
        <v>125</v>
      </c>
      <c r="CN843" t="s">
        <v>125</v>
      </c>
      <c r="CO843" t="s">
        <v>125</v>
      </c>
      <c r="CP843" t="s">
        <v>125</v>
      </c>
      <c r="CQ843">
        <v>0.70399999999999996</v>
      </c>
      <c r="CR843">
        <v>0.98425200000000002</v>
      </c>
      <c r="CS843">
        <v>46.933332999999998</v>
      </c>
      <c r="CT843">
        <v>50</v>
      </c>
      <c r="CU843" t="s">
        <v>125</v>
      </c>
      <c r="CV843" t="s">
        <v>125</v>
      </c>
      <c r="CW843" t="s">
        <v>125</v>
      </c>
      <c r="CX843" t="s">
        <v>125</v>
      </c>
      <c r="CY843" t="s">
        <v>125</v>
      </c>
      <c r="CZ843" t="s">
        <v>125</v>
      </c>
      <c r="DA843">
        <v>15.314097</v>
      </c>
      <c r="DB843">
        <v>17.400950000000002</v>
      </c>
      <c r="DC843">
        <v>16.332519999999999</v>
      </c>
      <c r="DD843" t="s">
        <v>125</v>
      </c>
      <c r="DE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Q843" t="s">
        <v>126</v>
      </c>
    </row>
    <row r="844" spans="1:121" x14ac:dyDescent="0.15">
      <c r="A844">
        <v>2018</v>
      </c>
      <c r="B844" t="s">
        <v>282</v>
      </c>
      <c r="C844" t="str">
        <f t="shared" si="35"/>
        <v>1280011</v>
      </c>
      <c r="D844" t="s">
        <v>997</v>
      </c>
      <c r="E844" t="str">
        <f>"1285111"</f>
        <v>1285111</v>
      </c>
      <c r="F844" t="s">
        <v>328</v>
      </c>
      <c r="G844">
        <v>7</v>
      </c>
      <c r="H844">
        <v>8</v>
      </c>
      <c r="I844" t="s">
        <v>336</v>
      </c>
      <c r="J844" t="s">
        <v>331</v>
      </c>
      <c r="K844">
        <v>673.78060100000005</v>
      </c>
      <c r="L844">
        <v>900</v>
      </c>
      <c r="M844">
        <v>74.864510999999993</v>
      </c>
      <c r="N844">
        <v>3</v>
      </c>
      <c r="O844">
        <v>1</v>
      </c>
      <c r="P844">
        <v>82.172523999999996</v>
      </c>
      <c r="Q844">
        <v>50</v>
      </c>
      <c r="R844">
        <v>50</v>
      </c>
      <c r="S844">
        <v>66.810827000000003</v>
      </c>
      <c r="T844">
        <v>75</v>
      </c>
      <c r="U844">
        <v>44.540551000000001</v>
      </c>
      <c r="V844">
        <v>50</v>
      </c>
      <c r="W844">
        <v>74.343502000000001</v>
      </c>
      <c r="X844">
        <v>49.562334</v>
      </c>
      <c r="Y844">
        <v>50</v>
      </c>
      <c r="Z844">
        <v>75</v>
      </c>
      <c r="AA844">
        <v>56.827838</v>
      </c>
      <c r="AB844">
        <v>37.885224999999998</v>
      </c>
      <c r="AC844">
        <v>50</v>
      </c>
      <c r="AD844">
        <v>77.831142</v>
      </c>
      <c r="AE844">
        <v>50</v>
      </c>
      <c r="AF844">
        <v>50</v>
      </c>
      <c r="AG844">
        <v>62.741289999999999</v>
      </c>
      <c r="AH844">
        <v>75</v>
      </c>
      <c r="AI844">
        <v>41.827525999999999</v>
      </c>
      <c r="AJ844">
        <v>50</v>
      </c>
      <c r="AK844">
        <v>8.18</v>
      </c>
      <c r="AL844">
        <v>18.170000000000002</v>
      </c>
      <c r="AM844">
        <v>12.25</v>
      </c>
      <c r="AN844">
        <v>0.63897099999999996</v>
      </c>
      <c r="AO844">
        <v>63.897050999999998</v>
      </c>
      <c r="AP844">
        <v>100</v>
      </c>
      <c r="AQ844">
        <v>0.60694599999999999</v>
      </c>
      <c r="AR844">
        <v>60.694611000000002</v>
      </c>
      <c r="AS844">
        <v>100</v>
      </c>
      <c r="AT844">
        <v>0.519451</v>
      </c>
      <c r="AU844">
        <v>0.67346300000000003</v>
      </c>
      <c r="AV844">
        <v>51.945104000000001</v>
      </c>
      <c r="AW844">
        <v>100</v>
      </c>
      <c r="AX844">
        <v>0.43505100000000002</v>
      </c>
      <c r="AY844">
        <v>0.65666500000000005</v>
      </c>
      <c r="AZ844">
        <v>43.505147999999998</v>
      </c>
      <c r="BA844">
        <v>100</v>
      </c>
      <c r="BB844" t="s">
        <v>125</v>
      </c>
      <c r="BC844" t="s">
        <v>125</v>
      </c>
      <c r="BD844" t="s">
        <v>125</v>
      </c>
      <c r="BE844" t="s">
        <v>125</v>
      </c>
      <c r="BF844" t="s">
        <v>125</v>
      </c>
      <c r="BG844" t="s">
        <v>125</v>
      </c>
      <c r="BH844">
        <v>1</v>
      </c>
      <c r="BI844">
        <v>0.98507500000000003</v>
      </c>
      <c r="BJ844">
        <v>0.94557800000000003</v>
      </c>
      <c r="BK844">
        <v>0.997807</v>
      </c>
      <c r="BL844">
        <v>0.98673299999999997</v>
      </c>
      <c r="BM844">
        <v>0.94557800000000003</v>
      </c>
      <c r="BN844">
        <v>1</v>
      </c>
      <c r="BO844">
        <v>0.98688500000000001</v>
      </c>
      <c r="BP844">
        <v>0.95522399999999996</v>
      </c>
      <c r="BQ844">
        <v>0.99579799999999996</v>
      </c>
      <c r="BR844">
        <v>6.4783999999999994E-2</v>
      </c>
      <c r="BS844">
        <v>47.043188999999998</v>
      </c>
      <c r="BT844">
        <v>50</v>
      </c>
      <c r="BU844">
        <v>0.13103400000000001</v>
      </c>
      <c r="BV844">
        <v>33.793103000000002</v>
      </c>
      <c r="BW844">
        <v>50</v>
      </c>
      <c r="BX844" t="s">
        <v>125</v>
      </c>
      <c r="BY844" t="s">
        <v>125</v>
      </c>
      <c r="BZ844" t="s">
        <v>125</v>
      </c>
      <c r="CA844" t="s">
        <v>125</v>
      </c>
      <c r="CB844" t="s">
        <v>125</v>
      </c>
      <c r="CC844" t="s">
        <v>125</v>
      </c>
      <c r="CD844">
        <v>0.98750000000000004</v>
      </c>
      <c r="CE844">
        <v>50</v>
      </c>
      <c r="CF844">
        <v>50</v>
      </c>
      <c r="CG844" t="s">
        <v>125</v>
      </c>
      <c r="CH844" t="s">
        <v>125</v>
      </c>
      <c r="CI844" t="s">
        <v>125</v>
      </c>
      <c r="CJ844" t="s">
        <v>125</v>
      </c>
      <c r="CK844" t="s">
        <v>125</v>
      </c>
      <c r="CL844" t="s">
        <v>125</v>
      </c>
      <c r="CM844" t="s">
        <v>125</v>
      </c>
      <c r="CN844" t="s">
        <v>125</v>
      </c>
      <c r="CO844" t="s">
        <v>125</v>
      </c>
      <c r="CP844" t="s">
        <v>125</v>
      </c>
      <c r="CQ844">
        <v>0.73630099999999998</v>
      </c>
      <c r="CR844">
        <v>0.96052599999999999</v>
      </c>
      <c r="CS844">
        <v>49.086758000000003</v>
      </c>
      <c r="CT844">
        <v>50</v>
      </c>
      <c r="CU844" t="s">
        <v>125</v>
      </c>
      <c r="CV844" t="s">
        <v>125</v>
      </c>
      <c r="CW844" t="s">
        <v>125</v>
      </c>
      <c r="CX844" t="s">
        <v>125</v>
      </c>
      <c r="CY844" t="s">
        <v>125</v>
      </c>
      <c r="CZ844" t="s">
        <v>125</v>
      </c>
      <c r="DA844">
        <v>15.314097</v>
      </c>
      <c r="DB844">
        <v>17.400950000000002</v>
      </c>
      <c r="DC844">
        <v>16.332519999999999</v>
      </c>
      <c r="DD844" t="s">
        <v>125</v>
      </c>
      <c r="DE844">
        <v>1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Q844" t="s">
        <v>126</v>
      </c>
    </row>
    <row r="845" spans="1:121" x14ac:dyDescent="0.15">
      <c r="A845">
        <v>2018</v>
      </c>
      <c r="B845" t="s">
        <v>282</v>
      </c>
      <c r="C845" t="str">
        <f t="shared" si="35"/>
        <v>1280011</v>
      </c>
      <c r="D845" t="s">
        <v>998</v>
      </c>
      <c r="E845" t="str">
        <f>"1280611"</f>
        <v>1280611</v>
      </c>
      <c r="F845" t="s">
        <v>328</v>
      </c>
      <c r="G845" t="s">
        <v>339</v>
      </c>
      <c r="H845">
        <v>6</v>
      </c>
      <c r="I845" t="s">
        <v>336</v>
      </c>
      <c r="J845" t="s">
        <v>331</v>
      </c>
      <c r="K845">
        <v>650.81332799999996</v>
      </c>
      <c r="L845">
        <v>800</v>
      </c>
      <c r="M845">
        <v>81.351665999999994</v>
      </c>
      <c r="N845">
        <v>2</v>
      </c>
      <c r="O845">
        <v>0</v>
      </c>
      <c r="P845">
        <v>81.910285000000002</v>
      </c>
      <c r="Q845">
        <v>50</v>
      </c>
      <c r="R845">
        <v>50</v>
      </c>
      <c r="S845">
        <v>68.092675999999997</v>
      </c>
      <c r="T845">
        <v>75</v>
      </c>
      <c r="U845">
        <v>45.395116999999999</v>
      </c>
      <c r="V845">
        <v>50</v>
      </c>
      <c r="W845">
        <v>74.527604999999994</v>
      </c>
      <c r="X845">
        <v>49.685070000000003</v>
      </c>
      <c r="Y845">
        <v>50</v>
      </c>
      <c r="Z845">
        <v>75</v>
      </c>
      <c r="AA845">
        <v>58.787303000000001</v>
      </c>
      <c r="AB845">
        <v>39.191535999999999</v>
      </c>
      <c r="AC845">
        <v>50</v>
      </c>
      <c r="AD845">
        <v>77.625191999999998</v>
      </c>
      <c r="AE845">
        <v>50</v>
      </c>
      <c r="AF845">
        <v>50</v>
      </c>
      <c r="AG845" t="s">
        <v>125</v>
      </c>
      <c r="AH845">
        <v>75</v>
      </c>
      <c r="AI845" t="s">
        <v>125</v>
      </c>
      <c r="AJ845" t="s">
        <v>125</v>
      </c>
      <c r="AK845">
        <v>6.9</v>
      </c>
      <c r="AL845">
        <v>16.21</v>
      </c>
      <c r="AM845" t="s">
        <v>125</v>
      </c>
      <c r="AN845">
        <v>0.69048299999999996</v>
      </c>
      <c r="AO845">
        <v>69.048272999999995</v>
      </c>
      <c r="AP845">
        <v>100</v>
      </c>
      <c r="AQ845">
        <v>0.77354900000000004</v>
      </c>
      <c r="AR845">
        <v>77.354933000000003</v>
      </c>
      <c r="AS845">
        <v>100</v>
      </c>
      <c r="AT845">
        <v>0.62894700000000003</v>
      </c>
      <c r="AU845">
        <v>0.70918999999999999</v>
      </c>
      <c r="AV845">
        <v>62.894689999999997</v>
      </c>
      <c r="AW845">
        <v>100</v>
      </c>
      <c r="AX845">
        <v>0.71177199999999996</v>
      </c>
      <c r="AY845">
        <v>0.79232999999999998</v>
      </c>
      <c r="AZ845">
        <v>71.177223999999995</v>
      </c>
      <c r="BA845">
        <v>100</v>
      </c>
      <c r="BB845" t="s">
        <v>125</v>
      </c>
      <c r="BC845" t="s">
        <v>125</v>
      </c>
      <c r="BD845" t="s">
        <v>125</v>
      </c>
      <c r="BE845" t="s">
        <v>125</v>
      </c>
      <c r="BF845" t="s">
        <v>125</v>
      </c>
      <c r="BG845" t="s">
        <v>125</v>
      </c>
      <c r="BH845">
        <v>0</v>
      </c>
      <c r="BI845">
        <v>0.995475</v>
      </c>
      <c r="BJ845">
        <v>1</v>
      </c>
      <c r="BK845">
        <v>0.993865</v>
      </c>
      <c r="BL845">
        <v>0.995475</v>
      </c>
      <c r="BM845">
        <v>1</v>
      </c>
      <c r="BN845">
        <v>0.993865</v>
      </c>
      <c r="BO845">
        <v>1</v>
      </c>
      <c r="BP845" t="s">
        <v>125</v>
      </c>
      <c r="BQ845">
        <v>1</v>
      </c>
      <c r="BR845">
        <v>3.6584999999999999E-2</v>
      </c>
      <c r="BS845">
        <v>50</v>
      </c>
      <c r="BT845">
        <v>50</v>
      </c>
      <c r="BU845">
        <v>6.7308000000000007E-2</v>
      </c>
      <c r="BV845">
        <v>46.538462000000003</v>
      </c>
      <c r="BW845">
        <v>50</v>
      </c>
      <c r="BX845" t="s">
        <v>125</v>
      </c>
      <c r="BY845" t="s">
        <v>125</v>
      </c>
      <c r="BZ845" t="s">
        <v>125</v>
      </c>
      <c r="CA845" t="s">
        <v>125</v>
      </c>
      <c r="CB845" t="s">
        <v>125</v>
      </c>
      <c r="CC845" t="s">
        <v>125</v>
      </c>
      <c r="CD845" t="s">
        <v>125</v>
      </c>
      <c r="CE845" t="s">
        <v>125</v>
      </c>
      <c r="CF845" t="s">
        <v>125</v>
      </c>
      <c r="CG845" t="s">
        <v>125</v>
      </c>
      <c r="CH845" t="s">
        <v>125</v>
      </c>
      <c r="CI845" t="s">
        <v>125</v>
      </c>
      <c r="CJ845" t="s">
        <v>125</v>
      </c>
      <c r="CK845" t="s">
        <v>125</v>
      </c>
      <c r="CL845" t="s">
        <v>125</v>
      </c>
      <c r="CM845" t="s">
        <v>125</v>
      </c>
      <c r="CN845" t="s">
        <v>125</v>
      </c>
      <c r="CO845" t="s">
        <v>125</v>
      </c>
      <c r="CP845" t="s">
        <v>125</v>
      </c>
      <c r="CQ845">
        <v>0.59292</v>
      </c>
      <c r="CR845">
        <v>1.008929</v>
      </c>
      <c r="CS845">
        <v>39.528024000000002</v>
      </c>
      <c r="CT845">
        <v>50</v>
      </c>
      <c r="CU845" t="s">
        <v>125</v>
      </c>
      <c r="CV845" t="s">
        <v>125</v>
      </c>
      <c r="CW845" t="s">
        <v>125</v>
      </c>
      <c r="CX845" t="s">
        <v>125</v>
      </c>
      <c r="CY845" t="s">
        <v>125</v>
      </c>
      <c r="CZ845" t="s">
        <v>125</v>
      </c>
      <c r="DA845">
        <v>15.314097</v>
      </c>
      <c r="DB845">
        <v>17.400950000000002</v>
      </c>
      <c r="DC845">
        <v>16.332519999999999</v>
      </c>
      <c r="DD845" t="s">
        <v>125</v>
      </c>
      <c r="DE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Q845" t="s">
        <v>126</v>
      </c>
    </row>
    <row r="846" spans="1:121" x14ac:dyDescent="0.15">
      <c r="A846">
        <v>2018</v>
      </c>
      <c r="B846" t="s">
        <v>282</v>
      </c>
      <c r="C846" t="str">
        <f t="shared" si="35"/>
        <v>1280011</v>
      </c>
      <c r="D846" t="s">
        <v>999</v>
      </c>
      <c r="E846" t="str">
        <f>"1286111"</f>
        <v>1286111</v>
      </c>
      <c r="F846" t="s">
        <v>328</v>
      </c>
      <c r="G846">
        <v>9</v>
      </c>
      <c r="H846">
        <v>12</v>
      </c>
      <c r="J846" t="s">
        <v>331</v>
      </c>
      <c r="K846">
        <v>1279.8801089999999</v>
      </c>
      <c r="L846">
        <v>1450</v>
      </c>
      <c r="M846">
        <v>88.267594000000003</v>
      </c>
      <c r="N846">
        <v>2</v>
      </c>
      <c r="O846">
        <v>1</v>
      </c>
      <c r="P846">
        <v>71.439578999999995</v>
      </c>
      <c r="Q846">
        <v>142.87915899999999</v>
      </c>
      <c r="R846">
        <v>150</v>
      </c>
      <c r="S846">
        <v>54.249206000000001</v>
      </c>
      <c r="T846">
        <v>75</v>
      </c>
      <c r="U846">
        <v>108.498413</v>
      </c>
      <c r="V846">
        <v>150</v>
      </c>
      <c r="W846">
        <v>69.454330999999996</v>
      </c>
      <c r="X846">
        <v>138.90866299999999</v>
      </c>
      <c r="Y846">
        <v>150</v>
      </c>
      <c r="Z846">
        <v>73.752933999999996</v>
      </c>
      <c r="AA846">
        <v>52.014285999999998</v>
      </c>
      <c r="AB846">
        <v>104.028571</v>
      </c>
      <c r="AC846">
        <v>150</v>
      </c>
      <c r="AD846">
        <v>81.049904999999995</v>
      </c>
      <c r="AE846">
        <v>100</v>
      </c>
      <c r="AF846">
        <v>100</v>
      </c>
      <c r="AG846">
        <v>61.710230000000003</v>
      </c>
      <c r="AH846">
        <v>75</v>
      </c>
      <c r="AI846">
        <v>82.280306999999993</v>
      </c>
      <c r="AJ846">
        <v>100</v>
      </c>
      <c r="AK846">
        <v>20.75</v>
      </c>
      <c r="AL846">
        <v>21.73</v>
      </c>
      <c r="AM846">
        <v>13.28</v>
      </c>
      <c r="AN846" t="s">
        <v>125</v>
      </c>
      <c r="AO846" t="s">
        <v>125</v>
      </c>
      <c r="AP846" t="s">
        <v>125</v>
      </c>
      <c r="AQ846" t="s">
        <v>125</v>
      </c>
      <c r="AR846" t="s">
        <v>125</v>
      </c>
      <c r="AS846" t="s">
        <v>125</v>
      </c>
      <c r="AT846" t="s">
        <v>125</v>
      </c>
      <c r="AU846" t="s">
        <v>125</v>
      </c>
      <c r="AV846" t="s">
        <v>125</v>
      </c>
      <c r="AW846" t="s">
        <v>125</v>
      </c>
      <c r="AX846" t="s">
        <v>125</v>
      </c>
      <c r="AY846" t="s">
        <v>125</v>
      </c>
      <c r="AZ846" t="s">
        <v>125</v>
      </c>
      <c r="BA846" t="s">
        <v>125</v>
      </c>
      <c r="BB846" t="s">
        <v>125</v>
      </c>
      <c r="BC846" t="s">
        <v>125</v>
      </c>
      <c r="BD846" t="s">
        <v>125</v>
      </c>
      <c r="BE846" t="s">
        <v>125</v>
      </c>
      <c r="BF846" t="s">
        <v>125</v>
      </c>
      <c r="BG846" t="s">
        <v>125</v>
      </c>
      <c r="BH846">
        <v>0</v>
      </c>
      <c r="BI846">
        <v>0.98895</v>
      </c>
      <c r="BJ846">
        <v>0.96</v>
      </c>
      <c r="BK846">
        <v>0.99651599999999996</v>
      </c>
      <c r="BL846">
        <v>0.98895</v>
      </c>
      <c r="BM846">
        <v>0.96</v>
      </c>
      <c r="BN846">
        <v>0.99651599999999996</v>
      </c>
      <c r="BO846">
        <v>0.99446000000000001</v>
      </c>
      <c r="BP846">
        <v>0.973333</v>
      </c>
      <c r="BQ846">
        <v>1</v>
      </c>
      <c r="BR846">
        <v>8.7832999999999994E-2</v>
      </c>
      <c r="BS846">
        <v>42.433405</v>
      </c>
      <c r="BT846">
        <v>50</v>
      </c>
      <c r="BU846">
        <v>0.177258</v>
      </c>
      <c r="BV846">
        <v>24.548494999999999</v>
      </c>
      <c r="BW846">
        <v>50</v>
      </c>
      <c r="BX846">
        <v>0.87359600000000004</v>
      </c>
      <c r="BY846">
        <v>50</v>
      </c>
      <c r="BZ846">
        <v>50</v>
      </c>
      <c r="CA846">
        <v>0.75421300000000002</v>
      </c>
      <c r="CB846">
        <v>50</v>
      </c>
      <c r="CC846">
        <v>50</v>
      </c>
      <c r="CD846">
        <v>0.98235300000000003</v>
      </c>
      <c r="CE846">
        <v>50</v>
      </c>
      <c r="CF846">
        <v>50</v>
      </c>
      <c r="CG846">
        <v>0.98470899999999995</v>
      </c>
      <c r="CH846">
        <v>100</v>
      </c>
      <c r="CI846">
        <v>100</v>
      </c>
      <c r="CJ846">
        <v>0</v>
      </c>
      <c r="CK846">
        <v>0.97058800000000001</v>
      </c>
      <c r="CL846">
        <v>100</v>
      </c>
      <c r="CM846">
        <v>100</v>
      </c>
      <c r="CN846">
        <v>0.87156</v>
      </c>
      <c r="CO846">
        <v>100</v>
      </c>
      <c r="CP846">
        <v>100</v>
      </c>
      <c r="CQ846">
        <v>0.625</v>
      </c>
      <c r="CR846">
        <v>0.92581599999999997</v>
      </c>
      <c r="CS846">
        <v>41.666666999999997</v>
      </c>
      <c r="CT846">
        <v>50</v>
      </c>
      <c r="CU846">
        <v>0.53563700000000003</v>
      </c>
      <c r="CV846">
        <v>44.636429</v>
      </c>
      <c r="CW846">
        <v>50</v>
      </c>
      <c r="CX846">
        <v>0.97058800000000001</v>
      </c>
      <c r="CY846">
        <v>0.94</v>
      </c>
      <c r="CZ846">
        <v>-3.0588000000000001E-2</v>
      </c>
      <c r="DA846">
        <v>15.314097</v>
      </c>
      <c r="DB846">
        <v>17.400950000000002</v>
      </c>
      <c r="DC846">
        <v>16.332519999999999</v>
      </c>
      <c r="DD846">
        <v>7.9891730000000001</v>
      </c>
      <c r="DE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Q846" t="s">
        <v>126</v>
      </c>
    </row>
    <row r="847" spans="1:121" x14ac:dyDescent="0.15">
      <c r="A847">
        <v>2018</v>
      </c>
      <c r="B847" t="s">
        <v>282</v>
      </c>
      <c r="C847" t="str">
        <f t="shared" si="35"/>
        <v>1280011</v>
      </c>
      <c r="D847" t="s">
        <v>1000</v>
      </c>
      <c r="E847" t="str">
        <f>"1280711"</f>
        <v>1280711</v>
      </c>
      <c r="F847" t="s">
        <v>328</v>
      </c>
      <c r="G847" t="s">
        <v>329</v>
      </c>
      <c r="H847">
        <v>6</v>
      </c>
      <c r="J847" t="s">
        <v>331</v>
      </c>
      <c r="K847">
        <v>699.34762599999999</v>
      </c>
      <c r="L847">
        <v>850</v>
      </c>
      <c r="M847">
        <v>82.276190999999997</v>
      </c>
      <c r="N847">
        <v>2</v>
      </c>
      <c r="O847">
        <v>0</v>
      </c>
      <c r="P847">
        <v>84.105795999999998</v>
      </c>
      <c r="Q847">
        <v>50</v>
      </c>
      <c r="R847">
        <v>50</v>
      </c>
      <c r="S847">
        <v>73.249307999999999</v>
      </c>
      <c r="T847">
        <v>75</v>
      </c>
      <c r="U847">
        <v>48.832872000000002</v>
      </c>
      <c r="V847">
        <v>50</v>
      </c>
      <c r="W847">
        <v>76.296621000000002</v>
      </c>
      <c r="X847">
        <v>50</v>
      </c>
      <c r="Y847">
        <v>50</v>
      </c>
      <c r="Z847">
        <v>75</v>
      </c>
      <c r="AA847">
        <v>63.541530000000002</v>
      </c>
      <c r="AB847">
        <v>42.361020000000003</v>
      </c>
      <c r="AC847">
        <v>50</v>
      </c>
      <c r="AD847">
        <v>78.632688999999999</v>
      </c>
      <c r="AE847">
        <v>50</v>
      </c>
      <c r="AF847">
        <v>50</v>
      </c>
      <c r="AG847">
        <v>61.905914000000003</v>
      </c>
      <c r="AH847">
        <v>75</v>
      </c>
      <c r="AI847">
        <v>41.270609</v>
      </c>
      <c r="AJ847">
        <v>50</v>
      </c>
      <c r="AK847">
        <v>1.75</v>
      </c>
      <c r="AL847">
        <v>11.45</v>
      </c>
      <c r="AM847">
        <v>13.09</v>
      </c>
      <c r="AN847">
        <v>0.71375200000000005</v>
      </c>
      <c r="AO847">
        <v>71.375245000000007</v>
      </c>
      <c r="AP847">
        <v>100</v>
      </c>
      <c r="AQ847">
        <v>0.76319700000000001</v>
      </c>
      <c r="AR847">
        <v>76.319706999999994</v>
      </c>
      <c r="AS847">
        <v>100</v>
      </c>
      <c r="AT847">
        <v>0.60549200000000003</v>
      </c>
      <c r="AU847">
        <v>0.74509099999999995</v>
      </c>
      <c r="AV847">
        <v>60.549171000000001</v>
      </c>
      <c r="AW847">
        <v>100</v>
      </c>
      <c r="AX847">
        <v>0.722611</v>
      </c>
      <c r="AY847">
        <v>0.77494600000000002</v>
      </c>
      <c r="AZ847">
        <v>72.261080000000007</v>
      </c>
      <c r="BA847">
        <v>100</v>
      </c>
      <c r="BB847" t="s">
        <v>125</v>
      </c>
      <c r="BC847" t="s">
        <v>125</v>
      </c>
      <c r="BD847" t="s">
        <v>125</v>
      </c>
      <c r="BE847" t="s">
        <v>125</v>
      </c>
      <c r="BF847" t="s">
        <v>125</v>
      </c>
      <c r="BG847" t="s">
        <v>125</v>
      </c>
      <c r="BH847">
        <v>0</v>
      </c>
      <c r="BI847">
        <v>0.99418600000000001</v>
      </c>
      <c r="BJ847">
        <v>0.97826100000000005</v>
      </c>
      <c r="BK847">
        <v>1</v>
      </c>
      <c r="BL847">
        <v>0.99418600000000001</v>
      </c>
      <c r="BM847">
        <v>0.97826100000000005</v>
      </c>
      <c r="BN847">
        <v>1</v>
      </c>
      <c r="BO847">
        <v>1</v>
      </c>
      <c r="BP847">
        <v>1</v>
      </c>
      <c r="BQ847">
        <v>1</v>
      </c>
      <c r="BR847">
        <v>3.7543E-2</v>
      </c>
      <c r="BS847">
        <v>50</v>
      </c>
      <c r="BT847">
        <v>50</v>
      </c>
      <c r="BU847">
        <v>7.0422999999999999E-2</v>
      </c>
      <c r="BV847">
        <v>45.915492999999998</v>
      </c>
      <c r="BW847">
        <v>50</v>
      </c>
      <c r="BX847" t="s">
        <v>125</v>
      </c>
      <c r="BY847" t="s">
        <v>125</v>
      </c>
      <c r="BZ847" t="s">
        <v>125</v>
      </c>
      <c r="CA847" t="s">
        <v>125</v>
      </c>
      <c r="CB847" t="s">
        <v>125</v>
      </c>
      <c r="CC847" t="s">
        <v>125</v>
      </c>
      <c r="CD847" t="s">
        <v>125</v>
      </c>
      <c r="CE847" t="s">
        <v>125</v>
      </c>
      <c r="CF847" t="s">
        <v>125</v>
      </c>
      <c r="CG847" t="s">
        <v>125</v>
      </c>
      <c r="CH847" t="s">
        <v>125</v>
      </c>
      <c r="CI847" t="s">
        <v>125</v>
      </c>
      <c r="CJ847" t="s">
        <v>125</v>
      </c>
      <c r="CK847" t="s">
        <v>125</v>
      </c>
      <c r="CL847" t="s">
        <v>125</v>
      </c>
      <c r="CM847" t="s">
        <v>125</v>
      </c>
      <c r="CN847" t="s">
        <v>125</v>
      </c>
      <c r="CO847" t="s">
        <v>125</v>
      </c>
      <c r="CP847" t="s">
        <v>125</v>
      </c>
      <c r="CQ847">
        <v>0.60693600000000003</v>
      </c>
      <c r="CR847">
        <v>0.98295500000000002</v>
      </c>
      <c r="CS847">
        <v>40.462428000000003</v>
      </c>
      <c r="CT847">
        <v>50</v>
      </c>
      <c r="CU847" t="s">
        <v>125</v>
      </c>
      <c r="CV847" t="s">
        <v>125</v>
      </c>
      <c r="CW847" t="s">
        <v>125</v>
      </c>
      <c r="CX847" t="s">
        <v>125</v>
      </c>
      <c r="CY847" t="s">
        <v>125</v>
      </c>
      <c r="CZ847" t="s">
        <v>125</v>
      </c>
      <c r="DA847">
        <v>15.314097</v>
      </c>
      <c r="DB847">
        <v>17.400950000000002</v>
      </c>
      <c r="DC847">
        <v>16.332519999999999</v>
      </c>
      <c r="DD847" t="s">
        <v>125</v>
      </c>
      <c r="DE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Q847" t="s">
        <v>126</v>
      </c>
    </row>
    <row r="848" spans="1:121" x14ac:dyDescent="0.15">
      <c r="A848">
        <v>2018</v>
      </c>
      <c r="B848" t="s">
        <v>282</v>
      </c>
      <c r="C848" t="str">
        <f t="shared" si="35"/>
        <v>1280011</v>
      </c>
      <c r="D848" t="s">
        <v>1001</v>
      </c>
      <c r="E848" t="str">
        <f>"1280311"</f>
        <v>1280311</v>
      </c>
      <c r="F848" t="s">
        <v>328</v>
      </c>
      <c r="G848" t="s">
        <v>339</v>
      </c>
      <c r="H848">
        <v>6</v>
      </c>
      <c r="I848" t="s">
        <v>336</v>
      </c>
      <c r="J848" t="s">
        <v>331</v>
      </c>
      <c r="K848">
        <v>682.660212</v>
      </c>
      <c r="L848">
        <v>800</v>
      </c>
      <c r="M848">
        <v>85.332526000000001</v>
      </c>
      <c r="N848">
        <v>1</v>
      </c>
      <c r="O848">
        <v>0</v>
      </c>
      <c r="P848">
        <v>81.928128999999998</v>
      </c>
      <c r="Q848">
        <v>50</v>
      </c>
      <c r="R848">
        <v>50</v>
      </c>
      <c r="S848">
        <v>75.698993000000002</v>
      </c>
      <c r="T848">
        <v>75</v>
      </c>
      <c r="U848">
        <v>50</v>
      </c>
      <c r="V848">
        <v>50</v>
      </c>
      <c r="W848">
        <v>75.944879</v>
      </c>
      <c r="X848">
        <v>50</v>
      </c>
      <c r="Y848">
        <v>50</v>
      </c>
      <c r="Z848">
        <v>75</v>
      </c>
      <c r="AA848">
        <v>68.664063999999996</v>
      </c>
      <c r="AB848">
        <v>45.776043000000001</v>
      </c>
      <c r="AC848">
        <v>50</v>
      </c>
      <c r="AD848">
        <v>73.157604000000006</v>
      </c>
      <c r="AE848">
        <v>48.771735999999997</v>
      </c>
      <c r="AF848">
        <v>50</v>
      </c>
      <c r="AG848" t="s">
        <v>125</v>
      </c>
      <c r="AH848">
        <v>75</v>
      </c>
      <c r="AI848" t="s">
        <v>125</v>
      </c>
      <c r="AJ848" t="s">
        <v>125</v>
      </c>
      <c r="AK848">
        <v>-0.69</v>
      </c>
      <c r="AL848">
        <v>6.33</v>
      </c>
      <c r="AM848" t="s">
        <v>125</v>
      </c>
      <c r="AN848">
        <v>0.78871000000000002</v>
      </c>
      <c r="AO848">
        <v>78.871013000000005</v>
      </c>
      <c r="AP848">
        <v>100</v>
      </c>
      <c r="AQ848">
        <v>0.77558499999999997</v>
      </c>
      <c r="AR848">
        <v>77.558546000000007</v>
      </c>
      <c r="AS848">
        <v>100</v>
      </c>
      <c r="AT848">
        <v>0.77415999999999996</v>
      </c>
      <c r="AU848">
        <v>0.80246600000000001</v>
      </c>
      <c r="AV848">
        <v>77.416042000000004</v>
      </c>
      <c r="AW848">
        <v>100</v>
      </c>
      <c r="AX848">
        <v>0.74537100000000001</v>
      </c>
      <c r="AY848">
        <v>0.80415199999999998</v>
      </c>
      <c r="AZ848">
        <v>74.537102000000004</v>
      </c>
      <c r="BA848">
        <v>100</v>
      </c>
      <c r="BB848" t="s">
        <v>125</v>
      </c>
      <c r="BC848" t="s">
        <v>125</v>
      </c>
      <c r="BD848" t="s">
        <v>125</v>
      </c>
      <c r="BE848" t="s">
        <v>125</v>
      </c>
      <c r="BF848" t="s">
        <v>125</v>
      </c>
      <c r="BG848" t="s">
        <v>125</v>
      </c>
      <c r="BH848">
        <v>0</v>
      </c>
      <c r="BI848">
        <v>0.99328899999999998</v>
      </c>
      <c r="BJ848">
        <v>0.98571399999999998</v>
      </c>
      <c r="BK848">
        <v>1</v>
      </c>
      <c r="BL848">
        <v>0.99328899999999998</v>
      </c>
      <c r="BM848">
        <v>0.98571399999999998</v>
      </c>
      <c r="BN848">
        <v>1</v>
      </c>
      <c r="BO848">
        <v>0.97297299999999998</v>
      </c>
      <c r="BP848" t="s">
        <v>125</v>
      </c>
      <c r="BQ848">
        <v>1</v>
      </c>
      <c r="BR848">
        <v>3.1746000000000003E-2</v>
      </c>
      <c r="BS848">
        <v>50</v>
      </c>
      <c r="BT848">
        <v>50</v>
      </c>
      <c r="BU848">
        <v>2.8036999999999999E-2</v>
      </c>
      <c r="BV848">
        <v>50</v>
      </c>
      <c r="BW848">
        <v>50</v>
      </c>
      <c r="BX848" t="s">
        <v>125</v>
      </c>
      <c r="BY848" t="s">
        <v>125</v>
      </c>
      <c r="BZ848" t="s">
        <v>125</v>
      </c>
      <c r="CA848" t="s">
        <v>125</v>
      </c>
      <c r="CB848" t="s">
        <v>125</v>
      </c>
      <c r="CC848" t="s">
        <v>125</v>
      </c>
      <c r="CD848" t="s">
        <v>125</v>
      </c>
      <c r="CE848" t="s">
        <v>125</v>
      </c>
      <c r="CF848" t="s">
        <v>125</v>
      </c>
      <c r="CG848" t="s">
        <v>125</v>
      </c>
      <c r="CH848" t="s">
        <v>125</v>
      </c>
      <c r="CI848" t="s">
        <v>125</v>
      </c>
      <c r="CJ848" t="s">
        <v>125</v>
      </c>
      <c r="CK848" t="s">
        <v>125</v>
      </c>
      <c r="CL848" t="s">
        <v>125</v>
      </c>
      <c r="CM848" t="s">
        <v>125</v>
      </c>
      <c r="CN848" t="s">
        <v>125</v>
      </c>
      <c r="CO848" t="s">
        <v>125</v>
      </c>
      <c r="CP848" t="s">
        <v>125</v>
      </c>
      <c r="CQ848">
        <v>0.44594600000000001</v>
      </c>
      <c r="CR848">
        <v>0.97368399999999999</v>
      </c>
      <c r="CS848">
        <v>29.72973</v>
      </c>
      <c r="CT848">
        <v>50</v>
      </c>
      <c r="CU848" t="s">
        <v>125</v>
      </c>
      <c r="CV848" t="s">
        <v>125</v>
      </c>
      <c r="CW848" t="s">
        <v>125</v>
      </c>
      <c r="CX848" t="s">
        <v>125</v>
      </c>
      <c r="CY848" t="s">
        <v>125</v>
      </c>
      <c r="CZ848" t="s">
        <v>125</v>
      </c>
      <c r="DA848">
        <v>15.314097</v>
      </c>
      <c r="DB848">
        <v>17.400950000000002</v>
      </c>
      <c r="DC848">
        <v>16.332519999999999</v>
      </c>
      <c r="DD848" t="s">
        <v>125</v>
      </c>
      <c r="DE848">
        <v>0</v>
      </c>
      <c r="DH848" t="s">
        <v>332</v>
      </c>
      <c r="DI848" t="s">
        <v>529</v>
      </c>
      <c r="DJ848">
        <v>0</v>
      </c>
      <c r="DK848">
        <v>1</v>
      </c>
      <c r="DL848">
        <v>0</v>
      </c>
      <c r="DM848">
        <v>1</v>
      </c>
      <c r="DN848">
        <v>0</v>
      </c>
      <c r="DO848">
        <v>0</v>
      </c>
      <c r="DQ848" t="s">
        <v>126</v>
      </c>
    </row>
    <row r="849" spans="1:121" x14ac:dyDescent="0.15">
      <c r="A849">
        <v>2018</v>
      </c>
      <c r="B849" t="s">
        <v>282</v>
      </c>
      <c r="C849" t="str">
        <f t="shared" si="35"/>
        <v>1280011</v>
      </c>
      <c r="D849" t="s">
        <v>1002</v>
      </c>
      <c r="E849" t="str">
        <f>"1280411"</f>
        <v>1280411</v>
      </c>
      <c r="F849" t="s">
        <v>328</v>
      </c>
      <c r="G849" t="s">
        <v>339</v>
      </c>
      <c r="H849">
        <v>6</v>
      </c>
      <c r="J849" t="s">
        <v>331</v>
      </c>
      <c r="K849">
        <v>663.03376000000003</v>
      </c>
      <c r="L849">
        <v>800</v>
      </c>
      <c r="M849">
        <v>82.879220000000004</v>
      </c>
      <c r="N849">
        <v>2</v>
      </c>
      <c r="O849">
        <v>0</v>
      </c>
      <c r="P849">
        <v>83.132923000000005</v>
      </c>
      <c r="Q849">
        <v>50</v>
      </c>
      <c r="R849">
        <v>50</v>
      </c>
      <c r="S849">
        <v>68.844342999999995</v>
      </c>
      <c r="T849">
        <v>75</v>
      </c>
      <c r="U849">
        <v>45.896228999999998</v>
      </c>
      <c r="V849">
        <v>50</v>
      </c>
      <c r="W849">
        <v>77.206864999999993</v>
      </c>
      <c r="X849">
        <v>50</v>
      </c>
      <c r="Y849">
        <v>50</v>
      </c>
      <c r="Z849">
        <v>75</v>
      </c>
      <c r="AA849">
        <v>61.181424999999997</v>
      </c>
      <c r="AB849">
        <v>40.787616999999997</v>
      </c>
      <c r="AC849">
        <v>50</v>
      </c>
      <c r="AD849">
        <v>84.036518999999998</v>
      </c>
      <c r="AE849">
        <v>50</v>
      </c>
      <c r="AF849">
        <v>50</v>
      </c>
      <c r="AG849" t="s">
        <v>125</v>
      </c>
      <c r="AH849">
        <v>75</v>
      </c>
      <c r="AI849" t="s">
        <v>125</v>
      </c>
      <c r="AJ849" t="s">
        <v>125</v>
      </c>
      <c r="AK849">
        <v>6.15</v>
      </c>
      <c r="AL849">
        <v>13.81</v>
      </c>
      <c r="AM849" t="s">
        <v>125</v>
      </c>
      <c r="AN849">
        <v>0.77546800000000005</v>
      </c>
      <c r="AO849">
        <v>77.546819999999997</v>
      </c>
      <c r="AP849">
        <v>100</v>
      </c>
      <c r="AQ849">
        <v>0.890818</v>
      </c>
      <c r="AR849">
        <v>89.081830999999994</v>
      </c>
      <c r="AS849">
        <v>100</v>
      </c>
      <c r="AT849">
        <v>0.67546899999999999</v>
      </c>
      <c r="AU849">
        <v>0.79769000000000001</v>
      </c>
      <c r="AV849">
        <v>67.546914000000001</v>
      </c>
      <c r="AW849">
        <v>100</v>
      </c>
      <c r="AX849">
        <v>0.80672699999999997</v>
      </c>
      <c r="AY849">
        <v>0.90950500000000001</v>
      </c>
      <c r="AZ849">
        <v>80.672690000000003</v>
      </c>
      <c r="BA849">
        <v>100</v>
      </c>
      <c r="BB849" t="s">
        <v>125</v>
      </c>
      <c r="BC849" t="s">
        <v>125</v>
      </c>
      <c r="BD849" t="s">
        <v>125</v>
      </c>
      <c r="BE849" t="s">
        <v>125</v>
      </c>
      <c r="BF849" t="s">
        <v>125</v>
      </c>
      <c r="BG849" t="s">
        <v>125</v>
      </c>
      <c r="BH849">
        <v>0</v>
      </c>
      <c r="BI849">
        <v>0.99532699999999996</v>
      </c>
      <c r="BJ849">
        <v>0.97727299999999995</v>
      </c>
      <c r="BK849">
        <v>1</v>
      </c>
      <c r="BL849">
        <v>0.99532699999999996</v>
      </c>
      <c r="BM849">
        <v>0.97727299999999995</v>
      </c>
      <c r="BN849">
        <v>1</v>
      </c>
      <c r="BO849">
        <v>1</v>
      </c>
      <c r="BP849" t="s">
        <v>125</v>
      </c>
      <c r="BQ849">
        <v>1</v>
      </c>
      <c r="BR849">
        <v>3.252E-2</v>
      </c>
      <c r="BS849">
        <v>50</v>
      </c>
      <c r="BT849">
        <v>50</v>
      </c>
      <c r="BU849">
        <v>0.108434</v>
      </c>
      <c r="BV849">
        <v>38.313253000000003</v>
      </c>
      <c r="BW849">
        <v>50</v>
      </c>
      <c r="BX849" t="s">
        <v>125</v>
      </c>
      <c r="BY849" t="s">
        <v>125</v>
      </c>
      <c r="BZ849" t="s">
        <v>125</v>
      </c>
      <c r="CA849" t="s">
        <v>125</v>
      </c>
      <c r="CB849" t="s">
        <v>125</v>
      </c>
      <c r="CC849" t="s">
        <v>125</v>
      </c>
      <c r="CD849" t="s">
        <v>125</v>
      </c>
      <c r="CE849" t="s">
        <v>125</v>
      </c>
      <c r="CF849" t="s">
        <v>125</v>
      </c>
      <c r="CG849" t="s">
        <v>125</v>
      </c>
      <c r="CH849" t="s">
        <v>125</v>
      </c>
      <c r="CI849" t="s">
        <v>125</v>
      </c>
      <c r="CJ849" t="s">
        <v>125</v>
      </c>
      <c r="CK849" t="s">
        <v>125</v>
      </c>
      <c r="CL849" t="s">
        <v>125</v>
      </c>
      <c r="CM849" t="s">
        <v>125</v>
      </c>
      <c r="CN849" t="s">
        <v>125</v>
      </c>
      <c r="CO849" t="s">
        <v>125</v>
      </c>
      <c r="CP849" t="s">
        <v>125</v>
      </c>
      <c r="CQ849">
        <v>0.34782600000000002</v>
      </c>
      <c r="CR849">
        <v>0.98290599999999995</v>
      </c>
      <c r="CS849">
        <v>23.188406000000001</v>
      </c>
      <c r="CT849">
        <v>50</v>
      </c>
      <c r="CU849" t="s">
        <v>125</v>
      </c>
      <c r="CV849" t="s">
        <v>125</v>
      </c>
      <c r="CW849" t="s">
        <v>125</v>
      </c>
      <c r="CX849" t="s">
        <v>125</v>
      </c>
      <c r="CY849" t="s">
        <v>125</v>
      </c>
      <c r="CZ849" t="s">
        <v>125</v>
      </c>
      <c r="DA849">
        <v>15.314097</v>
      </c>
      <c r="DB849">
        <v>17.400950000000002</v>
      </c>
      <c r="DC849">
        <v>16.332519999999999</v>
      </c>
      <c r="DD849" t="s">
        <v>125</v>
      </c>
      <c r="DE849">
        <v>0</v>
      </c>
      <c r="DH849" t="s">
        <v>332</v>
      </c>
      <c r="DI849" t="s">
        <v>453</v>
      </c>
      <c r="DJ849">
        <v>0</v>
      </c>
      <c r="DK849">
        <v>0</v>
      </c>
      <c r="DL849">
        <v>1</v>
      </c>
      <c r="DM849">
        <v>0</v>
      </c>
      <c r="DN849">
        <v>1</v>
      </c>
      <c r="DO849">
        <v>0</v>
      </c>
      <c r="DQ849" t="s">
        <v>126</v>
      </c>
    </row>
    <row r="850" spans="1:121" x14ac:dyDescent="0.15">
      <c r="A850">
        <v>2018</v>
      </c>
      <c r="B850" t="s">
        <v>283</v>
      </c>
      <c r="C850" t="str">
        <f>"1290011"</f>
        <v>1290011</v>
      </c>
      <c r="D850" t="s">
        <v>1003</v>
      </c>
      <c r="E850" t="str">
        <f>"1295111"</f>
        <v>1295111</v>
      </c>
      <c r="F850" t="s">
        <v>328</v>
      </c>
      <c r="G850">
        <v>6</v>
      </c>
      <c r="H850">
        <v>8</v>
      </c>
      <c r="I850" t="s">
        <v>330</v>
      </c>
      <c r="J850" t="s">
        <v>331</v>
      </c>
      <c r="K850">
        <v>540.04541500000005</v>
      </c>
      <c r="L850">
        <v>850</v>
      </c>
      <c r="M850">
        <v>63.534754999999997</v>
      </c>
      <c r="N850">
        <v>4</v>
      </c>
      <c r="O850">
        <v>1</v>
      </c>
      <c r="P850">
        <v>68.028758999999994</v>
      </c>
      <c r="Q850">
        <v>45.352505999999998</v>
      </c>
      <c r="R850">
        <v>50</v>
      </c>
      <c r="S850">
        <v>49.797725</v>
      </c>
      <c r="T850">
        <v>72.513005000000007</v>
      </c>
      <c r="U850">
        <v>33.198483000000003</v>
      </c>
      <c r="V850">
        <v>50</v>
      </c>
      <c r="W850">
        <v>66.694894000000005</v>
      </c>
      <c r="X850">
        <v>44.463262999999998</v>
      </c>
      <c r="Y850">
        <v>50</v>
      </c>
      <c r="Z850">
        <v>70.565402000000006</v>
      </c>
      <c r="AA850">
        <v>51.022508000000002</v>
      </c>
      <c r="AB850">
        <v>34.015005000000002</v>
      </c>
      <c r="AC850">
        <v>50</v>
      </c>
      <c r="AD850">
        <v>68.132123000000007</v>
      </c>
      <c r="AE850">
        <v>45.421416000000001</v>
      </c>
      <c r="AF850">
        <v>50</v>
      </c>
      <c r="AG850" t="s">
        <v>125</v>
      </c>
      <c r="AH850">
        <v>71.210526000000002</v>
      </c>
      <c r="AI850" t="s">
        <v>125</v>
      </c>
      <c r="AJ850" t="s">
        <v>125</v>
      </c>
      <c r="AK850">
        <v>22.71</v>
      </c>
      <c r="AL850">
        <v>19.54</v>
      </c>
      <c r="AM850" t="s">
        <v>125</v>
      </c>
      <c r="AN850">
        <v>0.52697099999999997</v>
      </c>
      <c r="AO850">
        <v>52.697082999999999</v>
      </c>
      <c r="AP850">
        <v>100</v>
      </c>
      <c r="AQ850">
        <v>0.64635399999999998</v>
      </c>
      <c r="AR850">
        <v>64.635447999999997</v>
      </c>
      <c r="AS850">
        <v>100</v>
      </c>
      <c r="AT850">
        <v>0.430948</v>
      </c>
      <c r="AU850">
        <v>0.550589</v>
      </c>
      <c r="AV850">
        <v>43.094796000000002</v>
      </c>
      <c r="AW850">
        <v>100</v>
      </c>
      <c r="AX850">
        <v>0.60240499999999997</v>
      </c>
      <c r="AY850">
        <v>0.65725299999999998</v>
      </c>
      <c r="AZ850">
        <v>60.240479999999998</v>
      </c>
      <c r="BA850">
        <v>100</v>
      </c>
      <c r="BB850" t="s">
        <v>125</v>
      </c>
      <c r="BC850" t="s">
        <v>125</v>
      </c>
      <c r="BD850" t="s">
        <v>125</v>
      </c>
      <c r="BE850" t="s">
        <v>125</v>
      </c>
      <c r="BF850" t="s">
        <v>125</v>
      </c>
      <c r="BG850" t="s">
        <v>125</v>
      </c>
      <c r="BH850">
        <v>1</v>
      </c>
      <c r="BI850">
        <v>0.9375</v>
      </c>
      <c r="BJ850">
        <v>0.90410999999999997</v>
      </c>
      <c r="BK850">
        <v>0.94676800000000005</v>
      </c>
      <c r="BL850">
        <v>0.931751</v>
      </c>
      <c r="BM850">
        <v>0.89189200000000002</v>
      </c>
      <c r="BN850">
        <v>0.94296599999999997</v>
      </c>
      <c r="BO850">
        <v>0.85714299999999999</v>
      </c>
      <c r="BP850">
        <v>0.8</v>
      </c>
      <c r="BQ850">
        <v>0.87356299999999998</v>
      </c>
      <c r="BR850">
        <v>0.14881</v>
      </c>
      <c r="BS850">
        <v>30.238095000000001</v>
      </c>
      <c r="BT850">
        <v>50</v>
      </c>
      <c r="BU850">
        <v>0.228571</v>
      </c>
      <c r="BV850">
        <v>14.285714</v>
      </c>
      <c r="BW850">
        <v>50</v>
      </c>
      <c r="BX850" t="s">
        <v>125</v>
      </c>
      <c r="BY850" t="s">
        <v>125</v>
      </c>
      <c r="BZ850" t="s">
        <v>125</v>
      </c>
      <c r="CA850" t="s">
        <v>125</v>
      </c>
      <c r="CB850" t="s">
        <v>125</v>
      </c>
      <c r="CC850" t="s">
        <v>125</v>
      </c>
      <c r="CD850">
        <v>0.60177000000000003</v>
      </c>
      <c r="CE850">
        <v>32.009037999999997</v>
      </c>
      <c r="CF850">
        <v>50</v>
      </c>
      <c r="CG850" t="s">
        <v>125</v>
      </c>
      <c r="CH850" t="s">
        <v>125</v>
      </c>
      <c r="CI850" t="s">
        <v>125</v>
      </c>
      <c r="CJ850" t="s">
        <v>125</v>
      </c>
      <c r="CK850" t="s">
        <v>125</v>
      </c>
      <c r="CL850" t="s">
        <v>125</v>
      </c>
      <c r="CM850" t="s">
        <v>125</v>
      </c>
      <c r="CN850" t="s">
        <v>125</v>
      </c>
      <c r="CO850" t="s">
        <v>125</v>
      </c>
      <c r="CP850" t="s">
        <v>125</v>
      </c>
      <c r="CQ850">
        <v>0.60591099999999998</v>
      </c>
      <c r="CR850">
        <v>0.93981499999999996</v>
      </c>
      <c r="CS850">
        <v>40.394089000000001</v>
      </c>
      <c r="CT850">
        <v>50</v>
      </c>
      <c r="CU850" t="s">
        <v>125</v>
      </c>
      <c r="CV850" t="s">
        <v>125</v>
      </c>
      <c r="CW850" t="s">
        <v>125</v>
      </c>
      <c r="CX850" t="s">
        <v>125</v>
      </c>
      <c r="CY850" t="s">
        <v>125</v>
      </c>
      <c r="CZ850" t="s">
        <v>125</v>
      </c>
      <c r="DA850">
        <v>15.314097</v>
      </c>
      <c r="DB850">
        <v>17.400950000000002</v>
      </c>
      <c r="DC850">
        <v>16.332519999999999</v>
      </c>
      <c r="DD850" t="s">
        <v>125</v>
      </c>
      <c r="DE850">
        <v>1</v>
      </c>
      <c r="DF850" t="s">
        <v>385</v>
      </c>
      <c r="DG850" t="s">
        <v>648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Q850" t="s">
        <v>126</v>
      </c>
    </row>
    <row r="851" spans="1:121" x14ac:dyDescent="0.15">
      <c r="A851">
        <v>2018</v>
      </c>
      <c r="B851" t="s">
        <v>283</v>
      </c>
      <c r="C851" t="str">
        <f>"1290011"</f>
        <v>1290011</v>
      </c>
      <c r="D851" t="s">
        <v>1004</v>
      </c>
      <c r="E851" t="str">
        <f>"1290411"</f>
        <v>1290411</v>
      </c>
      <c r="F851" t="s">
        <v>328</v>
      </c>
      <c r="G851" t="s">
        <v>329</v>
      </c>
      <c r="H851">
        <v>5</v>
      </c>
      <c r="I851" t="s">
        <v>330</v>
      </c>
      <c r="J851" t="s">
        <v>331</v>
      </c>
      <c r="K851">
        <v>679.89408000000003</v>
      </c>
      <c r="L851">
        <v>850</v>
      </c>
      <c r="M851">
        <v>79.987538999999998</v>
      </c>
      <c r="N851">
        <v>2</v>
      </c>
      <c r="O851">
        <v>0</v>
      </c>
      <c r="P851">
        <v>74.043594999999996</v>
      </c>
      <c r="Q851">
        <v>49.362397000000001</v>
      </c>
      <c r="R851">
        <v>50</v>
      </c>
      <c r="S851">
        <v>62.422674999999998</v>
      </c>
      <c r="T851">
        <v>75</v>
      </c>
      <c r="U851">
        <v>41.615116</v>
      </c>
      <c r="V851">
        <v>50</v>
      </c>
      <c r="W851">
        <v>68.651568999999995</v>
      </c>
      <c r="X851">
        <v>45.767712000000003</v>
      </c>
      <c r="Y851">
        <v>50</v>
      </c>
      <c r="Z851">
        <v>72.487341000000001</v>
      </c>
      <c r="AA851">
        <v>56.718055</v>
      </c>
      <c r="AB851">
        <v>37.812035999999999</v>
      </c>
      <c r="AC851">
        <v>50</v>
      </c>
      <c r="AD851">
        <v>74.428515000000004</v>
      </c>
      <c r="AE851">
        <v>49.619010000000003</v>
      </c>
      <c r="AF851">
        <v>50</v>
      </c>
      <c r="AG851">
        <v>60.854838999999998</v>
      </c>
      <c r="AH851">
        <v>75</v>
      </c>
      <c r="AI851">
        <v>40.569892000000003</v>
      </c>
      <c r="AJ851">
        <v>50</v>
      </c>
      <c r="AK851">
        <v>12.57</v>
      </c>
      <c r="AL851">
        <v>15.76</v>
      </c>
      <c r="AM851">
        <v>14.14</v>
      </c>
      <c r="AN851">
        <v>0.71051500000000001</v>
      </c>
      <c r="AO851">
        <v>71.051461000000003</v>
      </c>
      <c r="AP851">
        <v>100</v>
      </c>
      <c r="AQ851">
        <v>0.78993500000000005</v>
      </c>
      <c r="AR851">
        <v>78.993537000000003</v>
      </c>
      <c r="AS851">
        <v>100</v>
      </c>
      <c r="AT851">
        <v>0.67752900000000005</v>
      </c>
      <c r="AU851">
        <v>0.72109900000000005</v>
      </c>
      <c r="AV851">
        <v>67.752949999999998</v>
      </c>
      <c r="AW851">
        <v>100</v>
      </c>
      <c r="AX851">
        <v>0.78709799999999996</v>
      </c>
      <c r="AY851">
        <v>0.79086000000000001</v>
      </c>
      <c r="AZ851">
        <v>78.709787000000006</v>
      </c>
      <c r="BA851">
        <v>100</v>
      </c>
      <c r="BB851" t="s">
        <v>125</v>
      </c>
      <c r="BC851" t="s">
        <v>125</v>
      </c>
      <c r="BD851" t="s">
        <v>125</v>
      </c>
      <c r="BE851" t="s">
        <v>125</v>
      </c>
      <c r="BF851" t="s">
        <v>125</v>
      </c>
      <c r="BG851" t="s">
        <v>125</v>
      </c>
      <c r="BH851">
        <v>0</v>
      </c>
      <c r="BI851">
        <v>0.992537</v>
      </c>
      <c r="BJ851">
        <v>1</v>
      </c>
      <c r="BK851">
        <v>0.99014800000000003</v>
      </c>
      <c r="BL851">
        <v>0.98880599999999996</v>
      </c>
      <c r="BM851">
        <v>1</v>
      </c>
      <c r="BN851">
        <v>0.98522200000000004</v>
      </c>
      <c r="BO851">
        <v>1</v>
      </c>
      <c r="BP851">
        <v>1</v>
      </c>
      <c r="BQ851">
        <v>1</v>
      </c>
      <c r="BR851">
        <v>3.5249999999999997E-2</v>
      </c>
      <c r="BS851">
        <v>50</v>
      </c>
      <c r="BT851">
        <v>50</v>
      </c>
      <c r="BU851">
        <v>8.5271E-2</v>
      </c>
      <c r="BV851">
        <v>42.945735999999997</v>
      </c>
      <c r="BW851">
        <v>50</v>
      </c>
      <c r="BX851" t="s">
        <v>125</v>
      </c>
      <c r="BY851" t="s">
        <v>125</v>
      </c>
      <c r="BZ851" t="s">
        <v>125</v>
      </c>
      <c r="CA851" t="s">
        <v>125</v>
      </c>
      <c r="CB851" t="s">
        <v>125</v>
      </c>
      <c r="CC851" t="s">
        <v>125</v>
      </c>
      <c r="CD851" t="s">
        <v>125</v>
      </c>
      <c r="CE851" t="s">
        <v>125</v>
      </c>
      <c r="CF851" t="s">
        <v>125</v>
      </c>
      <c r="CG851" t="s">
        <v>125</v>
      </c>
      <c r="CH851" t="s">
        <v>125</v>
      </c>
      <c r="CI851" t="s">
        <v>125</v>
      </c>
      <c r="CJ851" t="s">
        <v>125</v>
      </c>
      <c r="CK851" t="s">
        <v>125</v>
      </c>
      <c r="CL851" t="s">
        <v>125</v>
      </c>
      <c r="CM851" t="s">
        <v>125</v>
      </c>
      <c r="CN851" t="s">
        <v>125</v>
      </c>
      <c r="CO851" t="s">
        <v>125</v>
      </c>
      <c r="CP851" t="s">
        <v>125</v>
      </c>
      <c r="CQ851">
        <v>0.38541700000000001</v>
      </c>
      <c r="CR851">
        <v>0.94117600000000001</v>
      </c>
      <c r="CS851">
        <v>25.694444000000001</v>
      </c>
      <c r="CT851">
        <v>50</v>
      </c>
      <c r="CU851" t="s">
        <v>125</v>
      </c>
      <c r="CV851" t="s">
        <v>125</v>
      </c>
      <c r="CW851" t="s">
        <v>125</v>
      </c>
      <c r="CX851" t="s">
        <v>125</v>
      </c>
      <c r="CY851" t="s">
        <v>125</v>
      </c>
      <c r="CZ851" t="s">
        <v>125</v>
      </c>
      <c r="DA851">
        <v>15.314097</v>
      </c>
      <c r="DB851">
        <v>17.400950000000002</v>
      </c>
      <c r="DC851">
        <v>16.332519999999999</v>
      </c>
      <c r="DD851" t="s">
        <v>125</v>
      </c>
      <c r="DE851">
        <v>0</v>
      </c>
      <c r="DH851" t="s">
        <v>332</v>
      </c>
      <c r="DI851" t="s">
        <v>432</v>
      </c>
      <c r="DJ851">
        <v>0</v>
      </c>
      <c r="DK851">
        <v>0</v>
      </c>
      <c r="DL851">
        <v>0</v>
      </c>
      <c r="DM851">
        <v>0</v>
      </c>
      <c r="DN851">
        <v>1</v>
      </c>
      <c r="DO851">
        <v>0</v>
      </c>
      <c r="DQ851" t="s">
        <v>126</v>
      </c>
    </row>
    <row r="852" spans="1:121" x14ac:dyDescent="0.15">
      <c r="A852">
        <v>2018</v>
      </c>
      <c r="B852" t="s">
        <v>283</v>
      </c>
      <c r="C852" t="str">
        <f>"1290011"</f>
        <v>1290011</v>
      </c>
      <c r="D852" t="s">
        <v>1005</v>
      </c>
      <c r="E852" t="str">
        <f>"1296111"</f>
        <v>1296111</v>
      </c>
      <c r="F852" t="s">
        <v>328</v>
      </c>
      <c r="G852">
        <v>9</v>
      </c>
      <c r="H852">
        <v>12</v>
      </c>
      <c r="I852" t="s">
        <v>330</v>
      </c>
      <c r="J852" t="s">
        <v>331</v>
      </c>
      <c r="K852">
        <v>830.71819100000005</v>
      </c>
      <c r="L852">
        <v>1050</v>
      </c>
      <c r="M852">
        <v>79.116017999999997</v>
      </c>
      <c r="N852">
        <v>3</v>
      </c>
      <c r="O852">
        <v>0</v>
      </c>
      <c r="P852">
        <v>63.962963000000002</v>
      </c>
      <c r="Q852">
        <v>127.925926</v>
      </c>
      <c r="R852">
        <v>150</v>
      </c>
      <c r="S852" t="s">
        <v>125</v>
      </c>
      <c r="T852">
        <v>66.993976000000004</v>
      </c>
      <c r="U852" t="s">
        <v>125</v>
      </c>
      <c r="V852" t="s">
        <v>125</v>
      </c>
      <c r="W852">
        <v>59.129629999999999</v>
      </c>
      <c r="X852">
        <v>118.259259</v>
      </c>
      <c r="Y852">
        <v>150</v>
      </c>
      <c r="Z852">
        <v>61.714858999999997</v>
      </c>
      <c r="AA852" t="s">
        <v>125</v>
      </c>
      <c r="AB852" t="s">
        <v>125</v>
      </c>
      <c r="AC852" t="s">
        <v>125</v>
      </c>
      <c r="AD852">
        <v>57.464883</v>
      </c>
      <c r="AE852">
        <v>76.619844000000001</v>
      </c>
      <c r="AF852">
        <v>100</v>
      </c>
      <c r="AG852" t="s">
        <v>125</v>
      </c>
      <c r="AH852">
        <v>58.406036999999998</v>
      </c>
      <c r="AI852" t="s">
        <v>125</v>
      </c>
      <c r="AJ852" t="s">
        <v>125</v>
      </c>
      <c r="AK852" t="s">
        <v>125</v>
      </c>
      <c r="AL852" t="s">
        <v>125</v>
      </c>
      <c r="AM852" t="s">
        <v>125</v>
      </c>
      <c r="AN852" t="s">
        <v>125</v>
      </c>
      <c r="AO852" t="s">
        <v>125</v>
      </c>
      <c r="AP852" t="s">
        <v>125</v>
      </c>
      <c r="AQ852" t="s">
        <v>125</v>
      </c>
      <c r="AR852" t="s">
        <v>125</v>
      </c>
      <c r="AS852" t="s">
        <v>125</v>
      </c>
      <c r="AT852" t="s">
        <v>125</v>
      </c>
      <c r="AU852" t="s">
        <v>125</v>
      </c>
      <c r="AV852" t="s">
        <v>125</v>
      </c>
      <c r="AW852" t="s">
        <v>125</v>
      </c>
      <c r="AX852" t="s">
        <v>125</v>
      </c>
      <c r="AY852" t="s">
        <v>125</v>
      </c>
      <c r="AZ852" t="s">
        <v>125</v>
      </c>
      <c r="BA852" t="s">
        <v>125</v>
      </c>
      <c r="BB852" t="s">
        <v>125</v>
      </c>
      <c r="BC852" t="s">
        <v>125</v>
      </c>
      <c r="BD852" t="s">
        <v>125</v>
      </c>
      <c r="BE852" t="s">
        <v>125</v>
      </c>
      <c r="BF852" t="s">
        <v>125</v>
      </c>
      <c r="BG852" t="s">
        <v>125</v>
      </c>
      <c r="BH852">
        <v>1</v>
      </c>
      <c r="BI852">
        <v>0.97169799999999995</v>
      </c>
      <c r="BJ852" t="s">
        <v>125</v>
      </c>
      <c r="BK852">
        <v>0.96551699999999996</v>
      </c>
      <c r="BL852">
        <v>0.97169799999999995</v>
      </c>
      <c r="BM852" t="s">
        <v>125</v>
      </c>
      <c r="BN852">
        <v>0.96551699999999996</v>
      </c>
      <c r="BO852">
        <v>0.90566000000000002</v>
      </c>
      <c r="BP852" t="s">
        <v>125</v>
      </c>
      <c r="BQ852">
        <v>0.91954000000000002</v>
      </c>
      <c r="BR852">
        <v>0.20950299999999999</v>
      </c>
      <c r="BS852">
        <v>18.099352</v>
      </c>
      <c r="BT852">
        <v>50</v>
      </c>
      <c r="BU852">
        <v>0.38947399999999999</v>
      </c>
      <c r="BV852">
        <v>0</v>
      </c>
      <c r="BW852">
        <v>50</v>
      </c>
      <c r="BX852">
        <v>0.77586200000000005</v>
      </c>
      <c r="BY852">
        <v>50</v>
      </c>
      <c r="BZ852">
        <v>50</v>
      </c>
      <c r="CA852">
        <v>0.46982800000000002</v>
      </c>
      <c r="CB852">
        <v>31.321839000000001</v>
      </c>
      <c r="CC852">
        <v>50</v>
      </c>
      <c r="CD852">
        <v>0.543103</v>
      </c>
      <c r="CE852">
        <v>28.888480999999999</v>
      </c>
      <c r="CF852">
        <v>50</v>
      </c>
      <c r="CG852">
        <v>0.982456</v>
      </c>
      <c r="CH852">
        <v>100</v>
      </c>
      <c r="CI852">
        <v>100</v>
      </c>
      <c r="CJ852">
        <v>1</v>
      </c>
      <c r="CK852">
        <v>0.85714299999999999</v>
      </c>
      <c r="CL852">
        <v>91.185410000000005</v>
      </c>
      <c r="CM852">
        <v>100</v>
      </c>
      <c r="CN852">
        <v>0.82608700000000002</v>
      </c>
      <c r="CO852">
        <v>100</v>
      </c>
      <c r="CP852">
        <v>100</v>
      </c>
      <c r="CQ852">
        <v>0.57627099999999998</v>
      </c>
      <c r="CR852">
        <v>0.99159699999999995</v>
      </c>
      <c r="CS852">
        <v>38.418078999999999</v>
      </c>
      <c r="CT852">
        <v>50</v>
      </c>
      <c r="CU852">
        <v>0.77321799999999996</v>
      </c>
      <c r="CV852">
        <v>50</v>
      </c>
      <c r="CW852">
        <v>50</v>
      </c>
      <c r="CX852">
        <v>0.85714299999999999</v>
      </c>
      <c r="CY852">
        <v>0.94</v>
      </c>
      <c r="CZ852">
        <v>8.2857E-2</v>
      </c>
      <c r="DA852">
        <v>15.314097</v>
      </c>
      <c r="DB852">
        <v>17.400950000000002</v>
      </c>
      <c r="DC852">
        <v>16.332519999999999</v>
      </c>
      <c r="DD852">
        <v>7.9891730000000001</v>
      </c>
      <c r="DE852">
        <v>1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Q852" t="s">
        <v>126</v>
      </c>
    </row>
    <row r="853" spans="1:121" x14ac:dyDescent="0.15">
      <c r="A853">
        <v>2018</v>
      </c>
      <c r="B853" t="s">
        <v>284</v>
      </c>
      <c r="C853" t="str">
        <f t="shared" ref="C853:C863" si="36">"1310011"</f>
        <v>1310011</v>
      </c>
      <c r="D853" t="s">
        <v>1006</v>
      </c>
      <c r="E853" t="str">
        <f>"1311511"</f>
        <v>1311511</v>
      </c>
      <c r="F853" t="s">
        <v>328</v>
      </c>
      <c r="G853" t="s">
        <v>339</v>
      </c>
      <c r="H853">
        <v>5</v>
      </c>
      <c r="I853" t="s">
        <v>330</v>
      </c>
      <c r="J853" t="s">
        <v>331</v>
      </c>
      <c r="K853">
        <v>659.54553599999997</v>
      </c>
      <c r="L853">
        <v>850</v>
      </c>
      <c r="M853">
        <v>77.593592000000001</v>
      </c>
      <c r="N853">
        <v>2</v>
      </c>
      <c r="O853">
        <v>0</v>
      </c>
      <c r="P853">
        <v>75.856381999999996</v>
      </c>
      <c r="Q853">
        <v>50</v>
      </c>
      <c r="R853">
        <v>50</v>
      </c>
      <c r="S853">
        <v>66.478538999999998</v>
      </c>
      <c r="T853">
        <v>75</v>
      </c>
      <c r="U853">
        <v>44.319026000000001</v>
      </c>
      <c r="V853">
        <v>50</v>
      </c>
      <c r="W853">
        <v>73.664963999999998</v>
      </c>
      <c r="X853">
        <v>49.109976000000003</v>
      </c>
      <c r="Y853">
        <v>50</v>
      </c>
      <c r="Z853">
        <v>75</v>
      </c>
      <c r="AA853">
        <v>62.318106999999998</v>
      </c>
      <c r="AB853">
        <v>41.545405000000002</v>
      </c>
      <c r="AC853">
        <v>50</v>
      </c>
      <c r="AD853">
        <v>73.695565000000002</v>
      </c>
      <c r="AE853">
        <v>49.130375999999998</v>
      </c>
      <c r="AF853">
        <v>50</v>
      </c>
      <c r="AG853">
        <v>65.884917000000002</v>
      </c>
      <c r="AH853">
        <v>75</v>
      </c>
      <c r="AI853">
        <v>43.923278000000003</v>
      </c>
      <c r="AJ853">
        <v>50</v>
      </c>
      <c r="AK853">
        <v>8.52</v>
      </c>
      <c r="AL853">
        <v>12.68</v>
      </c>
      <c r="AM853">
        <v>9.11</v>
      </c>
      <c r="AN853">
        <v>0.57888899999999999</v>
      </c>
      <c r="AO853">
        <v>57.888858999999997</v>
      </c>
      <c r="AP853">
        <v>100</v>
      </c>
      <c r="AQ853">
        <v>0.71713700000000002</v>
      </c>
      <c r="AR853">
        <v>71.713667999999998</v>
      </c>
      <c r="AS853">
        <v>100</v>
      </c>
      <c r="AT853">
        <v>0.50939999999999996</v>
      </c>
      <c r="AU853">
        <v>0.62175100000000005</v>
      </c>
      <c r="AV853">
        <v>50.939950000000003</v>
      </c>
      <c r="AW853">
        <v>100</v>
      </c>
      <c r="AX853">
        <v>0.63247600000000004</v>
      </c>
      <c r="AY853">
        <v>0.76935699999999996</v>
      </c>
      <c r="AZ853">
        <v>63.247588</v>
      </c>
      <c r="BA853">
        <v>100</v>
      </c>
      <c r="BB853" t="s">
        <v>125</v>
      </c>
      <c r="BC853" t="s">
        <v>125</v>
      </c>
      <c r="BD853" t="s">
        <v>125</v>
      </c>
      <c r="BE853" t="s">
        <v>125</v>
      </c>
      <c r="BF853" t="s">
        <v>125</v>
      </c>
      <c r="BG853" t="s">
        <v>125</v>
      </c>
      <c r="BH853">
        <v>0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4.4859999999999997E-2</v>
      </c>
      <c r="BS853">
        <v>50</v>
      </c>
      <c r="BT853">
        <v>50</v>
      </c>
      <c r="BU853">
        <v>8.9005000000000001E-2</v>
      </c>
      <c r="BV853">
        <v>42.198953000000003</v>
      </c>
      <c r="BW853">
        <v>50</v>
      </c>
      <c r="BX853" t="s">
        <v>125</v>
      </c>
      <c r="BY853" t="s">
        <v>125</v>
      </c>
      <c r="BZ853" t="s">
        <v>125</v>
      </c>
      <c r="CA853" t="s">
        <v>125</v>
      </c>
      <c r="CB853" t="s">
        <v>125</v>
      </c>
      <c r="CC853" t="s">
        <v>125</v>
      </c>
      <c r="CD853" t="s">
        <v>125</v>
      </c>
      <c r="CE853" t="s">
        <v>125</v>
      </c>
      <c r="CF853" t="s">
        <v>125</v>
      </c>
      <c r="CG853" t="s">
        <v>125</v>
      </c>
      <c r="CH853" t="s">
        <v>125</v>
      </c>
      <c r="CI853" t="s">
        <v>125</v>
      </c>
      <c r="CJ853" t="s">
        <v>125</v>
      </c>
      <c r="CK853" t="s">
        <v>125</v>
      </c>
      <c r="CL853" t="s">
        <v>125</v>
      </c>
      <c r="CM853" t="s">
        <v>125</v>
      </c>
      <c r="CN853" t="s">
        <v>125</v>
      </c>
      <c r="CO853" t="s">
        <v>125</v>
      </c>
      <c r="CP853" t="s">
        <v>125</v>
      </c>
      <c r="CQ853">
        <v>0.68292699999999995</v>
      </c>
      <c r="CR853">
        <v>0.92134799999999994</v>
      </c>
      <c r="CS853">
        <v>45.528455000000001</v>
      </c>
      <c r="CT853">
        <v>50</v>
      </c>
      <c r="CU853" t="s">
        <v>125</v>
      </c>
      <c r="CV853" t="s">
        <v>125</v>
      </c>
      <c r="CW853" t="s">
        <v>125</v>
      </c>
      <c r="CX853" t="s">
        <v>125</v>
      </c>
      <c r="CY853" t="s">
        <v>125</v>
      </c>
      <c r="CZ853" t="s">
        <v>125</v>
      </c>
      <c r="DA853">
        <v>15.314097</v>
      </c>
      <c r="DB853">
        <v>17.400950000000002</v>
      </c>
      <c r="DC853">
        <v>16.332519999999999</v>
      </c>
      <c r="DD853" t="s">
        <v>125</v>
      </c>
      <c r="DE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Q853" t="s">
        <v>126</v>
      </c>
    </row>
    <row r="854" spans="1:121" x14ac:dyDescent="0.15">
      <c r="A854">
        <v>2018</v>
      </c>
      <c r="B854" t="s">
        <v>284</v>
      </c>
      <c r="C854" t="str">
        <f t="shared" si="36"/>
        <v>1310011</v>
      </c>
      <c r="D854" t="s">
        <v>1007</v>
      </c>
      <c r="E854" t="str">
        <f>"1311311"</f>
        <v>1311311</v>
      </c>
      <c r="F854" t="s">
        <v>328</v>
      </c>
      <c r="G854" t="s">
        <v>339</v>
      </c>
      <c r="H854">
        <v>5</v>
      </c>
      <c r="I854" t="s">
        <v>330</v>
      </c>
      <c r="J854" t="s">
        <v>331</v>
      </c>
      <c r="K854">
        <v>663.44613400000003</v>
      </c>
      <c r="L854">
        <v>900</v>
      </c>
      <c r="M854">
        <v>73.716237000000007</v>
      </c>
      <c r="N854">
        <v>2</v>
      </c>
      <c r="O854">
        <v>0</v>
      </c>
      <c r="P854">
        <v>74.314385000000001</v>
      </c>
      <c r="Q854">
        <v>49.542923000000002</v>
      </c>
      <c r="R854">
        <v>50</v>
      </c>
      <c r="S854">
        <v>61.555348000000002</v>
      </c>
      <c r="T854">
        <v>75</v>
      </c>
      <c r="U854">
        <v>41.036898000000001</v>
      </c>
      <c r="V854">
        <v>50</v>
      </c>
      <c r="W854">
        <v>74.650919999999999</v>
      </c>
      <c r="X854">
        <v>49.76728</v>
      </c>
      <c r="Y854">
        <v>50</v>
      </c>
      <c r="Z854">
        <v>75</v>
      </c>
      <c r="AA854">
        <v>60.522354</v>
      </c>
      <c r="AB854">
        <v>40.348236</v>
      </c>
      <c r="AC854">
        <v>50</v>
      </c>
      <c r="AD854">
        <v>73.254480000000001</v>
      </c>
      <c r="AE854">
        <v>48.836320000000001</v>
      </c>
      <c r="AF854">
        <v>50</v>
      </c>
      <c r="AG854" t="s">
        <v>125</v>
      </c>
      <c r="AH854">
        <v>75</v>
      </c>
      <c r="AI854" t="s">
        <v>125</v>
      </c>
      <c r="AJ854" t="s">
        <v>125</v>
      </c>
      <c r="AK854">
        <v>13.44</v>
      </c>
      <c r="AL854">
        <v>14.47</v>
      </c>
      <c r="AM854" t="s">
        <v>125</v>
      </c>
      <c r="AN854">
        <v>0.61937399999999998</v>
      </c>
      <c r="AO854">
        <v>61.937393</v>
      </c>
      <c r="AP854">
        <v>100</v>
      </c>
      <c r="AQ854">
        <v>0.77100199999999997</v>
      </c>
      <c r="AR854">
        <v>77.100232000000005</v>
      </c>
      <c r="AS854">
        <v>100</v>
      </c>
      <c r="AT854">
        <v>0.50640099999999999</v>
      </c>
      <c r="AU854">
        <v>0.67188199999999998</v>
      </c>
      <c r="AV854">
        <v>50.640146000000001</v>
      </c>
      <c r="AW854">
        <v>100</v>
      </c>
      <c r="AX854">
        <v>0.70807299999999995</v>
      </c>
      <c r="AY854">
        <v>0.80025100000000005</v>
      </c>
      <c r="AZ854">
        <v>70.807311999999996</v>
      </c>
      <c r="BA854">
        <v>100</v>
      </c>
      <c r="BB854">
        <v>0.80725400000000003</v>
      </c>
      <c r="BC854">
        <v>40.362676999999998</v>
      </c>
      <c r="BD854">
        <v>50</v>
      </c>
      <c r="BE854">
        <v>0.50466800000000001</v>
      </c>
      <c r="BF854">
        <v>25.233378999999999</v>
      </c>
      <c r="BG854">
        <v>50</v>
      </c>
      <c r="BH854">
        <v>0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5.6939999999999998E-2</v>
      </c>
      <c r="BS854">
        <v>48.612099999999998</v>
      </c>
      <c r="BT854">
        <v>50</v>
      </c>
      <c r="BU854">
        <v>0.123894</v>
      </c>
      <c r="BV854">
        <v>35.221238999999997</v>
      </c>
      <c r="BW854">
        <v>50</v>
      </c>
      <c r="BX854" t="s">
        <v>125</v>
      </c>
      <c r="BY854" t="s">
        <v>125</v>
      </c>
      <c r="BZ854" t="s">
        <v>125</v>
      </c>
      <c r="CA854" t="s">
        <v>125</v>
      </c>
      <c r="CB854" t="s">
        <v>125</v>
      </c>
      <c r="CC854" t="s">
        <v>125</v>
      </c>
      <c r="CD854" t="s">
        <v>125</v>
      </c>
      <c r="CE854" t="s">
        <v>125</v>
      </c>
      <c r="CF854" t="s">
        <v>125</v>
      </c>
      <c r="CG854" t="s">
        <v>125</v>
      </c>
      <c r="CH854" t="s">
        <v>125</v>
      </c>
      <c r="CI854" t="s">
        <v>125</v>
      </c>
      <c r="CJ854" t="s">
        <v>125</v>
      </c>
      <c r="CK854" t="s">
        <v>125</v>
      </c>
      <c r="CL854" t="s">
        <v>125</v>
      </c>
      <c r="CM854" t="s">
        <v>125</v>
      </c>
      <c r="CN854" t="s">
        <v>125</v>
      </c>
      <c r="CO854" t="s">
        <v>125</v>
      </c>
      <c r="CP854" t="s">
        <v>125</v>
      </c>
      <c r="CQ854">
        <v>0.36</v>
      </c>
      <c r="CR854">
        <v>0.98039200000000004</v>
      </c>
      <c r="CS854">
        <v>24</v>
      </c>
      <c r="CT854">
        <v>50</v>
      </c>
      <c r="CU854" t="s">
        <v>125</v>
      </c>
      <c r="CV854" t="s">
        <v>125</v>
      </c>
      <c r="CW854" t="s">
        <v>125</v>
      </c>
      <c r="CX854" t="s">
        <v>125</v>
      </c>
      <c r="CY854" t="s">
        <v>125</v>
      </c>
      <c r="CZ854" t="s">
        <v>125</v>
      </c>
      <c r="DA854">
        <v>15.314097</v>
      </c>
      <c r="DB854">
        <v>17.400950000000002</v>
      </c>
      <c r="DC854">
        <v>16.332519999999999</v>
      </c>
      <c r="DD854" t="s">
        <v>125</v>
      </c>
      <c r="DE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Q854" t="s">
        <v>126</v>
      </c>
    </row>
    <row r="855" spans="1:121" x14ac:dyDescent="0.15">
      <c r="A855">
        <v>2018</v>
      </c>
      <c r="B855" t="s">
        <v>284</v>
      </c>
      <c r="C855" t="str">
        <f t="shared" si="36"/>
        <v>1310011</v>
      </c>
      <c r="D855" t="s">
        <v>1008</v>
      </c>
      <c r="E855" t="str">
        <f>"1310211"</f>
        <v>1310211</v>
      </c>
      <c r="F855" t="s">
        <v>328</v>
      </c>
      <c r="G855" t="s">
        <v>339</v>
      </c>
      <c r="H855">
        <v>5</v>
      </c>
      <c r="I855" t="s">
        <v>330</v>
      </c>
      <c r="J855" t="s">
        <v>331</v>
      </c>
      <c r="K855">
        <v>622.01006199999995</v>
      </c>
      <c r="L855">
        <v>800</v>
      </c>
      <c r="M855">
        <v>77.751258000000007</v>
      </c>
      <c r="N855">
        <v>2</v>
      </c>
      <c r="O855">
        <v>0</v>
      </c>
      <c r="P855">
        <v>74.264111</v>
      </c>
      <c r="Q855">
        <v>49.509407000000003</v>
      </c>
      <c r="R855">
        <v>50</v>
      </c>
      <c r="S855">
        <v>64.250546999999997</v>
      </c>
      <c r="T855">
        <v>75</v>
      </c>
      <c r="U855">
        <v>42.833697999999998</v>
      </c>
      <c r="V855">
        <v>50</v>
      </c>
      <c r="W855">
        <v>76.070160000000001</v>
      </c>
      <c r="X855">
        <v>50</v>
      </c>
      <c r="Y855">
        <v>50</v>
      </c>
      <c r="Z855">
        <v>75</v>
      </c>
      <c r="AA855">
        <v>68.995457000000002</v>
      </c>
      <c r="AB855">
        <v>45.996971000000002</v>
      </c>
      <c r="AC855">
        <v>50</v>
      </c>
      <c r="AD855">
        <v>69.338973999999993</v>
      </c>
      <c r="AE855">
        <v>46.225982999999999</v>
      </c>
      <c r="AF855">
        <v>50</v>
      </c>
      <c r="AG855" t="s">
        <v>125</v>
      </c>
      <c r="AH855">
        <v>73.485406999999995</v>
      </c>
      <c r="AI855" t="s">
        <v>125</v>
      </c>
      <c r="AJ855" t="s">
        <v>125</v>
      </c>
      <c r="AK855">
        <v>10.74</v>
      </c>
      <c r="AL855">
        <v>6</v>
      </c>
      <c r="AM855" t="s">
        <v>125</v>
      </c>
      <c r="AN855">
        <v>0.60387500000000005</v>
      </c>
      <c r="AO855">
        <v>60.387524999999997</v>
      </c>
      <c r="AP855">
        <v>100</v>
      </c>
      <c r="AQ855">
        <v>0.78708100000000003</v>
      </c>
      <c r="AR855">
        <v>78.708129999999997</v>
      </c>
      <c r="AS855">
        <v>100</v>
      </c>
      <c r="AT855">
        <v>0.55616699999999997</v>
      </c>
      <c r="AU855">
        <v>0.62365700000000002</v>
      </c>
      <c r="AV855">
        <v>55.616708000000003</v>
      </c>
      <c r="AW855">
        <v>100</v>
      </c>
      <c r="AX855">
        <v>0.76976</v>
      </c>
      <c r="AY855">
        <v>0.79426300000000005</v>
      </c>
      <c r="AZ855">
        <v>76.975989999999996</v>
      </c>
      <c r="BA855">
        <v>100</v>
      </c>
      <c r="BB855" t="s">
        <v>125</v>
      </c>
      <c r="BC855" t="s">
        <v>125</v>
      </c>
      <c r="BD855" t="s">
        <v>125</v>
      </c>
      <c r="BE855" t="s">
        <v>125</v>
      </c>
      <c r="BF855" t="s">
        <v>125</v>
      </c>
      <c r="BG855" t="s">
        <v>125</v>
      </c>
      <c r="BH855">
        <v>0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3.125E-2</v>
      </c>
      <c r="BS855">
        <v>50</v>
      </c>
      <c r="BT855">
        <v>50</v>
      </c>
      <c r="BU855">
        <v>7.2916999999999996E-2</v>
      </c>
      <c r="BV855">
        <v>45.416666999999997</v>
      </c>
      <c r="BW855">
        <v>50</v>
      </c>
      <c r="BX855" t="s">
        <v>125</v>
      </c>
      <c r="BY855" t="s">
        <v>125</v>
      </c>
      <c r="BZ855" t="s">
        <v>125</v>
      </c>
      <c r="CA855" t="s">
        <v>125</v>
      </c>
      <c r="CB855" t="s">
        <v>125</v>
      </c>
      <c r="CC855" t="s">
        <v>125</v>
      </c>
      <c r="CD855" t="s">
        <v>125</v>
      </c>
      <c r="CE855" t="s">
        <v>125</v>
      </c>
      <c r="CF855" t="s">
        <v>125</v>
      </c>
      <c r="CG855" t="s">
        <v>125</v>
      </c>
      <c r="CH855" t="s">
        <v>125</v>
      </c>
      <c r="CI855" t="s">
        <v>125</v>
      </c>
      <c r="CJ855" t="s">
        <v>125</v>
      </c>
      <c r="CK855" t="s">
        <v>125</v>
      </c>
      <c r="CL855" t="s">
        <v>125</v>
      </c>
      <c r="CM855" t="s">
        <v>125</v>
      </c>
      <c r="CN855" t="s">
        <v>125</v>
      </c>
      <c r="CO855" t="s">
        <v>125</v>
      </c>
      <c r="CP855" t="s">
        <v>125</v>
      </c>
      <c r="CQ855">
        <v>0.305085</v>
      </c>
      <c r="CR855">
        <v>1.035088</v>
      </c>
      <c r="CS855">
        <v>20.338982999999999</v>
      </c>
      <c r="CT855">
        <v>50</v>
      </c>
      <c r="CU855" t="s">
        <v>125</v>
      </c>
      <c r="CV855" t="s">
        <v>125</v>
      </c>
      <c r="CW855" t="s">
        <v>125</v>
      </c>
      <c r="CX855" t="s">
        <v>125</v>
      </c>
      <c r="CY855" t="s">
        <v>125</v>
      </c>
      <c r="CZ855" t="s">
        <v>125</v>
      </c>
      <c r="DA855">
        <v>15.314097</v>
      </c>
      <c r="DB855">
        <v>17.400950000000002</v>
      </c>
      <c r="DC855">
        <v>16.332519999999999</v>
      </c>
      <c r="DD855" t="s">
        <v>125</v>
      </c>
      <c r="DE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Q855" t="s">
        <v>126</v>
      </c>
    </row>
    <row r="856" spans="1:121" x14ac:dyDescent="0.15">
      <c r="A856">
        <v>2018</v>
      </c>
      <c r="B856" t="s">
        <v>284</v>
      </c>
      <c r="C856" t="str">
        <f t="shared" si="36"/>
        <v>1310011</v>
      </c>
      <c r="D856" t="s">
        <v>563</v>
      </c>
      <c r="E856" t="str">
        <f>"1315311"</f>
        <v>1315311</v>
      </c>
      <c r="F856" t="s">
        <v>328</v>
      </c>
      <c r="G856">
        <v>6</v>
      </c>
      <c r="H856">
        <v>8</v>
      </c>
      <c r="J856" t="s">
        <v>331</v>
      </c>
      <c r="K856">
        <v>673.05863299999999</v>
      </c>
      <c r="L856">
        <v>900</v>
      </c>
      <c r="M856">
        <v>74.784293000000005</v>
      </c>
      <c r="N856">
        <v>3</v>
      </c>
      <c r="O856">
        <v>1</v>
      </c>
      <c r="P856">
        <v>73.369583000000006</v>
      </c>
      <c r="Q856">
        <v>48.913055</v>
      </c>
      <c r="R856">
        <v>50</v>
      </c>
      <c r="S856">
        <v>62.302624000000002</v>
      </c>
      <c r="T856">
        <v>75</v>
      </c>
      <c r="U856">
        <v>41.535083</v>
      </c>
      <c r="V856">
        <v>50</v>
      </c>
      <c r="W856">
        <v>67.745504999999994</v>
      </c>
      <c r="X856">
        <v>45.163670000000003</v>
      </c>
      <c r="Y856">
        <v>50</v>
      </c>
      <c r="Z856">
        <v>73.128600000000006</v>
      </c>
      <c r="AA856">
        <v>54.840823999999998</v>
      </c>
      <c r="AB856">
        <v>36.560549000000002</v>
      </c>
      <c r="AC856">
        <v>50</v>
      </c>
      <c r="AD856">
        <v>71.462665999999999</v>
      </c>
      <c r="AE856">
        <v>47.641778000000002</v>
      </c>
      <c r="AF856">
        <v>50</v>
      </c>
      <c r="AG856">
        <v>60.979309999999998</v>
      </c>
      <c r="AH856">
        <v>74.360076000000007</v>
      </c>
      <c r="AI856">
        <v>40.652873999999997</v>
      </c>
      <c r="AJ856">
        <v>50</v>
      </c>
      <c r="AK856">
        <v>12.69</v>
      </c>
      <c r="AL856">
        <v>18.28</v>
      </c>
      <c r="AM856">
        <v>13.38</v>
      </c>
      <c r="AN856">
        <v>0.55128200000000005</v>
      </c>
      <c r="AO856">
        <v>55.128154000000002</v>
      </c>
      <c r="AP856">
        <v>100</v>
      </c>
      <c r="AQ856">
        <v>0.61583900000000003</v>
      </c>
      <c r="AR856">
        <v>61.583903999999997</v>
      </c>
      <c r="AS856">
        <v>100</v>
      </c>
      <c r="AT856">
        <v>0.57503400000000005</v>
      </c>
      <c r="AU856">
        <v>0.541771</v>
      </c>
      <c r="AV856">
        <v>57.503408</v>
      </c>
      <c r="AW856">
        <v>100</v>
      </c>
      <c r="AX856">
        <v>0.54122899999999996</v>
      </c>
      <c r="AY856">
        <v>0.64571100000000003</v>
      </c>
      <c r="AZ856">
        <v>54.122948000000001</v>
      </c>
      <c r="BA856">
        <v>100</v>
      </c>
      <c r="BB856" t="s">
        <v>125</v>
      </c>
      <c r="BC856" t="s">
        <v>125</v>
      </c>
      <c r="BD856" t="s">
        <v>125</v>
      </c>
      <c r="BE856" t="s">
        <v>125</v>
      </c>
      <c r="BF856" t="s">
        <v>125</v>
      </c>
      <c r="BG856" t="s">
        <v>125</v>
      </c>
      <c r="BH856">
        <v>1</v>
      </c>
      <c r="BI856">
        <v>0.98059499999999999</v>
      </c>
      <c r="BJ856">
        <v>0.96218499999999996</v>
      </c>
      <c r="BK856">
        <v>0.98878500000000003</v>
      </c>
      <c r="BL856">
        <v>0.97930099999999998</v>
      </c>
      <c r="BM856">
        <v>0.95798300000000003</v>
      </c>
      <c r="BN856">
        <v>0.98878500000000003</v>
      </c>
      <c r="BO856">
        <v>0.97014900000000004</v>
      </c>
      <c r="BP856">
        <v>0.92307700000000004</v>
      </c>
      <c r="BQ856">
        <v>0.98522200000000004</v>
      </c>
      <c r="BR856">
        <v>5.6994999999999997E-2</v>
      </c>
      <c r="BS856">
        <v>48.601036000000001</v>
      </c>
      <c r="BT856">
        <v>50</v>
      </c>
      <c r="BU856">
        <v>0.121739</v>
      </c>
      <c r="BV856">
        <v>35.652174000000002</v>
      </c>
      <c r="BW856">
        <v>50</v>
      </c>
      <c r="BX856" t="s">
        <v>125</v>
      </c>
      <c r="BY856" t="s">
        <v>125</v>
      </c>
      <c r="BZ856" t="s">
        <v>125</v>
      </c>
      <c r="CA856" t="s">
        <v>125</v>
      </c>
      <c r="CB856" t="s">
        <v>125</v>
      </c>
      <c r="CC856" t="s">
        <v>125</v>
      </c>
      <c r="CD856">
        <v>0.972549</v>
      </c>
      <c r="CE856">
        <v>50</v>
      </c>
      <c r="CF856">
        <v>50</v>
      </c>
      <c r="CG856" t="s">
        <v>125</v>
      </c>
      <c r="CH856" t="s">
        <v>125</v>
      </c>
      <c r="CI856" t="s">
        <v>125</v>
      </c>
      <c r="CJ856" t="s">
        <v>125</v>
      </c>
      <c r="CK856" t="s">
        <v>125</v>
      </c>
      <c r="CL856" t="s">
        <v>125</v>
      </c>
      <c r="CM856" t="s">
        <v>125</v>
      </c>
      <c r="CN856" t="s">
        <v>125</v>
      </c>
      <c r="CO856" t="s">
        <v>125</v>
      </c>
      <c r="CP856" t="s">
        <v>125</v>
      </c>
      <c r="CQ856">
        <v>0.76666699999999999</v>
      </c>
      <c r="CR856">
        <v>0.97142899999999999</v>
      </c>
      <c r="CS856">
        <v>50</v>
      </c>
      <c r="CT856">
        <v>50</v>
      </c>
      <c r="CU856" t="s">
        <v>125</v>
      </c>
      <c r="CV856" t="s">
        <v>125</v>
      </c>
      <c r="CW856" t="s">
        <v>125</v>
      </c>
      <c r="CX856" t="s">
        <v>125</v>
      </c>
      <c r="CY856" t="s">
        <v>125</v>
      </c>
      <c r="CZ856" t="s">
        <v>125</v>
      </c>
      <c r="DA856">
        <v>15.314097</v>
      </c>
      <c r="DB856">
        <v>17.400950000000002</v>
      </c>
      <c r="DC856">
        <v>16.332519999999999</v>
      </c>
      <c r="DD856" t="s">
        <v>125</v>
      </c>
      <c r="DE856">
        <v>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Q856" t="s">
        <v>126</v>
      </c>
    </row>
    <row r="857" spans="1:121" x14ac:dyDescent="0.15">
      <c r="A857">
        <v>2018</v>
      </c>
      <c r="B857" t="s">
        <v>284</v>
      </c>
      <c r="C857" t="str">
        <f t="shared" si="36"/>
        <v>1310011</v>
      </c>
      <c r="D857" t="s">
        <v>1009</v>
      </c>
      <c r="E857" t="str">
        <f>"1315111"</f>
        <v>1315111</v>
      </c>
      <c r="F857" t="s">
        <v>328</v>
      </c>
      <c r="G857">
        <v>6</v>
      </c>
      <c r="H857">
        <v>8</v>
      </c>
      <c r="J857" t="s">
        <v>331</v>
      </c>
      <c r="K857">
        <v>673.15388600000006</v>
      </c>
      <c r="L857">
        <v>900</v>
      </c>
      <c r="M857">
        <v>74.794876000000002</v>
      </c>
      <c r="N857">
        <v>2</v>
      </c>
      <c r="O857">
        <v>0</v>
      </c>
      <c r="P857">
        <v>73.994439</v>
      </c>
      <c r="Q857">
        <v>49.329625999999998</v>
      </c>
      <c r="R857">
        <v>50</v>
      </c>
      <c r="S857">
        <v>63.623398999999999</v>
      </c>
      <c r="T857">
        <v>75</v>
      </c>
      <c r="U857">
        <v>42.415599</v>
      </c>
      <c r="V857">
        <v>50</v>
      </c>
      <c r="W857">
        <v>68.663669999999996</v>
      </c>
      <c r="X857">
        <v>45.775779999999997</v>
      </c>
      <c r="Y857">
        <v>50</v>
      </c>
      <c r="Z857">
        <v>74.210314999999994</v>
      </c>
      <c r="AA857">
        <v>57.501336000000002</v>
      </c>
      <c r="AB857">
        <v>38.334223999999999</v>
      </c>
      <c r="AC857">
        <v>50</v>
      </c>
      <c r="AD857">
        <v>71.928622000000004</v>
      </c>
      <c r="AE857">
        <v>47.952415000000002</v>
      </c>
      <c r="AF857">
        <v>50</v>
      </c>
      <c r="AG857">
        <v>62.636279999999999</v>
      </c>
      <c r="AH857">
        <v>75</v>
      </c>
      <c r="AI857">
        <v>41.75752</v>
      </c>
      <c r="AJ857">
        <v>50</v>
      </c>
      <c r="AK857">
        <v>11.37</v>
      </c>
      <c r="AL857">
        <v>16.7</v>
      </c>
      <c r="AM857">
        <v>12.36</v>
      </c>
      <c r="AN857">
        <v>0.59817399999999998</v>
      </c>
      <c r="AO857">
        <v>59.817368000000002</v>
      </c>
      <c r="AP857">
        <v>100</v>
      </c>
      <c r="AQ857">
        <v>0.64510000000000001</v>
      </c>
      <c r="AR857">
        <v>64.509988000000007</v>
      </c>
      <c r="AS857">
        <v>100</v>
      </c>
      <c r="AT857">
        <v>0.58652199999999999</v>
      </c>
      <c r="AU857">
        <v>0.60373299999999996</v>
      </c>
      <c r="AV857">
        <v>58.652230000000003</v>
      </c>
      <c r="AW857">
        <v>100</v>
      </c>
      <c r="AX857">
        <v>0.607437</v>
      </c>
      <c r="AY857">
        <v>0.66307199999999999</v>
      </c>
      <c r="AZ857">
        <v>60.743651</v>
      </c>
      <c r="BA857">
        <v>100</v>
      </c>
      <c r="BB857" t="s">
        <v>125</v>
      </c>
      <c r="BC857" t="s">
        <v>125</v>
      </c>
      <c r="BD857" t="s">
        <v>125</v>
      </c>
      <c r="BE857" t="s">
        <v>125</v>
      </c>
      <c r="BF857" t="s">
        <v>125</v>
      </c>
      <c r="BG857" t="s">
        <v>125</v>
      </c>
      <c r="BH857">
        <v>0</v>
      </c>
      <c r="BI857">
        <v>0.99593500000000001</v>
      </c>
      <c r="BJ857">
        <v>0.99206300000000003</v>
      </c>
      <c r="BK857">
        <v>0.997942</v>
      </c>
      <c r="BL857">
        <v>0.99458000000000002</v>
      </c>
      <c r="BM857">
        <v>0.98809499999999995</v>
      </c>
      <c r="BN857">
        <v>0.997942</v>
      </c>
      <c r="BO857">
        <v>0.98932399999999998</v>
      </c>
      <c r="BP857">
        <v>0.96842099999999998</v>
      </c>
      <c r="BQ857">
        <v>1</v>
      </c>
      <c r="BR857">
        <v>6.0976000000000002E-2</v>
      </c>
      <c r="BS857">
        <v>47.804878000000002</v>
      </c>
      <c r="BT857">
        <v>50</v>
      </c>
      <c r="BU857">
        <v>0.114625</v>
      </c>
      <c r="BV857">
        <v>37.075099000000002</v>
      </c>
      <c r="BW857">
        <v>50</v>
      </c>
      <c r="BX857" t="s">
        <v>125</v>
      </c>
      <c r="BY857" t="s">
        <v>125</v>
      </c>
      <c r="BZ857" t="s">
        <v>125</v>
      </c>
      <c r="CA857" t="s">
        <v>125</v>
      </c>
      <c r="CB857" t="s">
        <v>125</v>
      </c>
      <c r="CC857" t="s">
        <v>125</v>
      </c>
      <c r="CD857">
        <v>0.94347800000000004</v>
      </c>
      <c r="CE857">
        <v>50</v>
      </c>
      <c r="CF857">
        <v>50</v>
      </c>
      <c r="CG857" t="s">
        <v>125</v>
      </c>
      <c r="CH857" t="s">
        <v>125</v>
      </c>
      <c r="CI857" t="s">
        <v>125</v>
      </c>
      <c r="CJ857" t="s">
        <v>125</v>
      </c>
      <c r="CK857" t="s">
        <v>125</v>
      </c>
      <c r="CL857" t="s">
        <v>125</v>
      </c>
      <c r="CM857" t="s">
        <v>125</v>
      </c>
      <c r="CN857" t="s">
        <v>125</v>
      </c>
      <c r="CO857" t="s">
        <v>125</v>
      </c>
      <c r="CP857" t="s">
        <v>125</v>
      </c>
      <c r="CQ857">
        <v>0.43478299999999998</v>
      </c>
      <c r="CR857">
        <v>1.0059640000000001</v>
      </c>
      <c r="CS857">
        <v>28.985506999999998</v>
      </c>
      <c r="CT857">
        <v>50</v>
      </c>
      <c r="CU857" t="s">
        <v>125</v>
      </c>
      <c r="CV857" t="s">
        <v>125</v>
      </c>
      <c r="CW857" t="s">
        <v>125</v>
      </c>
      <c r="CX857" t="s">
        <v>125</v>
      </c>
      <c r="CY857" t="s">
        <v>125</v>
      </c>
      <c r="CZ857" t="s">
        <v>125</v>
      </c>
      <c r="DA857">
        <v>15.314097</v>
      </c>
      <c r="DB857">
        <v>17.400950000000002</v>
      </c>
      <c r="DC857">
        <v>16.332519999999999</v>
      </c>
      <c r="DD857" t="s">
        <v>125</v>
      </c>
      <c r="DE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Q857" t="s">
        <v>126</v>
      </c>
    </row>
    <row r="858" spans="1:121" x14ac:dyDescent="0.15">
      <c r="A858">
        <v>2018</v>
      </c>
      <c r="B858" t="s">
        <v>284</v>
      </c>
      <c r="C858" t="str">
        <f t="shared" si="36"/>
        <v>1310011</v>
      </c>
      <c r="D858" t="s">
        <v>1010</v>
      </c>
      <c r="E858" t="str">
        <f>"1310611"</f>
        <v>1310611</v>
      </c>
      <c r="F858" t="s">
        <v>328</v>
      </c>
      <c r="G858" t="s">
        <v>339</v>
      </c>
      <c r="H858">
        <v>5</v>
      </c>
      <c r="J858" t="s">
        <v>331</v>
      </c>
      <c r="K858">
        <v>561.70052599999997</v>
      </c>
      <c r="L858">
        <v>800</v>
      </c>
      <c r="M858">
        <v>70.212565999999995</v>
      </c>
      <c r="N858">
        <v>2</v>
      </c>
      <c r="O858">
        <v>0</v>
      </c>
      <c r="P858">
        <v>79.404267000000004</v>
      </c>
      <c r="Q858">
        <v>50</v>
      </c>
      <c r="R858">
        <v>50</v>
      </c>
      <c r="S858">
        <v>71.062809000000001</v>
      </c>
      <c r="T858">
        <v>75</v>
      </c>
      <c r="U858">
        <v>47.375205999999999</v>
      </c>
      <c r="V858">
        <v>50</v>
      </c>
      <c r="W858">
        <v>78.087682999999998</v>
      </c>
      <c r="X858">
        <v>50</v>
      </c>
      <c r="Y858">
        <v>50</v>
      </c>
      <c r="Z858">
        <v>75</v>
      </c>
      <c r="AA858">
        <v>70.358276000000004</v>
      </c>
      <c r="AB858">
        <v>46.905517000000003</v>
      </c>
      <c r="AC858">
        <v>50</v>
      </c>
      <c r="AD858">
        <v>77.106452000000004</v>
      </c>
      <c r="AE858">
        <v>50</v>
      </c>
      <c r="AF858">
        <v>50</v>
      </c>
      <c r="AG858" t="s">
        <v>125</v>
      </c>
      <c r="AH858">
        <v>75</v>
      </c>
      <c r="AI858" t="s">
        <v>125</v>
      </c>
      <c r="AJ858" t="s">
        <v>125</v>
      </c>
      <c r="AK858">
        <v>3.93</v>
      </c>
      <c r="AL858">
        <v>4.6399999999999997</v>
      </c>
      <c r="AM858" t="s">
        <v>125</v>
      </c>
      <c r="AN858">
        <v>0.61368199999999995</v>
      </c>
      <c r="AO858">
        <v>61.368164999999998</v>
      </c>
      <c r="AP858">
        <v>100</v>
      </c>
      <c r="AQ858">
        <v>0.52009000000000005</v>
      </c>
      <c r="AR858">
        <v>52.009034</v>
      </c>
      <c r="AS858">
        <v>100</v>
      </c>
      <c r="AT858">
        <v>0.39409300000000003</v>
      </c>
      <c r="AU858">
        <v>0.69733400000000001</v>
      </c>
      <c r="AV858">
        <v>39.409298</v>
      </c>
      <c r="AW858">
        <v>100</v>
      </c>
      <c r="AX858">
        <v>0.45633299999999999</v>
      </c>
      <c r="AY858">
        <v>0.54437899999999995</v>
      </c>
      <c r="AZ858">
        <v>45.633307000000002</v>
      </c>
      <c r="BA858">
        <v>100</v>
      </c>
      <c r="BB858" t="s">
        <v>125</v>
      </c>
      <c r="BC858" t="s">
        <v>125</v>
      </c>
      <c r="BD858" t="s">
        <v>125</v>
      </c>
      <c r="BE858" t="s">
        <v>125</v>
      </c>
      <c r="BF858" t="s">
        <v>125</v>
      </c>
      <c r="BG858" t="s">
        <v>125</v>
      </c>
      <c r="BH858">
        <v>0</v>
      </c>
      <c r="BI858">
        <v>0.971831</v>
      </c>
      <c r="BJ858">
        <v>1</v>
      </c>
      <c r="BK858">
        <v>0.95918400000000004</v>
      </c>
      <c r="BL858">
        <v>0.971831</v>
      </c>
      <c r="BM858">
        <v>1</v>
      </c>
      <c r="BN858">
        <v>0.95918400000000004</v>
      </c>
      <c r="BO858">
        <v>0.97674399999999995</v>
      </c>
      <c r="BP858" t="s">
        <v>125</v>
      </c>
      <c r="BQ858">
        <v>0.96875</v>
      </c>
      <c r="BR858">
        <v>3.3961999999999999E-2</v>
      </c>
      <c r="BS858">
        <v>50</v>
      </c>
      <c r="BT858">
        <v>50</v>
      </c>
      <c r="BU858">
        <v>0.08</v>
      </c>
      <c r="BV858">
        <v>44</v>
      </c>
      <c r="BW858">
        <v>50</v>
      </c>
      <c r="BX858" t="s">
        <v>125</v>
      </c>
      <c r="BY858" t="s">
        <v>125</v>
      </c>
      <c r="BZ858" t="s">
        <v>125</v>
      </c>
      <c r="CA858" t="s">
        <v>125</v>
      </c>
      <c r="CB858" t="s">
        <v>125</v>
      </c>
      <c r="CC858" t="s">
        <v>125</v>
      </c>
      <c r="CD858" t="s">
        <v>125</v>
      </c>
      <c r="CE858" t="s">
        <v>125</v>
      </c>
      <c r="CF858" t="s">
        <v>125</v>
      </c>
      <c r="CG858" t="s">
        <v>125</v>
      </c>
      <c r="CH858" t="s">
        <v>125</v>
      </c>
      <c r="CI858" t="s">
        <v>125</v>
      </c>
      <c r="CJ858" t="s">
        <v>125</v>
      </c>
      <c r="CK858" t="s">
        <v>125</v>
      </c>
      <c r="CL858" t="s">
        <v>125</v>
      </c>
      <c r="CM858" t="s">
        <v>125</v>
      </c>
      <c r="CN858" t="s">
        <v>125</v>
      </c>
      <c r="CO858" t="s">
        <v>125</v>
      </c>
      <c r="CP858" t="s">
        <v>125</v>
      </c>
      <c r="CQ858">
        <v>0.87179499999999999</v>
      </c>
      <c r="CR858">
        <v>0.78</v>
      </c>
      <c r="CS858">
        <v>25</v>
      </c>
      <c r="CT858">
        <v>50</v>
      </c>
      <c r="CU858" t="s">
        <v>125</v>
      </c>
      <c r="CV858" t="s">
        <v>125</v>
      </c>
      <c r="CW858" t="s">
        <v>125</v>
      </c>
      <c r="CX858" t="s">
        <v>125</v>
      </c>
      <c r="CY858" t="s">
        <v>125</v>
      </c>
      <c r="CZ858" t="s">
        <v>125</v>
      </c>
      <c r="DA858">
        <v>15.314097</v>
      </c>
      <c r="DB858">
        <v>17.400950000000002</v>
      </c>
      <c r="DC858">
        <v>16.332519999999999</v>
      </c>
      <c r="DD858" t="s">
        <v>125</v>
      </c>
      <c r="DE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Q858" t="s">
        <v>126</v>
      </c>
    </row>
    <row r="859" spans="1:121" x14ac:dyDescent="0.15">
      <c r="A859">
        <v>2018</v>
      </c>
      <c r="B859" t="s">
        <v>284</v>
      </c>
      <c r="C859" t="str">
        <f t="shared" si="36"/>
        <v>1310011</v>
      </c>
      <c r="D859" t="s">
        <v>1011</v>
      </c>
      <c r="E859" t="str">
        <f>"1310711"</f>
        <v>1310711</v>
      </c>
      <c r="F859" t="s">
        <v>328</v>
      </c>
      <c r="G859" t="s">
        <v>339</v>
      </c>
      <c r="H859">
        <v>5</v>
      </c>
      <c r="J859" t="s">
        <v>331</v>
      </c>
      <c r="K859">
        <v>665.81744400000002</v>
      </c>
      <c r="L859">
        <v>800</v>
      </c>
      <c r="M859">
        <v>83.227181000000002</v>
      </c>
      <c r="N859">
        <v>2</v>
      </c>
      <c r="O859">
        <v>0</v>
      </c>
      <c r="P859">
        <v>80.934190000000001</v>
      </c>
      <c r="Q859">
        <v>50</v>
      </c>
      <c r="R859">
        <v>50</v>
      </c>
      <c r="S859">
        <v>73.821212000000003</v>
      </c>
      <c r="T859">
        <v>75</v>
      </c>
      <c r="U859">
        <v>49.214140999999998</v>
      </c>
      <c r="V859">
        <v>50</v>
      </c>
      <c r="W859">
        <v>78.259806999999995</v>
      </c>
      <c r="X859">
        <v>50</v>
      </c>
      <c r="Y859">
        <v>50</v>
      </c>
      <c r="Z859">
        <v>75</v>
      </c>
      <c r="AA859">
        <v>70.842893000000004</v>
      </c>
      <c r="AB859">
        <v>47.228594999999999</v>
      </c>
      <c r="AC859">
        <v>50</v>
      </c>
      <c r="AD859">
        <v>73.745018999999999</v>
      </c>
      <c r="AE859">
        <v>49.163345999999997</v>
      </c>
      <c r="AF859">
        <v>50</v>
      </c>
      <c r="AG859" t="s">
        <v>125</v>
      </c>
      <c r="AH859">
        <v>75</v>
      </c>
      <c r="AI859" t="s">
        <v>125</v>
      </c>
      <c r="AJ859" t="s">
        <v>125</v>
      </c>
      <c r="AK859">
        <v>1.17</v>
      </c>
      <c r="AL859">
        <v>4.1500000000000004</v>
      </c>
      <c r="AM859" t="s">
        <v>125</v>
      </c>
      <c r="AN859">
        <v>0.71670100000000003</v>
      </c>
      <c r="AO859">
        <v>71.670072000000005</v>
      </c>
      <c r="AP859">
        <v>100</v>
      </c>
      <c r="AQ859">
        <v>0.69348299999999996</v>
      </c>
      <c r="AR859">
        <v>69.348279000000005</v>
      </c>
      <c r="AS859">
        <v>100</v>
      </c>
      <c r="AT859">
        <v>0.69852300000000001</v>
      </c>
      <c r="AU859">
        <v>0.72869799999999996</v>
      </c>
      <c r="AV859">
        <v>69.852323999999996</v>
      </c>
      <c r="AW859">
        <v>100</v>
      </c>
      <c r="AX859">
        <v>0.69884900000000005</v>
      </c>
      <c r="AY859">
        <v>0.68994100000000003</v>
      </c>
      <c r="AZ859">
        <v>69.884905000000003</v>
      </c>
      <c r="BA859">
        <v>100</v>
      </c>
      <c r="BB859" t="s">
        <v>125</v>
      </c>
      <c r="BC859" t="s">
        <v>125</v>
      </c>
      <c r="BD859" t="s">
        <v>125</v>
      </c>
      <c r="BE859" t="s">
        <v>125</v>
      </c>
      <c r="BF859" t="s">
        <v>125</v>
      </c>
      <c r="BG859" t="s">
        <v>125</v>
      </c>
      <c r="BH859">
        <v>0</v>
      </c>
      <c r="BI859">
        <v>0.99173599999999995</v>
      </c>
      <c r="BJ859">
        <v>1</v>
      </c>
      <c r="BK859">
        <v>0.986842</v>
      </c>
      <c r="BL859">
        <v>0.99173599999999995</v>
      </c>
      <c r="BM859">
        <v>1</v>
      </c>
      <c r="BN859">
        <v>0.986842</v>
      </c>
      <c r="BO859">
        <v>1</v>
      </c>
      <c r="BP859" t="s">
        <v>125</v>
      </c>
      <c r="BQ859">
        <v>1</v>
      </c>
      <c r="BR859">
        <v>1.7167000000000002E-2</v>
      </c>
      <c r="BS859">
        <v>50</v>
      </c>
      <c r="BT859">
        <v>50</v>
      </c>
      <c r="BU859">
        <v>3.5714000000000003E-2</v>
      </c>
      <c r="BV859">
        <v>50</v>
      </c>
      <c r="BW859">
        <v>50</v>
      </c>
      <c r="BX859" t="s">
        <v>125</v>
      </c>
      <c r="BY859" t="s">
        <v>125</v>
      </c>
      <c r="BZ859" t="s">
        <v>125</v>
      </c>
      <c r="CA859" t="s">
        <v>125</v>
      </c>
      <c r="CB859" t="s">
        <v>125</v>
      </c>
      <c r="CC859" t="s">
        <v>125</v>
      </c>
      <c r="CD859" t="s">
        <v>125</v>
      </c>
      <c r="CE859" t="s">
        <v>125</v>
      </c>
      <c r="CF859" t="s">
        <v>125</v>
      </c>
      <c r="CG859" t="s">
        <v>125</v>
      </c>
      <c r="CH859" t="s">
        <v>125</v>
      </c>
      <c r="CI859" t="s">
        <v>125</v>
      </c>
      <c r="CJ859" t="s">
        <v>125</v>
      </c>
      <c r="CK859" t="s">
        <v>125</v>
      </c>
      <c r="CL859" t="s">
        <v>125</v>
      </c>
      <c r="CM859" t="s">
        <v>125</v>
      </c>
      <c r="CN859" t="s">
        <v>125</v>
      </c>
      <c r="CO859" t="s">
        <v>125</v>
      </c>
      <c r="CP859" t="s">
        <v>125</v>
      </c>
      <c r="CQ859">
        <v>0.59183699999999995</v>
      </c>
      <c r="CR859">
        <v>0.98</v>
      </c>
      <c r="CS859">
        <v>39.455781999999999</v>
      </c>
      <c r="CT859">
        <v>50</v>
      </c>
      <c r="CU859" t="s">
        <v>125</v>
      </c>
      <c r="CV859" t="s">
        <v>125</v>
      </c>
      <c r="CW859" t="s">
        <v>125</v>
      </c>
      <c r="CX859" t="s">
        <v>125</v>
      </c>
      <c r="CY859" t="s">
        <v>125</v>
      </c>
      <c r="CZ859" t="s">
        <v>125</v>
      </c>
      <c r="DA859">
        <v>15.314097</v>
      </c>
      <c r="DB859">
        <v>17.400950000000002</v>
      </c>
      <c r="DC859">
        <v>16.332519999999999</v>
      </c>
      <c r="DD859" t="s">
        <v>125</v>
      </c>
      <c r="DE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Q859" t="s">
        <v>126</v>
      </c>
    </row>
    <row r="860" spans="1:121" x14ac:dyDescent="0.15">
      <c r="A860">
        <v>2018</v>
      </c>
      <c r="B860" t="s">
        <v>284</v>
      </c>
      <c r="C860" t="str">
        <f t="shared" si="36"/>
        <v>1310011</v>
      </c>
      <c r="D860" t="s">
        <v>1012</v>
      </c>
      <c r="E860" t="str">
        <f>"1316211"</f>
        <v>1316211</v>
      </c>
      <c r="F860" t="s">
        <v>328</v>
      </c>
      <c r="G860">
        <v>9</v>
      </c>
      <c r="H860">
        <v>12</v>
      </c>
      <c r="J860" t="s">
        <v>331</v>
      </c>
      <c r="K860">
        <v>1175.644513</v>
      </c>
      <c r="L860">
        <v>1450</v>
      </c>
      <c r="M860">
        <v>81.078931999999995</v>
      </c>
      <c r="N860">
        <v>3</v>
      </c>
      <c r="O860">
        <v>0</v>
      </c>
      <c r="P860">
        <v>61.509556000000003</v>
      </c>
      <c r="Q860">
        <v>123.019111</v>
      </c>
      <c r="R860">
        <v>150</v>
      </c>
      <c r="S860">
        <v>51.063867000000002</v>
      </c>
      <c r="T860">
        <v>65.066130000000001</v>
      </c>
      <c r="U860">
        <v>102.127734</v>
      </c>
      <c r="V860">
        <v>150</v>
      </c>
      <c r="W860">
        <v>61.450888999999997</v>
      </c>
      <c r="X860">
        <v>122.90177799999999</v>
      </c>
      <c r="Y860">
        <v>150</v>
      </c>
      <c r="Z860">
        <v>64.913762000000006</v>
      </c>
      <c r="AA860">
        <v>51.280402000000002</v>
      </c>
      <c r="AB860">
        <v>102.560805</v>
      </c>
      <c r="AC860">
        <v>150</v>
      </c>
      <c r="AD860">
        <v>66.110946999999996</v>
      </c>
      <c r="AE860">
        <v>88.147930000000002</v>
      </c>
      <c r="AF860">
        <v>100</v>
      </c>
      <c r="AG860">
        <v>56.311726999999998</v>
      </c>
      <c r="AH860">
        <v>69.491810000000001</v>
      </c>
      <c r="AI860">
        <v>75.082302999999996</v>
      </c>
      <c r="AJ860">
        <v>100</v>
      </c>
      <c r="AK860">
        <v>14</v>
      </c>
      <c r="AL860">
        <v>13.63</v>
      </c>
      <c r="AM860">
        <v>13.18</v>
      </c>
      <c r="AN860" t="s">
        <v>125</v>
      </c>
      <c r="AO860" t="s">
        <v>125</v>
      </c>
      <c r="AP860" t="s">
        <v>125</v>
      </c>
      <c r="AQ860" t="s">
        <v>125</v>
      </c>
      <c r="AR860" t="s">
        <v>125</v>
      </c>
      <c r="AS860" t="s">
        <v>125</v>
      </c>
      <c r="AT860" t="s">
        <v>125</v>
      </c>
      <c r="AU860" t="s">
        <v>125</v>
      </c>
      <c r="AV860" t="s">
        <v>125</v>
      </c>
      <c r="AW860" t="s">
        <v>125</v>
      </c>
      <c r="AX860" t="s">
        <v>125</v>
      </c>
      <c r="AY860" t="s">
        <v>125</v>
      </c>
      <c r="AZ860" t="s">
        <v>125</v>
      </c>
      <c r="BA860" t="s">
        <v>125</v>
      </c>
      <c r="BB860" t="s">
        <v>125</v>
      </c>
      <c r="BC860" t="s">
        <v>125</v>
      </c>
      <c r="BD860" t="s">
        <v>125</v>
      </c>
      <c r="BE860" t="s">
        <v>125</v>
      </c>
      <c r="BF860" t="s">
        <v>125</v>
      </c>
      <c r="BG860" t="s">
        <v>125</v>
      </c>
      <c r="BH860">
        <v>1</v>
      </c>
      <c r="BI860">
        <v>0.98238700000000001</v>
      </c>
      <c r="BJ860">
        <v>0.95555599999999996</v>
      </c>
      <c r="BK860">
        <v>0.99202100000000004</v>
      </c>
      <c r="BL860">
        <v>0.98238700000000001</v>
      </c>
      <c r="BM860">
        <v>0.95555599999999996</v>
      </c>
      <c r="BN860">
        <v>0.99202100000000004</v>
      </c>
      <c r="BO860">
        <v>0.97465900000000005</v>
      </c>
      <c r="BP860">
        <v>0.94852899999999996</v>
      </c>
      <c r="BQ860">
        <v>0.98408499999999999</v>
      </c>
      <c r="BR860">
        <v>7.0805999999999994E-2</v>
      </c>
      <c r="BS860">
        <v>45.838892000000001</v>
      </c>
      <c r="BT860">
        <v>50</v>
      </c>
      <c r="BU860">
        <v>0.140794</v>
      </c>
      <c r="BV860">
        <v>31.841155000000001</v>
      </c>
      <c r="BW860">
        <v>50</v>
      </c>
      <c r="BX860">
        <v>0.98858900000000005</v>
      </c>
      <c r="BY860">
        <v>50</v>
      </c>
      <c r="BZ860">
        <v>50</v>
      </c>
      <c r="CA860">
        <v>0.55601699999999998</v>
      </c>
      <c r="CB860">
        <v>37.067773000000003</v>
      </c>
      <c r="CC860">
        <v>50</v>
      </c>
      <c r="CD860">
        <v>0.95353500000000002</v>
      </c>
      <c r="CE860">
        <v>50</v>
      </c>
      <c r="CF860">
        <v>50</v>
      </c>
      <c r="CG860">
        <v>0.97804400000000002</v>
      </c>
      <c r="CH860">
        <v>100</v>
      </c>
      <c r="CI860">
        <v>100</v>
      </c>
      <c r="CJ860">
        <v>0</v>
      </c>
      <c r="CK860">
        <v>0.94594599999999995</v>
      </c>
      <c r="CL860">
        <v>100</v>
      </c>
      <c r="CM860">
        <v>100</v>
      </c>
      <c r="CN860">
        <v>0.80482900000000002</v>
      </c>
      <c r="CO860">
        <v>100</v>
      </c>
      <c r="CP860">
        <v>100</v>
      </c>
      <c r="CQ860">
        <v>0.54588199999999998</v>
      </c>
      <c r="CR860">
        <v>0.86734699999999998</v>
      </c>
      <c r="CS860">
        <v>18.196078</v>
      </c>
      <c r="CT860">
        <v>50</v>
      </c>
      <c r="CU860">
        <v>0.346331</v>
      </c>
      <c r="CV860">
        <v>28.860954</v>
      </c>
      <c r="CW860">
        <v>50</v>
      </c>
      <c r="CX860">
        <v>0.94594599999999995</v>
      </c>
      <c r="CY860">
        <v>0.94</v>
      </c>
      <c r="CZ860">
        <v>-5.9459999999999999E-3</v>
      </c>
      <c r="DA860">
        <v>15.314097</v>
      </c>
      <c r="DB860">
        <v>17.400950000000002</v>
      </c>
      <c r="DC860">
        <v>16.332519999999999</v>
      </c>
      <c r="DD860">
        <v>7.9891730000000001</v>
      </c>
      <c r="DE860">
        <v>1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Q860" t="s">
        <v>126</v>
      </c>
    </row>
    <row r="861" spans="1:121" x14ac:dyDescent="0.15">
      <c r="A861">
        <v>2018</v>
      </c>
      <c r="B861" t="s">
        <v>284</v>
      </c>
      <c r="C861" t="str">
        <f t="shared" si="36"/>
        <v>1310011</v>
      </c>
      <c r="D861" t="s">
        <v>1013</v>
      </c>
      <c r="E861" t="str">
        <f>"1310811"</f>
        <v>1310811</v>
      </c>
      <c r="F861" t="s">
        <v>328</v>
      </c>
      <c r="G861" t="s">
        <v>339</v>
      </c>
      <c r="H861">
        <v>5</v>
      </c>
      <c r="I861" t="s">
        <v>330</v>
      </c>
      <c r="J861" t="s">
        <v>331</v>
      </c>
      <c r="K861">
        <v>694.75515299999995</v>
      </c>
      <c r="L861">
        <v>850</v>
      </c>
      <c r="M861">
        <v>81.735900000000001</v>
      </c>
      <c r="N861">
        <v>4</v>
      </c>
      <c r="O861">
        <v>0</v>
      </c>
      <c r="P861">
        <v>75.538612999999998</v>
      </c>
      <c r="Q861">
        <v>50</v>
      </c>
      <c r="R861">
        <v>50</v>
      </c>
      <c r="S861">
        <v>65.448452000000003</v>
      </c>
      <c r="T861">
        <v>75</v>
      </c>
      <c r="U861">
        <v>43.632300999999998</v>
      </c>
      <c r="V861">
        <v>50</v>
      </c>
      <c r="W861">
        <v>75.645036000000005</v>
      </c>
      <c r="X861">
        <v>50</v>
      </c>
      <c r="Y861">
        <v>50</v>
      </c>
      <c r="Z861">
        <v>75</v>
      </c>
      <c r="AA861">
        <v>63.182985000000002</v>
      </c>
      <c r="AB861">
        <v>42.121989999999997</v>
      </c>
      <c r="AC861">
        <v>50</v>
      </c>
      <c r="AD861">
        <v>70.880589000000001</v>
      </c>
      <c r="AE861">
        <v>47.253726</v>
      </c>
      <c r="AF861">
        <v>50</v>
      </c>
      <c r="AG861">
        <v>60.353436000000002</v>
      </c>
      <c r="AH861">
        <v>75</v>
      </c>
      <c r="AI861">
        <v>40.235624000000001</v>
      </c>
      <c r="AJ861">
        <v>50</v>
      </c>
      <c r="AK861">
        <v>9.5500000000000007</v>
      </c>
      <c r="AL861">
        <v>11.81</v>
      </c>
      <c r="AM861">
        <v>14.64</v>
      </c>
      <c r="AN861">
        <v>0.73361600000000005</v>
      </c>
      <c r="AO861">
        <v>73.361597000000003</v>
      </c>
      <c r="AP861">
        <v>100</v>
      </c>
      <c r="AQ861">
        <v>0.75028300000000003</v>
      </c>
      <c r="AR861">
        <v>75.028338000000005</v>
      </c>
      <c r="AS861">
        <v>100</v>
      </c>
      <c r="AT861">
        <v>0.69086700000000001</v>
      </c>
      <c r="AU861">
        <v>0.75586900000000001</v>
      </c>
      <c r="AV861">
        <v>69.086652999999998</v>
      </c>
      <c r="AW861">
        <v>100</v>
      </c>
      <c r="AX861">
        <v>0.70541699999999996</v>
      </c>
      <c r="AY861">
        <v>0.77363800000000005</v>
      </c>
      <c r="AZ861">
        <v>70.541700000000006</v>
      </c>
      <c r="BA861">
        <v>100</v>
      </c>
      <c r="BB861" t="s">
        <v>125</v>
      </c>
      <c r="BC861" t="s">
        <v>125</v>
      </c>
      <c r="BD861" t="s">
        <v>125</v>
      </c>
      <c r="BE861" t="s">
        <v>125</v>
      </c>
      <c r="BF861" t="s">
        <v>125</v>
      </c>
      <c r="BG861" t="s">
        <v>125</v>
      </c>
      <c r="BH861">
        <v>0</v>
      </c>
      <c r="BI861">
        <v>0.99371100000000001</v>
      </c>
      <c r="BJ861">
        <v>1</v>
      </c>
      <c r="BK861">
        <v>0.99</v>
      </c>
      <c r="BL861">
        <v>0.99371100000000001</v>
      </c>
      <c r="BM861">
        <v>1</v>
      </c>
      <c r="BN861">
        <v>0.99</v>
      </c>
      <c r="BO861">
        <v>0.98305100000000001</v>
      </c>
      <c r="BP861">
        <v>1</v>
      </c>
      <c r="BQ861">
        <v>0.97142899999999999</v>
      </c>
      <c r="BR861">
        <v>5.2817000000000003E-2</v>
      </c>
      <c r="BS861">
        <v>49.436619999999998</v>
      </c>
      <c r="BT861">
        <v>50</v>
      </c>
      <c r="BU861">
        <v>0.125</v>
      </c>
      <c r="BV861">
        <v>35</v>
      </c>
      <c r="BW861">
        <v>50</v>
      </c>
      <c r="BX861" t="s">
        <v>125</v>
      </c>
      <c r="BY861" t="s">
        <v>125</v>
      </c>
      <c r="BZ861" t="s">
        <v>125</v>
      </c>
      <c r="CA861" t="s">
        <v>125</v>
      </c>
      <c r="CB861" t="s">
        <v>125</v>
      </c>
      <c r="CC861" t="s">
        <v>125</v>
      </c>
      <c r="CD861" t="s">
        <v>125</v>
      </c>
      <c r="CE861" t="s">
        <v>125</v>
      </c>
      <c r="CF861" t="s">
        <v>125</v>
      </c>
      <c r="CG861" t="s">
        <v>125</v>
      </c>
      <c r="CH861" t="s">
        <v>125</v>
      </c>
      <c r="CI861" t="s">
        <v>125</v>
      </c>
      <c r="CJ861" t="s">
        <v>125</v>
      </c>
      <c r="CK861" t="s">
        <v>125</v>
      </c>
      <c r="CL861" t="s">
        <v>125</v>
      </c>
      <c r="CM861" t="s">
        <v>125</v>
      </c>
      <c r="CN861" t="s">
        <v>125</v>
      </c>
      <c r="CO861" t="s">
        <v>125</v>
      </c>
      <c r="CP861" t="s">
        <v>125</v>
      </c>
      <c r="CQ861">
        <v>0.73584899999999998</v>
      </c>
      <c r="CR861">
        <v>0.91379299999999997</v>
      </c>
      <c r="CS861">
        <v>49.056604</v>
      </c>
      <c r="CT861">
        <v>50</v>
      </c>
      <c r="CU861" t="s">
        <v>125</v>
      </c>
      <c r="CV861" t="s">
        <v>125</v>
      </c>
      <c r="CW861" t="s">
        <v>125</v>
      </c>
      <c r="CX861" t="s">
        <v>125</v>
      </c>
      <c r="CY861" t="s">
        <v>125</v>
      </c>
      <c r="CZ861" t="s">
        <v>125</v>
      </c>
      <c r="DA861">
        <v>15.314097</v>
      </c>
      <c r="DB861">
        <v>17.400950000000002</v>
      </c>
      <c r="DC861">
        <v>16.332519999999999</v>
      </c>
      <c r="DD861" t="s">
        <v>125</v>
      </c>
      <c r="DE861">
        <v>0</v>
      </c>
      <c r="DF861" t="s">
        <v>385</v>
      </c>
      <c r="DG861" t="s">
        <v>418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Q861" t="s">
        <v>126</v>
      </c>
    </row>
    <row r="862" spans="1:121" x14ac:dyDescent="0.15">
      <c r="A862">
        <v>2018</v>
      </c>
      <c r="B862" t="s">
        <v>284</v>
      </c>
      <c r="C862" t="str">
        <f t="shared" si="36"/>
        <v>1310011</v>
      </c>
      <c r="D862" t="s">
        <v>1014</v>
      </c>
      <c r="E862" t="str">
        <f>"1310911"</f>
        <v>1310911</v>
      </c>
      <c r="F862" t="s">
        <v>328</v>
      </c>
      <c r="G862" t="s">
        <v>339</v>
      </c>
      <c r="H862">
        <v>5</v>
      </c>
      <c r="J862" t="s">
        <v>331</v>
      </c>
      <c r="K862">
        <v>709.419757</v>
      </c>
      <c r="L862">
        <v>950</v>
      </c>
      <c r="M862">
        <v>74.675764000000001</v>
      </c>
      <c r="N862">
        <v>2</v>
      </c>
      <c r="O862">
        <v>0</v>
      </c>
      <c r="P862">
        <v>74.979899000000003</v>
      </c>
      <c r="Q862">
        <v>49.986598999999998</v>
      </c>
      <c r="R862">
        <v>50</v>
      </c>
      <c r="S862">
        <v>67.918914999999998</v>
      </c>
      <c r="T862">
        <v>75</v>
      </c>
      <c r="U862">
        <v>45.279277</v>
      </c>
      <c r="V862">
        <v>50</v>
      </c>
      <c r="W862">
        <v>71.316676999999999</v>
      </c>
      <c r="X862">
        <v>47.544451000000002</v>
      </c>
      <c r="Y862">
        <v>50</v>
      </c>
      <c r="Z862">
        <v>75</v>
      </c>
      <c r="AA862">
        <v>63.005026000000001</v>
      </c>
      <c r="AB862">
        <v>42.003351000000002</v>
      </c>
      <c r="AC862">
        <v>50</v>
      </c>
      <c r="AD862">
        <v>70.425047000000006</v>
      </c>
      <c r="AE862">
        <v>46.950032</v>
      </c>
      <c r="AF862">
        <v>50</v>
      </c>
      <c r="AG862">
        <v>66.177419</v>
      </c>
      <c r="AH862">
        <v>72.989653000000004</v>
      </c>
      <c r="AI862">
        <v>44.118279999999999</v>
      </c>
      <c r="AJ862">
        <v>50</v>
      </c>
      <c r="AK862">
        <v>7.08</v>
      </c>
      <c r="AL862">
        <v>11.99</v>
      </c>
      <c r="AM862">
        <v>6.81</v>
      </c>
      <c r="AN862">
        <v>0.62364299999999995</v>
      </c>
      <c r="AO862">
        <v>62.364347000000002</v>
      </c>
      <c r="AP862">
        <v>100</v>
      </c>
      <c r="AQ862">
        <v>0.69164199999999998</v>
      </c>
      <c r="AR862">
        <v>69.164179000000004</v>
      </c>
      <c r="AS862">
        <v>100</v>
      </c>
      <c r="AT862">
        <v>0.61839599999999995</v>
      </c>
      <c r="AU862">
        <v>0.625498</v>
      </c>
      <c r="AV862">
        <v>61.839610999999998</v>
      </c>
      <c r="AW862">
        <v>100</v>
      </c>
      <c r="AX862">
        <v>0.59712500000000002</v>
      </c>
      <c r="AY862">
        <v>0.72504900000000005</v>
      </c>
      <c r="AZ862">
        <v>59.712494</v>
      </c>
      <c r="BA862">
        <v>100</v>
      </c>
      <c r="BB862">
        <v>0.83830300000000002</v>
      </c>
      <c r="BC862">
        <v>41.915168999999999</v>
      </c>
      <c r="BD862">
        <v>50</v>
      </c>
      <c r="BE862">
        <v>0.72755499999999995</v>
      </c>
      <c r="BF862">
        <v>36.377738999999998</v>
      </c>
      <c r="BG862">
        <v>50</v>
      </c>
      <c r="BH862">
        <v>0</v>
      </c>
      <c r="BI862">
        <v>0.99173599999999995</v>
      </c>
      <c r="BJ862">
        <v>0.98701300000000003</v>
      </c>
      <c r="BK862">
        <v>0.99393900000000002</v>
      </c>
      <c r="BL862">
        <v>0.99173599999999995</v>
      </c>
      <c r="BM862">
        <v>0.98701300000000003</v>
      </c>
      <c r="BN862">
        <v>0.99393900000000002</v>
      </c>
      <c r="BO862">
        <v>0.97777800000000004</v>
      </c>
      <c r="BP862">
        <v>0.96969700000000003</v>
      </c>
      <c r="BQ862">
        <v>0.982456</v>
      </c>
      <c r="BR862">
        <v>6.0268000000000002E-2</v>
      </c>
      <c r="BS862">
        <v>47.946429000000002</v>
      </c>
      <c r="BT862">
        <v>50</v>
      </c>
      <c r="BU862">
        <v>0.12592600000000001</v>
      </c>
      <c r="BV862">
        <v>34.814815000000003</v>
      </c>
      <c r="BW862">
        <v>50</v>
      </c>
      <c r="BX862" t="s">
        <v>125</v>
      </c>
      <c r="BY862" t="s">
        <v>125</v>
      </c>
      <c r="BZ862" t="s">
        <v>125</v>
      </c>
      <c r="CA862" t="s">
        <v>125</v>
      </c>
      <c r="CB862" t="s">
        <v>125</v>
      </c>
      <c r="CC862" t="s">
        <v>125</v>
      </c>
      <c r="CD862" t="s">
        <v>125</v>
      </c>
      <c r="CE862" t="s">
        <v>125</v>
      </c>
      <c r="CF862" t="s">
        <v>125</v>
      </c>
      <c r="CG862" t="s">
        <v>125</v>
      </c>
      <c r="CH862" t="s">
        <v>125</v>
      </c>
      <c r="CI862" t="s">
        <v>125</v>
      </c>
      <c r="CJ862" t="s">
        <v>125</v>
      </c>
      <c r="CK862" t="s">
        <v>125</v>
      </c>
      <c r="CL862" t="s">
        <v>125</v>
      </c>
      <c r="CM862" t="s">
        <v>125</v>
      </c>
      <c r="CN862" t="s">
        <v>125</v>
      </c>
      <c r="CO862" t="s">
        <v>125</v>
      </c>
      <c r="CP862" t="s">
        <v>125</v>
      </c>
      <c r="CQ862">
        <v>0.58209</v>
      </c>
      <c r="CR862">
        <v>0.84810099999999999</v>
      </c>
      <c r="CS862">
        <v>19.402985000000001</v>
      </c>
      <c r="CT862">
        <v>50</v>
      </c>
      <c r="CU862" t="s">
        <v>125</v>
      </c>
      <c r="CV862" t="s">
        <v>125</v>
      </c>
      <c r="CW862" t="s">
        <v>125</v>
      </c>
      <c r="CX862" t="s">
        <v>125</v>
      </c>
      <c r="CY862" t="s">
        <v>125</v>
      </c>
      <c r="CZ862" t="s">
        <v>125</v>
      </c>
      <c r="DA862">
        <v>15.314097</v>
      </c>
      <c r="DB862">
        <v>17.400950000000002</v>
      </c>
      <c r="DC862">
        <v>16.332519999999999</v>
      </c>
      <c r="DD862" t="s">
        <v>125</v>
      </c>
      <c r="DE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Q862" t="s">
        <v>126</v>
      </c>
    </row>
    <row r="863" spans="1:121" x14ac:dyDescent="0.15">
      <c r="A863">
        <v>2018</v>
      </c>
      <c r="B863" t="s">
        <v>284</v>
      </c>
      <c r="C863" t="str">
        <f t="shared" si="36"/>
        <v>1310011</v>
      </c>
      <c r="D863" t="s">
        <v>1015</v>
      </c>
      <c r="E863" t="str">
        <f>"1311411"</f>
        <v>1311411</v>
      </c>
      <c r="F863" t="s">
        <v>328</v>
      </c>
      <c r="G863" t="s">
        <v>339</v>
      </c>
      <c r="H863">
        <v>5</v>
      </c>
      <c r="J863" t="s">
        <v>331</v>
      </c>
      <c r="K863">
        <v>694.96456599999999</v>
      </c>
      <c r="L863">
        <v>800</v>
      </c>
      <c r="M863">
        <v>86.870570999999998</v>
      </c>
      <c r="N863">
        <v>1</v>
      </c>
      <c r="O863">
        <v>0</v>
      </c>
      <c r="P863">
        <v>81.783811999999998</v>
      </c>
      <c r="Q863">
        <v>50</v>
      </c>
      <c r="R863">
        <v>50</v>
      </c>
      <c r="S863">
        <v>75.710407000000004</v>
      </c>
      <c r="T863">
        <v>75</v>
      </c>
      <c r="U863">
        <v>50</v>
      </c>
      <c r="V863">
        <v>50</v>
      </c>
      <c r="W863">
        <v>78.079261000000002</v>
      </c>
      <c r="X863">
        <v>50</v>
      </c>
      <c r="Y863">
        <v>50</v>
      </c>
      <c r="Z863">
        <v>75</v>
      </c>
      <c r="AA863">
        <v>70.099012999999999</v>
      </c>
      <c r="AB863">
        <v>46.732675</v>
      </c>
      <c r="AC863">
        <v>50</v>
      </c>
      <c r="AD863">
        <v>76.306004000000001</v>
      </c>
      <c r="AE863">
        <v>50</v>
      </c>
      <c r="AF863">
        <v>50</v>
      </c>
      <c r="AG863" t="s">
        <v>125</v>
      </c>
      <c r="AH863">
        <v>75</v>
      </c>
      <c r="AI863" t="s">
        <v>125</v>
      </c>
      <c r="AJ863" t="s">
        <v>125</v>
      </c>
      <c r="AK863">
        <v>-0.71</v>
      </c>
      <c r="AL863">
        <v>4.9000000000000004</v>
      </c>
      <c r="AM863" t="s">
        <v>125</v>
      </c>
      <c r="AN863">
        <v>0.84646999999999994</v>
      </c>
      <c r="AO863">
        <v>84.647012000000004</v>
      </c>
      <c r="AP863">
        <v>100</v>
      </c>
      <c r="AQ863">
        <v>0.855464</v>
      </c>
      <c r="AR863">
        <v>85.546374999999998</v>
      </c>
      <c r="AS863">
        <v>100</v>
      </c>
      <c r="AT863">
        <v>0.77648499999999998</v>
      </c>
      <c r="AU863">
        <v>0.86480000000000001</v>
      </c>
      <c r="AV863">
        <v>77.648461999999995</v>
      </c>
      <c r="AW863">
        <v>100</v>
      </c>
      <c r="AX863">
        <v>0.76657600000000004</v>
      </c>
      <c r="AY863">
        <v>0.87902400000000003</v>
      </c>
      <c r="AZ863">
        <v>76.657646999999997</v>
      </c>
      <c r="BA863">
        <v>100</v>
      </c>
      <c r="BB863" t="s">
        <v>125</v>
      </c>
      <c r="BC863" t="s">
        <v>125</v>
      </c>
      <c r="BD863" t="s">
        <v>125</v>
      </c>
      <c r="BE863" t="s">
        <v>125</v>
      </c>
      <c r="BF863" t="s">
        <v>125</v>
      </c>
      <c r="BG863" t="s">
        <v>125</v>
      </c>
      <c r="BH863">
        <v>0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 t="s">
        <v>125</v>
      </c>
      <c r="BQ863">
        <v>1</v>
      </c>
      <c r="BR863">
        <v>2.4220999999999999E-2</v>
      </c>
      <c r="BS863">
        <v>50</v>
      </c>
      <c r="BT863">
        <v>50</v>
      </c>
      <c r="BU863">
        <v>5.6337999999999999E-2</v>
      </c>
      <c r="BV863">
        <v>48.732393999999999</v>
      </c>
      <c r="BW863">
        <v>50</v>
      </c>
      <c r="BX863" t="s">
        <v>125</v>
      </c>
      <c r="BY863" t="s">
        <v>125</v>
      </c>
      <c r="BZ863" t="s">
        <v>125</v>
      </c>
      <c r="CA863" t="s">
        <v>125</v>
      </c>
      <c r="CB863" t="s">
        <v>125</v>
      </c>
      <c r="CC863" t="s">
        <v>125</v>
      </c>
      <c r="CD863" t="s">
        <v>125</v>
      </c>
      <c r="CE863" t="s">
        <v>125</v>
      </c>
      <c r="CF863" t="s">
        <v>125</v>
      </c>
      <c r="CG863" t="s">
        <v>125</v>
      </c>
      <c r="CH863" t="s">
        <v>125</v>
      </c>
      <c r="CI863" t="s">
        <v>125</v>
      </c>
      <c r="CJ863" t="s">
        <v>125</v>
      </c>
      <c r="CK863" t="s">
        <v>125</v>
      </c>
      <c r="CL863" t="s">
        <v>125</v>
      </c>
      <c r="CM863" t="s">
        <v>125</v>
      </c>
      <c r="CN863" t="s">
        <v>125</v>
      </c>
      <c r="CO863" t="s">
        <v>125</v>
      </c>
      <c r="CP863" t="s">
        <v>125</v>
      </c>
      <c r="CQ863">
        <v>0.375</v>
      </c>
      <c r="CR863">
        <v>0.982456</v>
      </c>
      <c r="CS863">
        <v>25</v>
      </c>
      <c r="CT863">
        <v>50</v>
      </c>
      <c r="CU863" t="s">
        <v>125</v>
      </c>
      <c r="CV863" t="s">
        <v>125</v>
      </c>
      <c r="CW863" t="s">
        <v>125</v>
      </c>
      <c r="CX863" t="s">
        <v>125</v>
      </c>
      <c r="CY863" t="s">
        <v>125</v>
      </c>
      <c r="CZ863" t="s">
        <v>125</v>
      </c>
      <c r="DA863">
        <v>15.314097</v>
      </c>
      <c r="DB863">
        <v>17.400950000000002</v>
      </c>
      <c r="DC863">
        <v>16.332519999999999</v>
      </c>
      <c r="DD863" t="s">
        <v>125</v>
      </c>
      <c r="DE863">
        <v>0</v>
      </c>
      <c r="DH863" t="s">
        <v>332</v>
      </c>
      <c r="DI863" t="s">
        <v>449</v>
      </c>
      <c r="DJ863">
        <v>1</v>
      </c>
      <c r="DK863">
        <v>1</v>
      </c>
      <c r="DL863">
        <v>1</v>
      </c>
      <c r="DM863">
        <v>1</v>
      </c>
      <c r="DN863">
        <v>0</v>
      </c>
      <c r="DO863">
        <v>0</v>
      </c>
      <c r="DQ863" t="s">
        <v>126</v>
      </c>
    </row>
    <row r="864" spans="1:121" x14ac:dyDescent="0.15">
      <c r="A864">
        <v>2018</v>
      </c>
      <c r="B864" t="s">
        <v>258</v>
      </c>
      <c r="C864" t="str">
        <f t="shared" ref="C864:C869" si="37">"1320011"</f>
        <v>1320011</v>
      </c>
      <c r="D864" t="s">
        <v>1016</v>
      </c>
      <c r="E864" t="str">
        <f>"1320711"</f>
        <v>1320711</v>
      </c>
      <c r="F864" t="s">
        <v>328</v>
      </c>
      <c r="G864" t="s">
        <v>339</v>
      </c>
      <c r="H864">
        <v>5</v>
      </c>
      <c r="I864" t="s">
        <v>330</v>
      </c>
      <c r="J864" t="s">
        <v>331</v>
      </c>
      <c r="K864">
        <v>770.89954</v>
      </c>
      <c r="L864">
        <v>950</v>
      </c>
      <c r="M864">
        <v>81.147319999999993</v>
      </c>
      <c r="N864">
        <v>2</v>
      </c>
      <c r="O864">
        <v>0</v>
      </c>
      <c r="P864">
        <v>77.032562999999996</v>
      </c>
      <c r="Q864">
        <v>50</v>
      </c>
      <c r="R864">
        <v>50</v>
      </c>
      <c r="S864">
        <v>65.870368999999997</v>
      </c>
      <c r="T864">
        <v>75</v>
      </c>
      <c r="U864">
        <v>43.913580000000003</v>
      </c>
      <c r="V864">
        <v>50</v>
      </c>
      <c r="W864">
        <v>74.736031999999994</v>
      </c>
      <c r="X864">
        <v>49.824021999999999</v>
      </c>
      <c r="Y864">
        <v>50</v>
      </c>
      <c r="Z864">
        <v>75</v>
      </c>
      <c r="AA864">
        <v>63.691259000000002</v>
      </c>
      <c r="AB864">
        <v>42.460839</v>
      </c>
      <c r="AC864">
        <v>50</v>
      </c>
      <c r="AD864">
        <v>71.445840000000004</v>
      </c>
      <c r="AE864">
        <v>47.630560000000003</v>
      </c>
      <c r="AF864">
        <v>50</v>
      </c>
      <c r="AG864">
        <v>62.293906999999997</v>
      </c>
      <c r="AH864">
        <v>75</v>
      </c>
      <c r="AI864">
        <v>41.529271000000001</v>
      </c>
      <c r="AJ864">
        <v>50</v>
      </c>
      <c r="AK864">
        <v>9.1199999999999992</v>
      </c>
      <c r="AL864">
        <v>11.3</v>
      </c>
      <c r="AM864">
        <v>12.7</v>
      </c>
      <c r="AN864">
        <v>0.65034599999999998</v>
      </c>
      <c r="AO864">
        <v>65.034566999999996</v>
      </c>
      <c r="AP864">
        <v>100</v>
      </c>
      <c r="AQ864">
        <v>0.83707600000000004</v>
      </c>
      <c r="AR864">
        <v>83.707583</v>
      </c>
      <c r="AS864">
        <v>100</v>
      </c>
      <c r="AT864">
        <v>0.62402800000000003</v>
      </c>
      <c r="AU864">
        <v>0.66159299999999999</v>
      </c>
      <c r="AV864">
        <v>62.402799000000002</v>
      </c>
      <c r="AW864">
        <v>100</v>
      </c>
      <c r="AX864">
        <v>0.81926600000000005</v>
      </c>
      <c r="AY864">
        <v>0.84468699999999997</v>
      </c>
      <c r="AZ864">
        <v>81.926607000000004</v>
      </c>
      <c r="BA864">
        <v>100</v>
      </c>
      <c r="BB864">
        <v>0.69388700000000003</v>
      </c>
      <c r="BC864">
        <v>34.694341000000001</v>
      </c>
      <c r="BD864">
        <v>50</v>
      </c>
      <c r="BE864">
        <v>0.807446</v>
      </c>
      <c r="BF864">
        <v>40.372318999999997</v>
      </c>
      <c r="BG864">
        <v>50</v>
      </c>
      <c r="BH864">
        <v>0</v>
      </c>
      <c r="BI864">
        <v>0.98023700000000002</v>
      </c>
      <c r="BJ864">
        <v>0.95789500000000005</v>
      </c>
      <c r="BK864">
        <v>0.99367099999999997</v>
      </c>
      <c r="BL864">
        <v>0.98023700000000002</v>
      </c>
      <c r="BM864">
        <v>0.95789500000000005</v>
      </c>
      <c r="BN864">
        <v>0.99367099999999997</v>
      </c>
      <c r="BO864">
        <v>0.97979799999999995</v>
      </c>
      <c r="BP864">
        <v>0.95</v>
      </c>
      <c r="BQ864">
        <v>1</v>
      </c>
      <c r="BR864">
        <v>6.7685999999999996E-2</v>
      </c>
      <c r="BS864">
        <v>46.462882</v>
      </c>
      <c r="BT864">
        <v>50</v>
      </c>
      <c r="BU864">
        <v>0.13461500000000001</v>
      </c>
      <c r="BV864">
        <v>33.076923000000001</v>
      </c>
      <c r="BW864">
        <v>50</v>
      </c>
      <c r="BX864" t="s">
        <v>125</v>
      </c>
      <c r="BY864" t="s">
        <v>125</v>
      </c>
      <c r="BZ864" t="s">
        <v>125</v>
      </c>
      <c r="CA864" t="s">
        <v>125</v>
      </c>
      <c r="CB864" t="s">
        <v>125</v>
      </c>
      <c r="CC864" t="s">
        <v>125</v>
      </c>
      <c r="CD864" t="s">
        <v>125</v>
      </c>
      <c r="CE864" t="s">
        <v>125</v>
      </c>
      <c r="CF864" t="s">
        <v>125</v>
      </c>
      <c r="CG864" t="s">
        <v>125</v>
      </c>
      <c r="CH864" t="s">
        <v>125</v>
      </c>
      <c r="CI864" t="s">
        <v>125</v>
      </c>
      <c r="CJ864" t="s">
        <v>125</v>
      </c>
      <c r="CK864" t="s">
        <v>125</v>
      </c>
      <c r="CL864" t="s">
        <v>125</v>
      </c>
      <c r="CM864" t="s">
        <v>125</v>
      </c>
      <c r="CN864" t="s">
        <v>125</v>
      </c>
      <c r="CO864" t="s">
        <v>125</v>
      </c>
      <c r="CP864" t="s">
        <v>125</v>
      </c>
      <c r="CQ864">
        <v>0.71794899999999995</v>
      </c>
      <c r="CR864">
        <v>0.96296300000000001</v>
      </c>
      <c r="CS864">
        <v>47.863247999999999</v>
      </c>
      <c r="CT864">
        <v>50</v>
      </c>
      <c r="CU864" t="s">
        <v>125</v>
      </c>
      <c r="CV864" t="s">
        <v>125</v>
      </c>
      <c r="CW864" t="s">
        <v>125</v>
      </c>
      <c r="CX864" t="s">
        <v>125</v>
      </c>
      <c r="CY864" t="s">
        <v>125</v>
      </c>
      <c r="CZ864" t="s">
        <v>125</v>
      </c>
      <c r="DA864">
        <v>15.314097</v>
      </c>
      <c r="DB864">
        <v>17.400950000000002</v>
      </c>
      <c r="DC864">
        <v>16.332519999999999</v>
      </c>
      <c r="DD864" t="s">
        <v>125</v>
      </c>
      <c r="DE864">
        <v>0</v>
      </c>
      <c r="DH864" t="s">
        <v>332</v>
      </c>
      <c r="DI864" t="s">
        <v>432</v>
      </c>
      <c r="DJ864">
        <v>0</v>
      </c>
      <c r="DK864">
        <v>0</v>
      </c>
      <c r="DL864">
        <v>0</v>
      </c>
      <c r="DM864">
        <v>0</v>
      </c>
      <c r="DN864">
        <v>1</v>
      </c>
      <c r="DO864">
        <v>0</v>
      </c>
      <c r="DQ864" t="s">
        <v>126</v>
      </c>
    </row>
    <row r="865" spans="1:121" x14ac:dyDescent="0.15">
      <c r="A865">
        <v>2018</v>
      </c>
      <c r="B865" t="s">
        <v>258</v>
      </c>
      <c r="C865" t="str">
        <f t="shared" si="37"/>
        <v>1320011</v>
      </c>
      <c r="D865" t="s">
        <v>1017</v>
      </c>
      <c r="E865" t="str">
        <f>"1320611"</f>
        <v>1320611</v>
      </c>
      <c r="F865" t="s">
        <v>328</v>
      </c>
      <c r="G865" t="s">
        <v>339</v>
      </c>
      <c r="H865">
        <v>5</v>
      </c>
      <c r="J865" t="s">
        <v>331</v>
      </c>
      <c r="K865">
        <v>746.73489400000005</v>
      </c>
      <c r="L865">
        <v>950</v>
      </c>
      <c r="M865">
        <v>78.603673000000001</v>
      </c>
      <c r="N865">
        <v>2</v>
      </c>
      <c r="O865">
        <v>0</v>
      </c>
      <c r="P865">
        <v>84.759192999999996</v>
      </c>
      <c r="Q865">
        <v>50</v>
      </c>
      <c r="R865">
        <v>50</v>
      </c>
      <c r="S865">
        <v>76.991074999999995</v>
      </c>
      <c r="T865">
        <v>75</v>
      </c>
      <c r="U865">
        <v>50</v>
      </c>
      <c r="V865">
        <v>50</v>
      </c>
      <c r="W865">
        <v>82.281858999999997</v>
      </c>
      <c r="X865">
        <v>50</v>
      </c>
      <c r="Y865">
        <v>50</v>
      </c>
      <c r="Z865">
        <v>75</v>
      </c>
      <c r="AA865">
        <v>74.966575000000006</v>
      </c>
      <c r="AB865">
        <v>49.977716999999998</v>
      </c>
      <c r="AC865">
        <v>50</v>
      </c>
      <c r="AD865">
        <v>76.659497999999999</v>
      </c>
      <c r="AE865">
        <v>50</v>
      </c>
      <c r="AF865">
        <v>50</v>
      </c>
      <c r="AG865">
        <v>67.257142999999999</v>
      </c>
      <c r="AH865">
        <v>75</v>
      </c>
      <c r="AI865">
        <v>44.838095000000003</v>
      </c>
      <c r="AJ865">
        <v>50</v>
      </c>
      <c r="AK865">
        <v>-1.99</v>
      </c>
      <c r="AL865">
        <v>0.03</v>
      </c>
      <c r="AM865">
        <v>7.74</v>
      </c>
      <c r="AN865">
        <v>0.65929000000000004</v>
      </c>
      <c r="AO865">
        <v>65.929038000000006</v>
      </c>
      <c r="AP865">
        <v>100</v>
      </c>
      <c r="AQ865">
        <v>0.72086700000000004</v>
      </c>
      <c r="AR865">
        <v>72.086651000000003</v>
      </c>
      <c r="AS865">
        <v>100</v>
      </c>
      <c r="AT865">
        <v>0.62567200000000001</v>
      </c>
      <c r="AU865">
        <v>0.673875</v>
      </c>
      <c r="AV865">
        <v>62.567234999999997</v>
      </c>
      <c r="AW865">
        <v>100</v>
      </c>
      <c r="AX865">
        <v>0.57818499999999995</v>
      </c>
      <c r="AY865">
        <v>0.78276500000000004</v>
      </c>
      <c r="AZ865">
        <v>57.818494000000001</v>
      </c>
      <c r="BA865">
        <v>100</v>
      </c>
      <c r="BB865">
        <v>0.85611300000000001</v>
      </c>
      <c r="BC865">
        <v>42.805666000000002</v>
      </c>
      <c r="BD865">
        <v>50</v>
      </c>
      <c r="BE865">
        <v>0.53774699999999998</v>
      </c>
      <c r="BF865">
        <v>26.887339000000001</v>
      </c>
      <c r="BG865">
        <v>50</v>
      </c>
      <c r="BH865">
        <v>0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5.4140000000000001E-2</v>
      </c>
      <c r="BS865">
        <v>49.171975000000003</v>
      </c>
      <c r="BT865">
        <v>50</v>
      </c>
      <c r="BU865">
        <v>0.11627899999999999</v>
      </c>
      <c r="BV865">
        <v>36.744185999999999</v>
      </c>
      <c r="BW865">
        <v>50</v>
      </c>
      <c r="BX865" t="s">
        <v>125</v>
      </c>
      <c r="BY865" t="s">
        <v>125</v>
      </c>
      <c r="BZ865" t="s">
        <v>125</v>
      </c>
      <c r="CA865" t="s">
        <v>125</v>
      </c>
      <c r="CB865" t="s">
        <v>125</v>
      </c>
      <c r="CC865" t="s">
        <v>125</v>
      </c>
      <c r="CD865" t="s">
        <v>125</v>
      </c>
      <c r="CE865" t="s">
        <v>125</v>
      </c>
      <c r="CF865" t="s">
        <v>125</v>
      </c>
      <c r="CG865" t="s">
        <v>125</v>
      </c>
      <c r="CH865" t="s">
        <v>125</v>
      </c>
      <c r="CI865" t="s">
        <v>125</v>
      </c>
      <c r="CJ865" t="s">
        <v>125</v>
      </c>
      <c r="CK865" t="s">
        <v>125</v>
      </c>
      <c r="CL865" t="s">
        <v>125</v>
      </c>
      <c r="CM865" t="s">
        <v>125</v>
      </c>
      <c r="CN865" t="s">
        <v>125</v>
      </c>
      <c r="CO865" t="s">
        <v>125</v>
      </c>
      <c r="CP865" t="s">
        <v>125</v>
      </c>
      <c r="CQ865">
        <v>0.56862699999999999</v>
      </c>
      <c r="CR865">
        <v>1.0099009999999999</v>
      </c>
      <c r="CS865">
        <v>37.908496999999997</v>
      </c>
      <c r="CT865">
        <v>50</v>
      </c>
      <c r="CU865" t="s">
        <v>125</v>
      </c>
      <c r="CV865" t="s">
        <v>125</v>
      </c>
      <c r="CW865" t="s">
        <v>125</v>
      </c>
      <c r="CX865" t="s">
        <v>125</v>
      </c>
      <c r="CY865" t="s">
        <v>125</v>
      </c>
      <c r="CZ865" t="s">
        <v>125</v>
      </c>
      <c r="DA865">
        <v>15.314097</v>
      </c>
      <c r="DB865">
        <v>17.400950000000002</v>
      </c>
      <c r="DC865">
        <v>16.332519999999999</v>
      </c>
      <c r="DD865" t="s">
        <v>125</v>
      </c>
      <c r="DE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Q865" t="s">
        <v>126</v>
      </c>
    </row>
    <row r="866" spans="1:121" x14ac:dyDescent="0.15">
      <c r="A866">
        <v>2018</v>
      </c>
      <c r="B866" t="s">
        <v>258</v>
      </c>
      <c r="C866" t="str">
        <f t="shared" si="37"/>
        <v>1320011</v>
      </c>
      <c r="D866" t="s">
        <v>1018</v>
      </c>
      <c r="E866" t="str">
        <f>"1320111"</f>
        <v>1320111</v>
      </c>
      <c r="F866" t="s">
        <v>328</v>
      </c>
      <c r="G866" t="s">
        <v>339</v>
      </c>
      <c r="H866">
        <v>5</v>
      </c>
      <c r="J866" t="s">
        <v>331</v>
      </c>
      <c r="K866">
        <v>759.15769499999999</v>
      </c>
      <c r="L866">
        <v>900</v>
      </c>
      <c r="M866">
        <v>84.350854999999996</v>
      </c>
      <c r="N866">
        <v>2</v>
      </c>
      <c r="O866">
        <v>0</v>
      </c>
      <c r="P866">
        <v>83.808120000000002</v>
      </c>
      <c r="Q866">
        <v>50</v>
      </c>
      <c r="R866">
        <v>50</v>
      </c>
      <c r="S866">
        <v>75.371762000000004</v>
      </c>
      <c r="T866">
        <v>75</v>
      </c>
      <c r="U866">
        <v>50</v>
      </c>
      <c r="V866">
        <v>50</v>
      </c>
      <c r="W866">
        <v>79.794808000000003</v>
      </c>
      <c r="X866">
        <v>50</v>
      </c>
      <c r="Y866">
        <v>50</v>
      </c>
      <c r="Z866">
        <v>75</v>
      </c>
      <c r="AA866">
        <v>72.568100999999999</v>
      </c>
      <c r="AB866">
        <v>48.378734000000001</v>
      </c>
      <c r="AC866">
        <v>50</v>
      </c>
      <c r="AD866">
        <v>80.936492000000001</v>
      </c>
      <c r="AE866">
        <v>50</v>
      </c>
      <c r="AF866">
        <v>50</v>
      </c>
      <c r="AG866" t="s">
        <v>125</v>
      </c>
      <c r="AH866">
        <v>75</v>
      </c>
      <c r="AI866" t="s">
        <v>125</v>
      </c>
      <c r="AJ866" t="s">
        <v>125</v>
      </c>
      <c r="AK866">
        <v>-0.37</v>
      </c>
      <c r="AL866">
        <v>2.4300000000000002</v>
      </c>
      <c r="AM866" t="s">
        <v>125</v>
      </c>
      <c r="AN866">
        <v>0.77567699999999995</v>
      </c>
      <c r="AO866">
        <v>77.567740000000001</v>
      </c>
      <c r="AP866">
        <v>100</v>
      </c>
      <c r="AQ866">
        <v>0.78809799999999997</v>
      </c>
      <c r="AR866">
        <v>78.809753000000001</v>
      </c>
      <c r="AS866">
        <v>100</v>
      </c>
      <c r="AT866">
        <v>0.77515500000000004</v>
      </c>
      <c r="AU866">
        <v>0.77585099999999996</v>
      </c>
      <c r="AV866">
        <v>77.515550000000005</v>
      </c>
      <c r="AW866">
        <v>100</v>
      </c>
      <c r="AX866">
        <v>0.66627499999999995</v>
      </c>
      <c r="AY866">
        <v>0.82870500000000002</v>
      </c>
      <c r="AZ866">
        <v>66.627526000000003</v>
      </c>
      <c r="BA866">
        <v>100</v>
      </c>
      <c r="BB866">
        <v>0.77856000000000003</v>
      </c>
      <c r="BC866">
        <v>38.927987000000002</v>
      </c>
      <c r="BD866">
        <v>50</v>
      </c>
      <c r="BE866">
        <v>0.50182199999999999</v>
      </c>
      <c r="BF866">
        <v>25.091087999999999</v>
      </c>
      <c r="BG866">
        <v>50</v>
      </c>
      <c r="BH866">
        <v>0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 t="s">
        <v>125</v>
      </c>
      <c r="BQ866">
        <v>1</v>
      </c>
      <c r="BR866">
        <v>4.3589999999999997E-2</v>
      </c>
      <c r="BS866">
        <v>50</v>
      </c>
      <c r="BT866">
        <v>50</v>
      </c>
      <c r="BU866">
        <v>5.7692E-2</v>
      </c>
      <c r="BV866">
        <v>48.461537999999997</v>
      </c>
      <c r="BW866">
        <v>50</v>
      </c>
      <c r="BX866" t="s">
        <v>125</v>
      </c>
      <c r="BY866" t="s">
        <v>125</v>
      </c>
      <c r="BZ866" t="s">
        <v>125</v>
      </c>
      <c r="CA866" t="s">
        <v>125</v>
      </c>
      <c r="CB866" t="s">
        <v>125</v>
      </c>
      <c r="CC866" t="s">
        <v>125</v>
      </c>
      <c r="CD866" t="s">
        <v>125</v>
      </c>
      <c r="CE866" t="s">
        <v>125</v>
      </c>
      <c r="CF866" t="s">
        <v>125</v>
      </c>
      <c r="CG866" t="s">
        <v>125</v>
      </c>
      <c r="CH866" t="s">
        <v>125</v>
      </c>
      <c r="CI866" t="s">
        <v>125</v>
      </c>
      <c r="CJ866" t="s">
        <v>125</v>
      </c>
      <c r="CK866" t="s">
        <v>125</v>
      </c>
      <c r="CL866" t="s">
        <v>125</v>
      </c>
      <c r="CM866" t="s">
        <v>125</v>
      </c>
      <c r="CN866" t="s">
        <v>125</v>
      </c>
      <c r="CO866" t="s">
        <v>125</v>
      </c>
      <c r="CP866" t="s">
        <v>125</v>
      </c>
      <c r="CQ866">
        <v>0.71666700000000005</v>
      </c>
      <c r="CR866">
        <v>1.034483</v>
      </c>
      <c r="CS866">
        <v>47.777777999999998</v>
      </c>
      <c r="CT866">
        <v>50</v>
      </c>
      <c r="CU866" t="s">
        <v>125</v>
      </c>
      <c r="CV866" t="s">
        <v>125</v>
      </c>
      <c r="CW866" t="s">
        <v>125</v>
      </c>
      <c r="CX866" t="s">
        <v>125</v>
      </c>
      <c r="CY866" t="s">
        <v>125</v>
      </c>
      <c r="CZ866" t="s">
        <v>125</v>
      </c>
      <c r="DA866">
        <v>15.314097</v>
      </c>
      <c r="DB866">
        <v>17.400950000000002</v>
      </c>
      <c r="DC866">
        <v>16.332519999999999</v>
      </c>
      <c r="DD866" t="s">
        <v>125</v>
      </c>
      <c r="DE866">
        <v>0</v>
      </c>
      <c r="DH866" t="s">
        <v>332</v>
      </c>
      <c r="DI866" t="s">
        <v>524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0</v>
      </c>
      <c r="DQ866" t="s">
        <v>126</v>
      </c>
    </row>
    <row r="867" spans="1:121" x14ac:dyDescent="0.15">
      <c r="A867">
        <v>2018</v>
      </c>
      <c r="B867" t="s">
        <v>258</v>
      </c>
      <c r="C867" t="str">
        <f t="shared" si="37"/>
        <v>1320011</v>
      </c>
      <c r="D867" t="s">
        <v>1019</v>
      </c>
      <c r="E867" t="str">
        <f>"1320211"</f>
        <v>1320211</v>
      </c>
      <c r="F867" t="s">
        <v>328</v>
      </c>
      <c r="G867" t="s">
        <v>339</v>
      </c>
      <c r="H867">
        <v>5</v>
      </c>
      <c r="I867" t="s">
        <v>330</v>
      </c>
      <c r="J867" t="s">
        <v>331</v>
      </c>
      <c r="K867">
        <v>754.35478499999999</v>
      </c>
      <c r="L867">
        <v>950</v>
      </c>
      <c r="M867">
        <v>79.405766999999997</v>
      </c>
      <c r="N867">
        <v>2</v>
      </c>
      <c r="O867">
        <v>0</v>
      </c>
      <c r="P867">
        <v>79.049576999999999</v>
      </c>
      <c r="Q867">
        <v>50</v>
      </c>
      <c r="R867">
        <v>50</v>
      </c>
      <c r="S867">
        <v>68.951645999999997</v>
      </c>
      <c r="T867">
        <v>75</v>
      </c>
      <c r="U867">
        <v>45.967764000000003</v>
      </c>
      <c r="V867">
        <v>50</v>
      </c>
      <c r="W867">
        <v>79.943369000000004</v>
      </c>
      <c r="X867">
        <v>50</v>
      </c>
      <c r="Y867">
        <v>50</v>
      </c>
      <c r="Z867">
        <v>75</v>
      </c>
      <c r="AA867">
        <v>69.527516000000006</v>
      </c>
      <c r="AB867">
        <v>46.351677000000002</v>
      </c>
      <c r="AC867">
        <v>50</v>
      </c>
      <c r="AD867">
        <v>78.357258000000002</v>
      </c>
      <c r="AE867">
        <v>50</v>
      </c>
      <c r="AF867">
        <v>50</v>
      </c>
      <c r="AG867">
        <v>70.943269999999998</v>
      </c>
      <c r="AH867">
        <v>75</v>
      </c>
      <c r="AI867">
        <v>47.295513999999997</v>
      </c>
      <c r="AJ867">
        <v>50</v>
      </c>
      <c r="AK867">
        <v>6.04</v>
      </c>
      <c r="AL867">
        <v>5.47</v>
      </c>
      <c r="AM867">
        <v>4.05</v>
      </c>
      <c r="AN867">
        <v>0.68152500000000005</v>
      </c>
      <c r="AO867">
        <v>68.152496999999997</v>
      </c>
      <c r="AP867">
        <v>100</v>
      </c>
      <c r="AQ867">
        <v>0.78969900000000004</v>
      </c>
      <c r="AR867">
        <v>78.969881000000001</v>
      </c>
      <c r="AS867">
        <v>100</v>
      </c>
      <c r="AT867">
        <v>0.54750600000000005</v>
      </c>
      <c r="AU867">
        <v>0.73307100000000003</v>
      </c>
      <c r="AV867">
        <v>54.750573000000003</v>
      </c>
      <c r="AW867">
        <v>100</v>
      </c>
      <c r="AX867">
        <v>0.71914900000000004</v>
      </c>
      <c r="AY867">
        <v>0.81683300000000003</v>
      </c>
      <c r="AZ867">
        <v>71.914895000000001</v>
      </c>
      <c r="BA867">
        <v>100</v>
      </c>
      <c r="BB867">
        <v>0.82566200000000001</v>
      </c>
      <c r="BC867">
        <v>41.283121000000001</v>
      </c>
      <c r="BD867">
        <v>50</v>
      </c>
      <c r="BE867">
        <v>0.66208500000000003</v>
      </c>
      <c r="BF867">
        <v>33.104264000000001</v>
      </c>
      <c r="BG867">
        <v>50</v>
      </c>
      <c r="BH867">
        <v>0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5.6260999999999999E-2</v>
      </c>
      <c r="BS867">
        <v>48.747731000000002</v>
      </c>
      <c r="BT867">
        <v>50</v>
      </c>
      <c r="BU867">
        <v>8.0213999999999994E-2</v>
      </c>
      <c r="BV867">
        <v>43.957219000000002</v>
      </c>
      <c r="BW867">
        <v>50</v>
      </c>
      <c r="BX867" t="s">
        <v>125</v>
      </c>
      <c r="BY867" t="s">
        <v>125</v>
      </c>
      <c r="BZ867" t="s">
        <v>125</v>
      </c>
      <c r="CA867" t="s">
        <v>125</v>
      </c>
      <c r="CB867" t="s">
        <v>125</v>
      </c>
      <c r="CC867" t="s">
        <v>125</v>
      </c>
      <c r="CD867" t="s">
        <v>125</v>
      </c>
      <c r="CE867" t="s">
        <v>125</v>
      </c>
      <c r="CF867" t="s">
        <v>125</v>
      </c>
      <c r="CG867" t="s">
        <v>125</v>
      </c>
      <c r="CH867" t="s">
        <v>125</v>
      </c>
      <c r="CI867" t="s">
        <v>125</v>
      </c>
      <c r="CJ867" t="s">
        <v>125</v>
      </c>
      <c r="CK867" t="s">
        <v>125</v>
      </c>
      <c r="CL867" t="s">
        <v>125</v>
      </c>
      <c r="CM867" t="s">
        <v>125</v>
      </c>
      <c r="CN867" t="s">
        <v>125</v>
      </c>
      <c r="CO867" t="s">
        <v>125</v>
      </c>
      <c r="CP867" t="s">
        <v>125</v>
      </c>
      <c r="CQ867">
        <v>0.35789500000000002</v>
      </c>
      <c r="CR867">
        <v>0.97938099999999995</v>
      </c>
      <c r="CS867">
        <v>23.859649000000001</v>
      </c>
      <c r="CT867">
        <v>50</v>
      </c>
      <c r="CU867" t="s">
        <v>125</v>
      </c>
      <c r="CV867" t="s">
        <v>125</v>
      </c>
      <c r="CW867" t="s">
        <v>125</v>
      </c>
      <c r="CX867" t="s">
        <v>125</v>
      </c>
      <c r="CY867" t="s">
        <v>125</v>
      </c>
      <c r="CZ867" t="s">
        <v>125</v>
      </c>
      <c r="DA867">
        <v>15.314097</v>
      </c>
      <c r="DB867">
        <v>17.400950000000002</v>
      </c>
      <c r="DC867">
        <v>16.332519999999999</v>
      </c>
      <c r="DD867" t="s">
        <v>125</v>
      </c>
      <c r="DE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Q867" t="s">
        <v>126</v>
      </c>
    </row>
    <row r="868" spans="1:121" x14ac:dyDescent="0.15">
      <c r="A868">
        <v>2018</v>
      </c>
      <c r="B868" t="s">
        <v>258</v>
      </c>
      <c r="C868" t="str">
        <f t="shared" si="37"/>
        <v>1320011</v>
      </c>
      <c r="D868" t="s">
        <v>1020</v>
      </c>
      <c r="E868" t="str">
        <f>"1326211"</f>
        <v>1326211</v>
      </c>
      <c r="F868" t="s">
        <v>328</v>
      </c>
      <c r="G868">
        <v>9</v>
      </c>
      <c r="H868">
        <v>12</v>
      </c>
      <c r="J868" t="s">
        <v>331</v>
      </c>
      <c r="K868">
        <v>1235.491166</v>
      </c>
      <c r="L868">
        <v>1450</v>
      </c>
      <c r="M868">
        <v>85.206287000000003</v>
      </c>
      <c r="N868">
        <v>2</v>
      </c>
      <c r="O868">
        <v>1</v>
      </c>
      <c r="P868">
        <v>65.828425999999993</v>
      </c>
      <c r="Q868">
        <v>131.65685199999999</v>
      </c>
      <c r="R868">
        <v>150</v>
      </c>
      <c r="S868">
        <v>51.006943999999997</v>
      </c>
      <c r="T868">
        <v>71.524017000000001</v>
      </c>
      <c r="U868">
        <v>102.01388900000001</v>
      </c>
      <c r="V868">
        <v>150</v>
      </c>
      <c r="W868">
        <v>65.172976000000006</v>
      </c>
      <c r="X868">
        <v>130.34595200000001</v>
      </c>
      <c r="Y868">
        <v>150</v>
      </c>
      <c r="Z868">
        <v>70.635371000000006</v>
      </c>
      <c r="AA868">
        <v>50.958333000000003</v>
      </c>
      <c r="AB868">
        <v>101.916667</v>
      </c>
      <c r="AC868">
        <v>150</v>
      </c>
      <c r="AD868">
        <v>67.235737</v>
      </c>
      <c r="AE868">
        <v>89.647649999999999</v>
      </c>
      <c r="AF868">
        <v>100</v>
      </c>
      <c r="AG868">
        <v>51.897435999999999</v>
      </c>
      <c r="AH868">
        <v>73.330870000000004</v>
      </c>
      <c r="AI868">
        <v>69.196580999999995</v>
      </c>
      <c r="AJ868">
        <v>100</v>
      </c>
      <c r="AK868">
        <v>20.51</v>
      </c>
      <c r="AL868">
        <v>19.670000000000002</v>
      </c>
      <c r="AM868">
        <v>21.43</v>
      </c>
      <c r="AN868" t="s">
        <v>125</v>
      </c>
      <c r="AO868" t="s">
        <v>125</v>
      </c>
      <c r="AP868" t="s">
        <v>125</v>
      </c>
      <c r="AQ868" t="s">
        <v>125</v>
      </c>
      <c r="AR868" t="s">
        <v>125</v>
      </c>
      <c r="AS868" t="s">
        <v>125</v>
      </c>
      <c r="AT868" t="s">
        <v>125</v>
      </c>
      <c r="AU868" t="s">
        <v>125</v>
      </c>
      <c r="AV868" t="s">
        <v>125</v>
      </c>
      <c r="AW868" t="s">
        <v>125</v>
      </c>
      <c r="AX868" t="s">
        <v>125</v>
      </c>
      <c r="AY868" t="s">
        <v>125</v>
      </c>
      <c r="AZ868" t="s">
        <v>125</v>
      </c>
      <c r="BA868" t="s">
        <v>125</v>
      </c>
      <c r="BB868" t="s">
        <v>125</v>
      </c>
      <c r="BC868" t="s">
        <v>125</v>
      </c>
      <c r="BD868" t="s">
        <v>125</v>
      </c>
      <c r="BE868" t="s">
        <v>125</v>
      </c>
      <c r="BF868" t="s">
        <v>125</v>
      </c>
      <c r="BG868" t="s">
        <v>125</v>
      </c>
      <c r="BH868">
        <v>0</v>
      </c>
      <c r="BI868">
        <v>0.99068299999999998</v>
      </c>
      <c r="BJ868">
        <v>0.97826100000000005</v>
      </c>
      <c r="BK868">
        <v>0.99565199999999998</v>
      </c>
      <c r="BL868">
        <v>0.99068299999999998</v>
      </c>
      <c r="BM868">
        <v>0.97826100000000005</v>
      </c>
      <c r="BN868">
        <v>0.99565199999999998</v>
      </c>
      <c r="BO868">
        <v>0.99382700000000002</v>
      </c>
      <c r="BP868">
        <v>1</v>
      </c>
      <c r="BQ868">
        <v>0.99134199999999995</v>
      </c>
      <c r="BR868">
        <v>5.0592999999999999E-2</v>
      </c>
      <c r="BS868">
        <v>49.881422999999998</v>
      </c>
      <c r="BT868">
        <v>50</v>
      </c>
      <c r="BU868">
        <v>0.10705000000000001</v>
      </c>
      <c r="BV868">
        <v>38.590077999999998</v>
      </c>
      <c r="BW868">
        <v>50</v>
      </c>
      <c r="BX868">
        <v>0.93260200000000004</v>
      </c>
      <c r="BY868">
        <v>50</v>
      </c>
      <c r="BZ868">
        <v>50</v>
      </c>
      <c r="CA868">
        <v>0.60658299999999998</v>
      </c>
      <c r="CB868">
        <v>40.438870999999999</v>
      </c>
      <c r="CC868">
        <v>50</v>
      </c>
      <c r="CD868">
        <v>0.97819299999999998</v>
      </c>
      <c r="CE868">
        <v>50</v>
      </c>
      <c r="CF868">
        <v>50</v>
      </c>
      <c r="CG868">
        <v>0.96716400000000002</v>
      </c>
      <c r="CH868">
        <v>100</v>
      </c>
      <c r="CI868">
        <v>100</v>
      </c>
      <c r="CJ868">
        <v>0</v>
      </c>
      <c r="CK868">
        <v>0.87692300000000001</v>
      </c>
      <c r="CL868">
        <v>93.289688999999996</v>
      </c>
      <c r="CM868">
        <v>100</v>
      </c>
      <c r="CN868">
        <v>0.860182</v>
      </c>
      <c r="CO868">
        <v>100</v>
      </c>
      <c r="CP868">
        <v>100</v>
      </c>
      <c r="CQ868">
        <v>0.57770299999999997</v>
      </c>
      <c r="CR868">
        <v>0.95176799999999995</v>
      </c>
      <c r="CS868">
        <v>38.513514000000001</v>
      </c>
      <c r="CT868">
        <v>50</v>
      </c>
      <c r="CU868">
        <v>0.633992</v>
      </c>
      <c r="CV868">
        <v>50</v>
      </c>
      <c r="CW868">
        <v>50</v>
      </c>
      <c r="CX868">
        <v>0.87692300000000001</v>
      </c>
      <c r="CY868">
        <v>0.94</v>
      </c>
      <c r="CZ868">
        <v>6.3076999999999994E-2</v>
      </c>
      <c r="DA868">
        <v>15.314097</v>
      </c>
      <c r="DB868">
        <v>17.400950000000002</v>
      </c>
      <c r="DC868">
        <v>16.332519999999999</v>
      </c>
      <c r="DD868">
        <v>7.9891730000000001</v>
      </c>
      <c r="DE868">
        <v>1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Q868" t="s">
        <v>126</v>
      </c>
    </row>
    <row r="869" spans="1:121" x14ac:dyDescent="0.15">
      <c r="A869">
        <v>2018</v>
      </c>
      <c r="B869" t="s">
        <v>258</v>
      </c>
      <c r="C869" t="str">
        <f t="shared" si="37"/>
        <v>1320011</v>
      </c>
      <c r="D869" t="s">
        <v>1021</v>
      </c>
      <c r="E869" t="str">
        <f>"1325111"</f>
        <v>1325111</v>
      </c>
      <c r="F869" t="s">
        <v>328</v>
      </c>
      <c r="G869">
        <v>6</v>
      </c>
      <c r="H869">
        <v>8</v>
      </c>
      <c r="J869" t="s">
        <v>331</v>
      </c>
      <c r="K869">
        <v>692.602125</v>
      </c>
      <c r="L869">
        <v>900</v>
      </c>
      <c r="M869">
        <v>76.955792000000002</v>
      </c>
      <c r="N869">
        <v>3</v>
      </c>
      <c r="O869">
        <v>1</v>
      </c>
      <c r="P869">
        <v>76.683665000000005</v>
      </c>
      <c r="Q869">
        <v>50</v>
      </c>
      <c r="R869">
        <v>50</v>
      </c>
      <c r="S869">
        <v>62.865828999999998</v>
      </c>
      <c r="T869">
        <v>75</v>
      </c>
      <c r="U869">
        <v>41.910553</v>
      </c>
      <c r="V869">
        <v>50</v>
      </c>
      <c r="W869">
        <v>74.900878000000006</v>
      </c>
      <c r="X869">
        <v>49.933919000000003</v>
      </c>
      <c r="Y869">
        <v>50</v>
      </c>
      <c r="Z869">
        <v>75</v>
      </c>
      <c r="AA869">
        <v>60.415165000000002</v>
      </c>
      <c r="AB869">
        <v>40.276777000000003</v>
      </c>
      <c r="AC869">
        <v>50</v>
      </c>
      <c r="AD869">
        <v>70.550267000000005</v>
      </c>
      <c r="AE869">
        <v>47.033512000000002</v>
      </c>
      <c r="AF869">
        <v>50</v>
      </c>
      <c r="AG869">
        <v>58.077621000000001</v>
      </c>
      <c r="AH869">
        <v>75</v>
      </c>
      <c r="AI869">
        <v>38.718414000000003</v>
      </c>
      <c r="AJ869">
        <v>50</v>
      </c>
      <c r="AK869">
        <v>12.13</v>
      </c>
      <c r="AL869">
        <v>14.58</v>
      </c>
      <c r="AM869">
        <v>16.920000000000002</v>
      </c>
      <c r="AN869">
        <v>0.56778799999999996</v>
      </c>
      <c r="AO869">
        <v>56.778810999999997</v>
      </c>
      <c r="AP869">
        <v>100</v>
      </c>
      <c r="AQ869">
        <v>0.66953799999999997</v>
      </c>
      <c r="AR869">
        <v>66.953844000000004</v>
      </c>
      <c r="AS869">
        <v>100</v>
      </c>
      <c r="AT869">
        <v>0.49524499999999999</v>
      </c>
      <c r="AU869">
        <v>0.59099800000000002</v>
      </c>
      <c r="AV869">
        <v>49.524458000000003</v>
      </c>
      <c r="AW869">
        <v>100</v>
      </c>
      <c r="AX869">
        <v>0.54247100000000004</v>
      </c>
      <c r="AY869">
        <v>0.71001000000000003</v>
      </c>
      <c r="AZ869">
        <v>54.247101999999998</v>
      </c>
      <c r="BA869">
        <v>100</v>
      </c>
      <c r="BB869" t="s">
        <v>125</v>
      </c>
      <c r="BC869" t="s">
        <v>125</v>
      </c>
      <c r="BD869" t="s">
        <v>125</v>
      </c>
      <c r="BE869" t="s">
        <v>125</v>
      </c>
      <c r="BF869" t="s">
        <v>125</v>
      </c>
      <c r="BG869" t="s">
        <v>125</v>
      </c>
      <c r="BH869">
        <v>0</v>
      </c>
      <c r="BI869">
        <v>0.98388699999999996</v>
      </c>
      <c r="BJ869">
        <v>0.972028</v>
      </c>
      <c r="BK869">
        <v>0.98868500000000004</v>
      </c>
      <c r="BL869">
        <v>0.98287999999999998</v>
      </c>
      <c r="BM869">
        <v>0.96853100000000003</v>
      </c>
      <c r="BN869">
        <v>0.98868500000000004</v>
      </c>
      <c r="BO869">
        <v>0.98295500000000002</v>
      </c>
      <c r="BP869">
        <v>0.96078399999999997</v>
      </c>
      <c r="BQ869">
        <v>0.99199999999999999</v>
      </c>
      <c r="BR869">
        <v>3.4308999999999999E-2</v>
      </c>
      <c r="BS869">
        <v>50</v>
      </c>
      <c r="BT869">
        <v>50</v>
      </c>
      <c r="BU869">
        <v>6.2744999999999995E-2</v>
      </c>
      <c r="BV869">
        <v>47.450980000000001</v>
      </c>
      <c r="BW869">
        <v>50</v>
      </c>
      <c r="BX869" t="s">
        <v>125</v>
      </c>
      <c r="BY869" t="s">
        <v>125</v>
      </c>
      <c r="BZ869" t="s">
        <v>125</v>
      </c>
      <c r="CA869" t="s">
        <v>125</v>
      </c>
      <c r="CB869" t="s">
        <v>125</v>
      </c>
      <c r="CC869" t="s">
        <v>125</v>
      </c>
      <c r="CD869">
        <v>0.98692800000000003</v>
      </c>
      <c r="CE869">
        <v>50</v>
      </c>
      <c r="CF869">
        <v>50</v>
      </c>
      <c r="CG869" t="s">
        <v>125</v>
      </c>
      <c r="CH869" t="s">
        <v>125</v>
      </c>
      <c r="CI869" t="s">
        <v>125</v>
      </c>
      <c r="CJ869" t="s">
        <v>125</v>
      </c>
      <c r="CK869" t="s">
        <v>125</v>
      </c>
      <c r="CL869" t="s">
        <v>125</v>
      </c>
      <c r="CM869" t="s">
        <v>125</v>
      </c>
      <c r="CN869" t="s">
        <v>125</v>
      </c>
      <c r="CO869" t="s">
        <v>125</v>
      </c>
      <c r="CP869" t="s">
        <v>125</v>
      </c>
      <c r="CQ869">
        <v>0.74660599999999999</v>
      </c>
      <c r="CR869">
        <v>0.98514100000000004</v>
      </c>
      <c r="CS869">
        <v>49.773755999999999</v>
      </c>
      <c r="CT869">
        <v>50</v>
      </c>
      <c r="CU869" t="s">
        <v>125</v>
      </c>
      <c r="CV869" t="s">
        <v>125</v>
      </c>
      <c r="CW869" t="s">
        <v>125</v>
      </c>
      <c r="CX869" t="s">
        <v>125</v>
      </c>
      <c r="CY869" t="s">
        <v>125</v>
      </c>
      <c r="CZ869" t="s">
        <v>125</v>
      </c>
      <c r="DA869">
        <v>15.314097</v>
      </c>
      <c r="DB869">
        <v>17.400950000000002</v>
      </c>
      <c r="DC869">
        <v>16.332519999999999</v>
      </c>
      <c r="DD869" t="s">
        <v>125</v>
      </c>
      <c r="DE869">
        <v>1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Q869" t="s">
        <v>126</v>
      </c>
    </row>
    <row r="870" spans="1:121" x14ac:dyDescent="0.15">
      <c r="A870">
        <v>2018</v>
      </c>
      <c r="B870" t="s">
        <v>259</v>
      </c>
      <c r="C870" t="str">
        <f>"1330011"</f>
        <v>1330011</v>
      </c>
      <c r="D870" t="s">
        <v>1022</v>
      </c>
      <c r="E870" t="str">
        <f>"1330111"</f>
        <v>1330111</v>
      </c>
      <c r="F870" t="s">
        <v>328</v>
      </c>
      <c r="G870" t="s">
        <v>329</v>
      </c>
      <c r="H870">
        <v>8</v>
      </c>
      <c r="I870" t="s">
        <v>330</v>
      </c>
      <c r="J870" t="s">
        <v>331</v>
      </c>
      <c r="K870">
        <v>518.003061</v>
      </c>
      <c r="L870">
        <v>900</v>
      </c>
      <c r="M870">
        <v>57.555895999999997</v>
      </c>
      <c r="N870">
        <v>3</v>
      </c>
      <c r="O870">
        <v>0</v>
      </c>
      <c r="P870">
        <v>61.669198999999999</v>
      </c>
      <c r="Q870">
        <v>41.1128</v>
      </c>
      <c r="R870">
        <v>50</v>
      </c>
      <c r="S870">
        <v>58.029336999999998</v>
      </c>
      <c r="T870">
        <v>68.517076000000003</v>
      </c>
      <c r="U870">
        <v>38.686225</v>
      </c>
      <c r="V870">
        <v>50</v>
      </c>
      <c r="W870">
        <v>54.214292999999998</v>
      </c>
      <c r="X870">
        <v>36.142862000000001</v>
      </c>
      <c r="Y870">
        <v>50</v>
      </c>
      <c r="Z870">
        <v>62.308976999999999</v>
      </c>
      <c r="AA870">
        <v>49.911712999999999</v>
      </c>
      <c r="AB870">
        <v>33.274476</v>
      </c>
      <c r="AC870">
        <v>50</v>
      </c>
      <c r="AD870">
        <v>66.044145</v>
      </c>
      <c r="AE870">
        <v>44.029429999999998</v>
      </c>
      <c r="AF870">
        <v>50</v>
      </c>
      <c r="AG870">
        <v>64.660375000000002</v>
      </c>
      <c r="AH870">
        <v>68.188987999999995</v>
      </c>
      <c r="AI870">
        <v>43.106917000000003</v>
      </c>
      <c r="AJ870">
        <v>50</v>
      </c>
      <c r="AK870">
        <v>10.48</v>
      </c>
      <c r="AL870">
        <v>12.39</v>
      </c>
      <c r="AM870">
        <v>3.52</v>
      </c>
      <c r="AN870">
        <v>0.41884700000000002</v>
      </c>
      <c r="AO870">
        <v>41.884726000000001</v>
      </c>
      <c r="AP870">
        <v>100</v>
      </c>
      <c r="AQ870">
        <v>0.29355500000000001</v>
      </c>
      <c r="AR870">
        <v>29.355526000000001</v>
      </c>
      <c r="AS870">
        <v>100</v>
      </c>
      <c r="AT870">
        <v>0.37435400000000002</v>
      </c>
      <c r="AU870">
        <v>0.49649199999999999</v>
      </c>
      <c r="AV870">
        <v>37.435415999999996</v>
      </c>
      <c r="AW870">
        <v>100</v>
      </c>
      <c r="AX870">
        <v>0.26873399999999997</v>
      </c>
      <c r="AY870">
        <v>0.33687099999999998</v>
      </c>
      <c r="AZ870">
        <v>26.873369</v>
      </c>
      <c r="BA870">
        <v>100</v>
      </c>
      <c r="BB870" t="s">
        <v>125</v>
      </c>
      <c r="BC870" t="s">
        <v>125</v>
      </c>
      <c r="BD870" t="s">
        <v>125</v>
      </c>
      <c r="BE870" t="s">
        <v>125</v>
      </c>
      <c r="BF870" t="s">
        <v>125</v>
      </c>
      <c r="BG870" t="s">
        <v>125</v>
      </c>
      <c r="BH870">
        <v>0</v>
      </c>
      <c r="BI870">
        <v>0.994475</v>
      </c>
      <c r="BJ870">
        <v>0.99152499999999999</v>
      </c>
      <c r="BK870">
        <v>1</v>
      </c>
      <c r="BL870">
        <v>0.994475</v>
      </c>
      <c r="BM870">
        <v>0.99152499999999999</v>
      </c>
      <c r="BN870">
        <v>1</v>
      </c>
      <c r="BO870">
        <v>0.981132</v>
      </c>
      <c r="BP870">
        <v>0.96969700000000003</v>
      </c>
      <c r="BQ870">
        <v>1</v>
      </c>
      <c r="BR870">
        <v>0.11236</v>
      </c>
      <c r="BS870">
        <v>37.528089999999999</v>
      </c>
      <c r="BT870">
        <v>50</v>
      </c>
      <c r="BU870">
        <v>0.16</v>
      </c>
      <c r="BV870">
        <v>28</v>
      </c>
      <c r="BW870">
        <v>50</v>
      </c>
      <c r="BX870" t="s">
        <v>125</v>
      </c>
      <c r="BY870" t="s">
        <v>125</v>
      </c>
      <c r="BZ870" t="s">
        <v>125</v>
      </c>
      <c r="CA870" t="s">
        <v>125</v>
      </c>
      <c r="CB870" t="s">
        <v>125</v>
      </c>
      <c r="CC870" t="s">
        <v>125</v>
      </c>
      <c r="CD870">
        <v>0.93333299999999997</v>
      </c>
      <c r="CE870">
        <v>49.645389999999999</v>
      </c>
      <c r="CF870">
        <v>50</v>
      </c>
      <c r="CG870" t="s">
        <v>125</v>
      </c>
      <c r="CH870" t="s">
        <v>125</v>
      </c>
      <c r="CI870" t="s">
        <v>125</v>
      </c>
      <c r="CJ870" t="s">
        <v>125</v>
      </c>
      <c r="CK870" t="s">
        <v>125</v>
      </c>
      <c r="CL870" t="s">
        <v>125</v>
      </c>
      <c r="CM870" t="s">
        <v>125</v>
      </c>
      <c r="CN870" t="s">
        <v>125</v>
      </c>
      <c r="CO870" t="s">
        <v>125</v>
      </c>
      <c r="CP870" t="s">
        <v>125</v>
      </c>
      <c r="CQ870">
        <v>0.463918</v>
      </c>
      <c r="CR870">
        <v>1.021053</v>
      </c>
      <c r="CS870">
        <v>30.927835000000002</v>
      </c>
      <c r="CT870">
        <v>50</v>
      </c>
      <c r="CU870" t="s">
        <v>125</v>
      </c>
      <c r="CV870" t="s">
        <v>125</v>
      </c>
      <c r="CW870" t="s">
        <v>125</v>
      </c>
      <c r="CX870" t="s">
        <v>125</v>
      </c>
      <c r="CY870" t="s">
        <v>125</v>
      </c>
      <c r="CZ870" t="s">
        <v>125</v>
      </c>
      <c r="DA870">
        <v>15.314097</v>
      </c>
      <c r="DB870">
        <v>17.400950000000002</v>
      </c>
      <c r="DC870">
        <v>16.332519999999999</v>
      </c>
      <c r="DD870" t="s">
        <v>125</v>
      </c>
      <c r="DE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Q870" t="s">
        <v>126</v>
      </c>
    </row>
    <row r="871" spans="1:121" x14ac:dyDescent="0.15">
      <c r="A871">
        <v>2018</v>
      </c>
      <c r="B871" t="s">
        <v>260</v>
      </c>
      <c r="C871" t="str">
        <f>"1340011"</f>
        <v>1340011</v>
      </c>
      <c r="D871" t="s">
        <v>1023</v>
      </c>
      <c r="E871" t="str">
        <f>"1340611"</f>
        <v>1340611</v>
      </c>
      <c r="F871" t="s">
        <v>328</v>
      </c>
      <c r="G871">
        <v>2</v>
      </c>
      <c r="H871">
        <v>5</v>
      </c>
      <c r="I871" t="s">
        <v>336</v>
      </c>
      <c r="J871" t="s">
        <v>331</v>
      </c>
      <c r="K871">
        <v>605.14460399999996</v>
      </c>
      <c r="L871">
        <v>850</v>
      </c>
      <c r="M871">
        <v>71.193483000000001</v>
      </c>
      <c r="N871">
        <v>2</v>
      </c>
      <c r="O871">
        <v>0</v>
      </c>
      <c r="P871">
        <v>70.697141999999999</v>
      </c>
      <c r="Q871">
        <v>47.131428</v>
      </c>
      <c r="R871">
        <v>50</v>
      </c>
      <c r="S871">
        <v>65.803548000000006</v>
      </c>
      <c r="T871">
        <v>75</v>
      </c>
      <c r="U871">
        <v>43.869031999999997</v>
      </c>
      <c r="V871">
        <v>50</v>
      </c>
      <c r="W871">
        <v>66.288943000000003</v>
      </c>
      <c r="X871">
        <v>44.192628999999997</v>
      </c>
      <c r="Y871">
        <v>50</v>
      </c>
      <c r="Z871">
        <v>71.476524999999995</v>
      </c>
      <c r="AA871">
        <v>61.252163000000003</v>
      </c>
      <c r="AB871">
        <v>40.834775</v>
      </c>
      <c r="AC871">
        <v>50</v>
      </c>
      <c r="AD871">
        <v>65.690946999999994</v>
      </c>
      <c r="AE871">
        <v>43.793965</v>
      </c>
      <c r="AF871">
        <v>50</v>
      </c>
      <c r="AG871">
        <v>60.322581</v>
      </c>
      <c r="AH871">
        <v>69.318220999999994</v>
      </c>
      <c r="AI871">
        <v>40.215054000000002</v>
      </c>
      <c r="AJ871">
        <v>50</v>
      </c>
      <c r="AK871">
        <v>9.19</v>
      </c>
      <c r="AL871">
        <v>10.220000000000001</v>
      </c>
      <c r="AM871">
        <v>8.99</v>
      </c>
      <c r="AN871">
        <v>0.60650700000000002</v>
      </c>
      <c r="AO871">
        <v>60.650661999999997</v>
      </c>
      <c r="AP871">
        <v>100</v>
      </c>
      <c r="AQ871">
        <v>0.65690599999999999</v>
      </c>
      <c r="AR871">
        <v>65.690600000000003</v>
      </c>
      <c r="AS871">
        <v>100</v>
      </c>
      <c r="AT871">
        <v>0.51725299999999996</v>
      </c>
      <c r="AU871">
        <v>0.69352800000000003</v>
      </c>
      <c r="AV871">
        <v>51.725341999999998</v>
      </c>
      <c r="AW871">
        <v>100</v>
      </c>
      <c r="AX871">
        <v>0.62430300000000005</v>
      </c>
      <c r="AY871">
        <v>0.68869400000000003</v>
      </c>
      <c r="AZ871">
        <v>62.430266000000003</v>
      </c>
      <c r="BA871">
        <v>100</v>
      </c>
      <c r="BB871" t="s">
        <v>125</v>
      </c>
      <c r="BC871" t="s">
        <v>125</v>
      </c>
      <c r="BD871" t="s">
        <v>125</v>
      </c>
      <c r="BE871" t="s">
        <v>125</v>
      </c>
      <c r="BF871" t="s">
        <v>125</v>
      </c>
      <c r="BG871" t="s">
        <v>125</v>
      </c>
      <c r="BH871">
        <v>0</v>
      </c>
      <c r="BI871">
        <v>0.98866900000000002</v>
      </c>
      <c r="BJ871">
        <v>0.97814199999999996</v>
      </c>
      <c r="BK871">
        <v>1</v>
      </c>
      <c r="BL871">
        <v>0.98866900000000002</v>
      </c>
      <c r="BM871">
        <v>0.97814199999999996</v>
      </c>
      <c r="BN871">
        <v>1</v>
      </c>
      <c r="BO871">
        <v>0.99224800000000002</v>
      </c>
      <c r="BP871">
        <v>0.981132</v>
      </c>
      <c r="BQ871">
        <v>1</v>
      </c>
      <c r="BR871">
        <v>6.3319E-2</v>
      </c>
      <c r="BS871">
        <v>47.336244999999998</v>
      </c>
      <c r="BT871">
        <v>50</v>
      </c>
      <c r="BU871">
        <v>0.10080600000000001</v>
      </c>
      <c r="BV871">
        <v>39.838709999999999</v>
      </c>
      <c r="BW871">
        <v>50</v>
      </c>
      <c r="BX871" t="s">
        <v>125</v>
      </c>
      <c r="BY871" t="s">
        <v>125</v>
      </c>
      <c r="BZ871" t="s">
        <v>125</v>
      </c>
      <c r="CA871" t="s">
        <v>125</v>
      </c>
      <c r="CB871" t="s">
        <v>125</v>
      </c>
      <c r="CC871" t="s">
        <v>125</v>
      </c>
      <c r="CD871" t="s">
        <v>125</v>
      </c>
      <c r="CE871" t="s">
        <v>125</v>
      </c>
      <c r="CF871" t="s">
        <v>125</v>
      </c>
      <c r="CG871" t="s">
        <v>125</v>
      </c>
      <c r="CH871" t="s">
        <v>125</v>
      </c>
      <c r="CI871" t="s">
        <v>125</v>
      </c>
      <c r="CJ871" t="s">
        <v>125</v>
      </c>
      <c r="CK871" t="s">
        <v>125</v>
      </c>
      <c r="CL871" t="s">
        <v>125</v>
      </c>
      <c r="CM871" t="s">
        <v>125</v>
      </c>
      <c r="CN871" t="s">
        <v>125</v>
      </c>
      <c r="CO871" t="s">
        <v>125</v>
      </c>
      <c r="CP871" t="s">
        <v>125</v>
      </c>
      <c r="CQ871">
        <v>0.26153799999999999</v>
      </c>
      <c r="CR871">
        <v>1.015625</v>
      </c>
      <c r="CS871">
        <v>17.435897000000001</v>
      </c>
      <c r="CT871">
        <v>50</v>
      </c>
      <c r="CU871" t="s">
        <v>125</v>
      </c>
      <c r="CV871" t="s">
        <v>125</v>
      </c>
      <c r="CW871" t="s">
        <v>125</v>
      </c>
      <c r="CX871" t="s">
        <v>125</v>
      </c>
      <c r="CY871" t="s">
        <v>125</v>
      </c>
      <c r="CZ871" t="s">
        <v>125</v>
      </c>
      <c r="DA871">
        <v>15.314097</v>
      </c>
      <c r="DB871">
        <v>17.400950000000002</v>
      </c>
      <c r="DC871">
        <v>16.332519999999999</v>
      </c>
      <c r="DD871" t="s">
        <v>125</v>
      </c>
      <c r="DE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Q871" t="s">
        <v>126</v>
      </c>
    </row>
    <row r="872" spans="1:121" x14ac:dyDescent="0.15">
      <c r="A872">
        <v>2018</v>
      </c>
      <c r="B872" t="s">
        <v>260</v>
      </c>
      <c r="C872" t="str">
        <f>"1340011"</f>
        <v>1340011</v>
      </c>
      <c r="D872" t="s">
        <v>1024</v>
      </c>
      <c r="E872" t="str">
        <f>"1346111"</f>
        <v>1346111</v>
      </c>
      <c r="F872" t="s">
        <v>328</v>
      </c>
      <c r="G872">
        <v>9</v>
      </c>
      <c r="H872">
        <v>12</v>
      </c>
      <c r="I872" t="s">
        <v>336</v>
      </c>
      <c r="J872" t="s">
        <v>331</v>
      </c>
      <c r="K872">
        <v>1127.0742419999999</v>
      </c>
      <c r="L872">
        <v>1450</v>
      </c>
      <c r="M872">
        <v>77.729258000000002</v>
      </c>
      <c r="N872">
        <v>3</v>
      </c>
      <c r="O872">
        <v>1</v>
      </c>
      <c r="P872">
        <v>59.207017999999998</v>
      </c>
      <c r="Q872">
        <v>118.414035</v>
      </c>
      <c r="R872">
        <v>150</v>
      </c>
      <c r="S872">
        <v>50.704762000000002</v>
      </c>
      <c r="T872">
        <v>64.166667000000004</v>
      </c>
      <c r="U872">
        <v>101.409524</v>
      </c>
      <c r="V872">
        <v>150</v>
      </c>
      <c r="W872">
        <v>56.814034999999997</v>
      </c>
      <c r="X872">
        <v>113.62806999999999</v>
      </c>
      <c r="Y872">
        <v>150</v>
      </c>
      <c r="Z872">
        <v>62.761111</v>
      </c>
      <c r="AA872">
        <v>46.619047999999999</v>
      </c>
      <c r="AB872">
        <v>93.238095000000001</v>
      </c>
      <c r="AC872">
        <v>150</v>
      </c>
      <c r="AD872">
        <v>64.154663999999997</v>
      </c>
      <c r="AE872">
        <v>85.539552999999998</v>
      </c>
      <c r="AF872">
        <v>100</v>
      </c>
      <c r="AG872">
        <v>51.661123000000003</v>
      </c>
      <c r="AH872">
        <v>72.264506999999995</v>
      </c>
      <c r="AI872">
        <v>68.881496999999996</v>
      </c>
      <c r="AJ872">
        <v>100</v>
      </c>
      <c r="AK872">
        <v>13.46</v>
      </c>
      <c r="AL872">
        <v>16.14</v>
      </c>
      <c r="AM872">
        <v>20.6</v>
      </c>
      <c r="AN872" t="s">
        <v>125</v>
      </c>
      <c r="AO872" t="s">
        <v>125</v>
      </c>
      <c r="AP872" t="s">
        <v>125</v>
      </c>
      <c r="AQ872" t="s">
        <v>125</v>
      </c>
      <c r="AR872" t="s">
        <v>125</v>
      </c>
      <c r="AS872" t="s">
        <v>125</v>
      </c>
      <c r="AT872" t="s">
        <v>125</v>
      </c>
      <c r="AU872" t="s">
        <v>125</v>
      </c>
      <c r="AV872" t="s">
        <v>125</v>
      </c>
      <c r="AW872" t="s">
        <v>125</v>
      </c>
      <c r="AX872" t="s">
        <v>125</v>
      </c>
      <c r="AY872" t="s">
        <v>125</v>
      </c>
      <c r="AZ872" t="s">
        <v>125</v>
      </c>
      <c r="BA872" t="s">
        <v>125</v>
      </c>
      <c r="BB872" t="s">
        <v>125</v>
      </c>
      <c r="BC872" t="s">
        <v>125</v>
      </c>
      <c r="BD872" t="s">
        <v>125</v>
      </c>
      <c r="BE872" t="s">
        <v>125</v>
      </c>
      <c r="BF872" t="s">
        <v>125</v>
      </c>
      <c r="BG872" t="s">
        <v>125</v>
      </c>
      <c r="BH872">
        <v>1</v>
      </c>
      <c r="BI872">
        <v>0.97938099999999995</v>
      </c>
      <c r="BJ872">
        <v>0.94594599999999995</v>
      </c>
      <c r="BK872">
        <v>1</v>
      </c>
      <c r="BL872">
        <v>0.97938099999999995</v>
      </c>
      <c r="BM872">
        <v>0.94594599999999995</v>
      </c>
      <c r="BN872">
        <v>1</v>
      </c>
      <c r="BO872">
        <v>0.96907200000000004</v>
      </c>
      <c r="BP872">
        <v>1</v>
      </c>
      <c r="BQ872">
        <v>0.95</v>
      </c>
      <c r="BR872">
        <v>0.112299</v>
      </c>
      <c r="BS872">
        <v>37.540106999999999</v>
      </c>
      <c r="BT872">
        <v>50</v>
      </c>
      <c r="BU872">
        <v>0.16556299999999999</v>
      </c>
      <c r="BV872">
        <v>26.887416999999999</v>
      </c>
      <c r="BW872">
        <v>50</v>
      </c>
      <c r="BX872">
        <v>0.69587600000000005</v>
      </c>
      <c r="BY872">
        <v>46.391753000000001</v>
      </c>
      <c r="BZ872">
        <v>50</v>
      </c>
      <c r="CA872">
        <v>0.45360800000000001</v>
      </c>
      <c r="CB872">
        <v>30.240549999999999</v>
      </c>
      <c r="CC872">
        <v>50</v>
      </c>
      <c r="CD872">
        <v>0.94444399999999995</v>
      </c>
      <c r="CE872">
        <v>50</v>
      </c>
      <c r="CF872">
        <v>50</v>
      </c>
      <c r="CG872">
        <v>0.92631600000000003</v>
      </c>
      <c r="CH872">
        <v>98.544233000000006</v>
      </c>
      <c r="CI872">
        <v>100</v>
      </c>
      <c r="CJ872">
        <v>0</v>
      </c>
      <c r="CK872">
        <v>0.92500000000000004</v>
      </c>
      <c r="CL872">
        <v>98.404255000000006</v>
      </c>
      <c r="CM872">
        <v>100</v>
      </c>
      <c r="CN872">
        <v>0.62222200000000005</v>
      </c>
      <c r="CO872">
        <v>82.962963000000002</v>
      </c>
      <c r="CP872">
        <v>100</v>
      </c>
      <c r="CQ872">
        <v>0.556701</v>
      </c>
      <c r="CR872">
        <v>1.0659339999999999</v>
      </c>
      <c r="CS872">
        <v>37.113402000000001</v>
      </c>
      <c r="CT872">
        <v>50</v>
      </c>
      <c r="CU872">
        <v>0.45454499999999998</v>
      </c>
      <c r="CV872">
        <v>37.878788</v>
      </c>
      <c r="CW872">
        <v>50</v>
      </c>
      <c r="CX872">
        <v>0.92500000000000004</v>
      </c>
      <c r="CY872">
        <v>0.94</v>
      </c>
      <c r="CZ872">
        <v>1.4999999999999999E-2</v>
      </c>
      <c r="DA872">
        <v>15.314097</v>
      </c>
      <c r="DB872">
        <v>17.400950000000002</v>
      </c>
      <c r="DC872">
        <v>16.332519999999999</v>
      </c>
      <c r="DD872">
        <v>7.9891730000000001</v>
      </c>
      <c r="DE872">
        <v>1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Q872" t="s">
        <v>126</v>
      </c>
    </row>
    <row r="873" spans="1:121" x14ac:dyDescent="0.15">
      <c r="A873">
        <v>2018</v>
      </c>
      <c r="B873" t="s">
        <v>260</v>
      </c>
      <c r="C873" t="str">
        <f>"1340011"</f>
        <v>1340011</v>
      </c>
      <c r="D873" t="s">
        <v>1025</v>
      </c>
      <c r="E873" t="str">
        <f>"1345211"</f>
        <v>1345211</v>
      </c>
      <c r="F873" t="s">
        <v>328</v>
      </c>
      <c r="G873">
        <v>6</v>
      </c>
      <c r="H873">
        <v>8</v>
      </c>
      <c r="I873" t="s">
        <v>336</v>
      </c>
      <c r="J873" t="s">
        <v>331</v>
      </c>
      <c r="K873">
        <v>642.73069999999996</v>
      </c>
      <c r="L873">
        <v>900</v>
      </c>
      <c r="M873">
        <v>71.414522000000005</v>
      </c>
      <c r="N873">
        <v>3</v>
      </c>
      <c r="O873">
        <v>1</v>
      </c>
      <c r="P873">
        <v>66.095309999999998</v>
      </c>
      <c r="Q873">
        <v>44.063540000000003</v>
      </c>
      <c r="R873">
        <v>50</v>
      </c>
      <c r="S873">
        <v>57.356490999999998</v>
      </c>
      <c r="T873">
        <v>72.751300999999998</v>
      </c>
      <c r="U873">
        <v>38.237661000000003</v>
      </c>
      <c r="V873">
        <v>50</v>
      </c>
      <c r="W873">
        <v>62.418390000000002</v>
      </c>
      <c r="X873">
        <v>41.612259999999999</v>
      </c>
      <c r="Y873">
        <v>50</v>
      </c>
      <c r="Z873">
        <v>68.574886000000006</v>
      </c>
      <c r="AA873">
        <v>54.335371000000002</v>
      </c>
      <c r="AB873">
        <v>36.223581000000003</v>
      </c>
      <c r="AC873">
        <v>50</v>
      </c>
      <c r="AD873">
        <v>69.020576000000005</v>
      </c>
      <c r="AE873">
        <v>46.013717999999997</v>
      </c>
      <c r="AF873">
        <v>50</v>
      </c>
      <c r="AG873">
        <v>62.338299999999997</v>
      </c>
      <c r="AH873">
        <v>72.682096999999999</v>
      </c>
      <c r="AI873">
        <v>41.558866999999999</v>
      </c>
      <c r="AJ873">
        <v>50</v>
      </c>
      <c r="AK873">
        <v>15.39</v>
      </c>
      <c r="AL873">
        <v>14.23</v>
      </c>
      <c r="AM873">
        <v>10.34</v>
      </c>
      <c r="AN873">
        <v>0.48177799999999998</v>
      </c>
      <c r="AO873">
        <v>48.177821999999999</v>
      </c>
      <c r="AP873">
        <v>100</v>
      </c>
      <c r="AQ873">
        <v>0.632961</v>
      </c>
      <c r="AR873">
        <v>63.296073999999997</v>
      </c>
      <c r="AS873">
        <v>100</v>
      </c>
      <c r="AT873">
        <v>0.455285</v>
      </c>
      <c r="AU873">
        <v>0.49972100000000003</v>
      </c>
      <c r="AV873">
        <v>45.528488000000003</v>
      </c>
      <c r="AW873">
        <v>100</v>
      </c>
      <c r="AX873">
        <v>0.64437500000000003</v>
      </c>
      <c r="AY873">
        <v>0.62517</v>
      </c>
      <c r="AZ873">
        <v>64.437464000000006</v>
      </c>
      <c r="BA873">
        <v>100</v>
      </c>
      <c r="BB873" t="s">
        <v>125</v>
      </c>
      <c r="BC873" t="s">
        <v>125</v>
      </c>
      <c r="BD873" t="s">
        <v>125</v>
      </c>
      <c r="BE873" t="s">
        <v>125</v>
      </c>
      <c r="BF873" t="s">
        <v>125</v>
      </c>
      <c r="BG873" t="s">
        <v>125</v>
      </c>
      <c r="BH873">
        <v>0</v>
      </c>
      <c r="BI873">
        <v>0.99140399999999995</v>
      </c>
      <c r="BJ873">
        <v>0.986842</v>
      </c>
      <c r="BK873">
        <v>0.99492400000000003</v>
      </c>
      <c r="BL873">
        <v>0.99140399999999995</v>
      </c>
      <c r="BM873">
        <v>0.986842</v>
      </c>
      <c r="BN873">
        <v>0.99492400000000003</v>
      </c>
      <c r="BO873">
        <v>0.98260899999999995</v>
      </c>
      <c r="BP873">
        <v>0.95238100000000003</v>
      </c>
      <c r="BQ873">
        <v>1</v>
      </c>
      <c r="BR873">
        <v>6.8767999999999996E-2</v>
      </c>
      <c r="BS873">
        <v>46.246417999999998</v>
      </c>
      <c r="BT873">
        <v>50</v>
      </c>
      <c r="BU873">
        <v>9.8683999999999994E-2</v>
      </c>
      <c r="BV873">
        <v>40.263157999999997</v>
      </c>
      <c r="BW873">
        <v>50</v>
      </c>
      <c r="BX873" t="s">
        <v>125</v>
      </c>
      <c r="BY873" t="s">
        <v>125</v>
      </c>
      <c r="BZ873" t="s">
        <v>125</v>
      </c>
      <c r="CA873" t="s">
        <v>125</v>
      </c>
      <c r="CB873" t="s">
        <v>125</v>
      </c>
      <c r="CC873" t="s">
        <v>125</v>
      </c>
      <c r="CD873">
        <v>0.96</v>
      </c>
      <c r="CE873">
        <v>50</v>
      </c>
      <c r="CF873">
        <v>50</v>
      </c>
      <c r="CG873" t="s">
        <v>125</v>
      </c>
      <c r="CH873" t="s">
        <v>125</v>
      </c>
      <c r="CI873" t="s">
        <v>125</v>
      </c>
      <c r="CJ873" t="s">
        <v>125</v>
      </c>
      <c r="CK873" t="s">
        <v>125</v>
      </c>
      <c r="CL873" t="s">
        <v>125</v>
      </c>
      <c r="CM873" t="s">
        <v>125</v>
      </c>
      <c r="CN873" t="s">
        <v>125</v>
      </c>
      <c r="CO873" t="s">
        <v>125</v>
      </c>
      <c r="CP873" t="s">
        <v>125</v>
      </c>
      <c r="CQ873">
        <v>0.55607499999999999</v>
      </c>
      <c r="CR873">
        <v>0.98617500000000002</v>
      </c>
      <c r="CS873">
        <v>37.071651000000003</v>
      </c>
      <c r="CT873">
        <v>50</v>
      </c>
      <c r="CU873" t="s">
        <v>125</v>
      </c>
      <c r="CV873" t="s">
        <v>125</v>
      </c>
      <c r="CW873" t="s">
        <v>125</v>
      </c>
      <c r="CX873" t="s">
        <v>125</v>
      </c>
      <c r="CY873" t="s">
        <v>125</v>
      </c>
      <c r="CZ873" t="s">
        <v>125</v>
      </c>
      <c r="DA873">
        <v>15.314097</v>
      </c>
      <c r="DB873">
        <v>17.400950000000002</v>
      </c>
      <c r="DC873">
        <v>16.332519999999999</v>
      </c>
      <c r="DD873" t="s">
        <v>125</v>
      </c>
      <c r="DE873">
        <v>1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Q873" t="s">
        <v>126</v>
      </c>
    </row>
    <row r="874" spans="1:121" x14ac:dyDescent="0.15">
      <c r="A874">
        <v>2018</v>
      </c>
      <c r="B874" t="s">
        <v>260</v>
      </c>
      <c r="C874" t="str">
        <f>"1340011"</f>
        <v>1340011</v>
      </c>
      <c r="D874" t="s">
        <v>1026</v>
      </c>
      <c r="E874" t="str">
        <f>"1340311"</f>
        <v>1340311</v>
      </c>
      <c r="F874" t="s">
        <v>328</v>
      </c>
      <c r="G874" t="s">
        <v>329</v>
      </c>
      <c r="H874">
        <v>1</v>
      </c>
      <c r="I874" t="s">
        <v>336</v>
      </c>
      <c r="J874" t="s">
        <v>331</v>
      </c>
      <c r="K874">
        <v>91.481481000000002</v>
      </c>
      <c r="L874">
        <v>100</v>
      </c>
      <c r="M874">
        <v>91.481481000000002</v>
      </c>
      <c r="N874" t="s">
        <v>125</v>
      </c>
      <c r="O874" t="s">
        <v>125</v>
      </c>
      <c r="P874" t="s">
        <v>125</v>
      </c>
      <c r="Q874" t="s">
        <v>125</v>
      </c>
      <c r="R874" t="s">
        <v>125</v>
      </c>
      <c r="S874" t="s">
        <v>125</v>
      </c>
      <c r="T874" t="s">
        <v>125</v>
      </c>
      <c r="U874" t="s">
        <v>125</v>
      </c>
      <c r="V874" t="s">
        <v>125</v>
      </c>
      <c r="W874" t="s">
        <v>125</v>
      </c>
      <c r="X874" t="s">
        <v>125</v>
      </c>
      <c r="Y874" t="s">
        <v>125</v>
      </c>
      <c r="Z874" t="s">
        <v>125</v>
      </c>
      <c r="AA874" t="s">
        <v>125</v>
      </c>
      <c r="AB874" t="s">
        <v>125</v>
      </c>
      <c r="AC874" t="s">
        <v>125</v>
      </c>
      <c r="AD874" t="s">
        <v>125</v>
      </c>
      <c r="AE874" t="s">
        <v>125</v>
      </c>
      <c r="AF874" t="s">
        <v>125</v>
      </c>
      <c r="AG874" t="s">
        <v>125</v>
      </c>
      <c r="AH874" t="s">
        <v>125</v>
      </c>
      <c r="AI874" t="s">
        <v>125</v>
      </c>
      <c r="AJ874" t="s">
        <v>125</v>
      </c>
      <c r="AK874" t="s">
        <v>125</v>
      </c>
      <c r="AL874" t="s">
        <v>125</v>
      </c>
      <c r="AM874" t="s">
        <v>125</v>
      </c>
      <c r="AN874" t="s">
        <v>125</v>
      </c>
      <c r="AO874" t="s">
        <v>125</v>
      </c>
      <c r="AP874" t="s">
        <v>125</v>
      </c>
      <c r="AQ874" t="s">
        <v>125</v>
      </c>
      <c r="AR874" t="s">
        <v>125</v>
      </c>
      <c r="AS874" t="s">
        <v>125</v>
      </c>
      <c r="AT874" t="s">
        <v>125</v>
      </c>
      <c r="AU874" t="s">
        <v>125</v>
      </c>
      <c r="AV874" t="s">
        <v>125</v>
      </c>
      <c r="AW874" t="s">
        <v>125</v>
      </c>
      <c r="AX874" t="s">
        <v>125</v>
      </c>
      <c r="AY874" t="s">
        <v>125</v>
      </c>
      <c r="AZ874" t="s">
        <v>125</v>
      </c>
      <c r="BA874" t="s">
        <v>125</v>
      </c>
      <c r="BB874" t="s">
        <v>125</v>
      </c>
      <c r="BC874" t="s">
        <v>125</v>
      </c>
      <c r="BD874" t="s">
        <v>125</v>
      </c>
      <c r="BE874" t="s">
        <v>125</v>
      </c>
      <c r="BF874" t="s">
        <v>125</v>
      </c>
      <c r="BG874" t="s">
        <v>125</v>
      </c>
      <c r="BH874" t="s">
        <v>125</v>
      </c>
      <c r="BI874" t="s">
        <v>125</v>
      </c>
      <c r="BJ874" t="s">
        <v>125</v>
      </c>
      <c r="BK874" t="s">
        <v>125</v>
      </c>
      <c r="BL874" t="s">
        <v>125</v>
      </c>
      <c r="BM874" t="s">
        <v>125</v>
      </c>
      <c r="BN874" t="s">
        <v>125</v>
      </c>
      <c r="BO874" t="s">
        <v>125</v>
      </c>
      <c r="BP874" t="s">
        <v>125</v>
      </c>
      <c r="BQ874" t="s">
        <v>125</v>
      </c>
      <c r="BR874">
        <v>4.9020000000000001E-2</v>
      </c>
      <c r="BS874">
        <v>50</v>
      </c>
      <c r="BT874">
        <v>50</v>
      </c>
      <c r="BU874">
        <v>9.2592999999999995E-2</v>
      </c>
      <c r="BV874">
        <v>41.481481000000002</v>
      </c>
      <c r="BW874">
        <v>50</v>
      </c>
      <c r="BX874" t="s">
        <v>125</v>
      </c>
      <c r="BY874" t="s">
        <v>125</v>
      </c>
      <c r="BZ874" t="s">
        <v>125</v>
      </c>
      <c r="CA874" t="s">
        <v>125</v>
      </c>
      <c r="CB874" t="s">
        <v>125</v>
      </c>
      <c r="CC874" t="s">
        <v>125</v>
      </c>
      <c r="CD874" t="s">
        <v>125</v>
      </c>
      <c r="CE874" t="s">
        <v>125</v>
      </c>
      <c r="CF874" t="s">
        <v>125</v>
      </c>
      <c r="CG874" t="s">
        <v>125</v>
      </c>
      <c r="CH874" t="s">
        <v>125</v>
      </c>
      <c r="CI874" t="s">
        <v>125</v>
      </c>
      <c r="CJ874" t="s">
        <v>125</v>
      </c>
      <c r="CK874" t="s">
        <v>125</v>
      </c>
      <c r="CL874" t="s">
        <v>125</v>
      </c>
      <c r="CM874" t="s">
        <v>125</v>
      </c>
      <c r="CN874" t="s">
        <v>125</v>
      </c>
      <c r="CO874" t="s">
        <v>125</v>
      </c>
      <c r="CP874" t="s">
        <v>125</v>
      </c>
      <c r="CQ874" t="s">
        <v>125</v>
      </c>
      <c r="CR874" t="s">
        <v>125</v>
      </c>
      <c r="CS874" t="s">
        <v>125</v>
      </c>
      <c r="CT874" t="s">
        <v>125</v>
      </c>
      <c r="CU874" t="s">
        <v>125</v>
      </c>
      <c r="CV874" t="s">
        <v>125</v>
      </c>
      <c r="CW874" t="s">
        <v>125</v>
      </c>
      <c r="CX874" t="s">
        <v>125</v>
      </c>
      <c r="CY874" t="s">
        <v>125</v>
      </c>
      <c r="CZ874" t="s">
        <v>125</v>
      </c>
      <c r="DA874" t="s">
        <v>125</v>
      </c>
      <c r="DB874" t="s">
        <v>125</v>
      </c>
      <c r="DC874" t="s">
        <v>125</v>
      </c>
      <c r="DD874" t="s">
        <v>125</v>
      </c>
      <c r="DE874" t="s">
        <v>125</v>
      </c>
      <c r="DJ874" t="s">
        <v>125</v>
      </c>
      <c r="DK874" t="s">
        <v>125</v>
      </c>
      <c r="DL874" t="s">
        <v>125</v>
      </c>
      <c r="DM874" t="s">
        <v>125</v>
      </c>
      <c r="DN874" t="s">
        <v>125</v>
      </c>
      <c r="DO874" t="s">
        <v>125</v>
      </c>
      <c r="DQ874" t="s">
        <v>126</v>
      </c>
    </row>
    <row r="875" spans="1:121" x14ac:dyDescent="0.15">
      <c r="A875">
        <v>2018</v>
      </c>
      <c r="B875" t="s">
        <v>260</v>
      </c>
      <c r="C875" t="str">
        <f>"1340011"</f>
        <v>1340011</v>
      </c>
      <c r="D875" t="s">
        <v>1027</v>
      </c>
      <c r="E875" t="str">
        <f>"1340411"</f>
        <v>1340411</v>
      </c>
      <c r="F875" t="s">
        <v>328</v>
      </c>
      <c r="G875" t="s">
        <v>329</v>
      </c>
      <c r="H875">
        <v>1</v>
      </c>
      <c r="I875" t="s">
        <v>336</v>
      </c>
      <c r="J875" t="s">
        <v>331</v>
      </c>
      <c r="K875">
        <v>100</v>
      </c>
      <c r="L875">
        <v>100</v>
      </c>
      <c r="M875">
        <v>100</v>
      </c>
      <c r="N875" t="s">
        <v>125</v>
      </c>
      <c r="O875" t="s">
        <v>125</v>
      </c>
      <c r="P875" t="s">
        <v>125</v>
      </c>
      <c r="Q875" t="s">
        <v>125</v>
      </c>
      <c r="R875" t="s">
        <v>125</v>
      </c>
      <c r="S875" t="s">
        <v>125</v>
      </c>
      <c r="T875" t="s">
        <v>125</v>
      </c>
      <c r="U875" t="s">
        <v>125</v>
      </c>
      <c r="V875" t="s">
        <v>125</v>
      </c>
      <c r="W875" t="s">
        <v>125</v>
      </c>
      <c r="X875" t="s">
        <v>125</v>
      </c>
      <c r="Y875" t="s">
        <v>125</v>
      </c>
      <c r="Z875" t="s">
        <v>125</v>
      </c>
      <c r="AA875" t="s">
        <v>125</v>
      </c>
      <c r="AB875" t="s">
        <v>125</v>
      </c>
      <c r="AC875" t="s">
        <v>125</v>
      </c>
      <c r="AD875" t="s">
        <v>125</v>
      </c>
      <c r="AE875" t="s">
        <v>125</v>
      </c>
      <c r="AF875" t="s">
        <v>125</v>
      </c>
      <c r="AG875" t="s">
        <v>125</v>
      </c>
      <c r="AH875" t="s">
        <v>125</v>
      </c>
      <c r="AI875" t="s">
        <v>125</v>
      </c>
      <c r="AJ875" t="s">
        <v>125</v>
      </c>
      <c r="AK875" t="s">
        <v>125</v>
      </c>
      <c r="AL875" t="s">
        <v>125</v>
      </c>
      <c r="AM875" t="s">
        <v>125</v>
      </c>
      <c r="AN875" t="s">
        <v>125</v>
      </c>
      <c r="AO875" t="s">
        <v>125</v>
      </c>
      <c r="AP875" t="s">
        <v>125</v>
      </c>
      <c r="AQ875" t="s">
        <v>125</v>
      </c>
      <c r="AR875" t="s">
        <v>125</v>
      </c>
      <c r="AS875" t="s">
        <v>125</v>
      </c>
      <c r="AT875" t="s">
        <v>125</v>
      </c>
      <c r="AU875" t="s">
        <v>125</v>
      </c>
      <c r="AV875" t="s">
        <v>125</v>
      </c>
      <c r="AW875" t="s">
        <v>125</v>
      </c>
      <c r="AX875" t="s">
        <v>125</v>
      </c>
      <c r="AY875" t="s">
        <v>125</v>
      </c>
      <c r="AZ875" t="s">
        <v>125</v>
      </c>
      <c r="BA875" t="s">
        <v>125</v>
      </c>
      <c r="BB875" t="s">
        <v>125</v>
      </c>
      <c r="BC875" t="s">
        <v>125</v>
      </c>
      <c r="BD875" t="s">
        <v>125</v>
      </c>
      <c r="BE875" t="s">
        <v>125</v>
      </c>
      <c r="BF875" t="s">
        <v>125</v>
      </c>
      <c r="BG875" t="s">
        <v>125</v>
      </c>
      <c r="BH875" t="s">
        <v>125</v>
      </c>
      <c r="BI875" t="s">
        <v>125</v>
      </c>
      <c r="BJ875" t="s">
        <v>125</v>
      </c>
      <c r="BK875" t="s">
        <v>125</v>
      </c>
      <c r="BL875" t="s">
        <v>125</v>
      </c>
      <c r="BM875" t="s">
        <v>125</v>
      </c>
      <c r="BN875" t="s">
        <v>125</v>
      </c>
      <c r="BO875" t="s">
        <v>125</v>
      </c>
      <c r="BP875" t="s">
        <v>125</v>
      </c>
      <c r="BQ875" t="s">
        <v>125</v>
      </c>
      <c r="BR875">
        <v>3.0303E-2</v>
      </c>
      <c r="BS875">
        <v>50</v>
      </c>
      <c r="BT875">
        <v>50</v>
      </c>
      <c r="BU875">
        <v>2.2221999999999999E-2</v>
      </c>
      <c r="BV875">
        <v>50</v>
      </c>
      <c r="BW875">
        <v>50</v>
      </c>
      <c r="BX875" t="s">
        <v>125</v>
      </c>
      <c r="BY875" t="s">
        <v>125</v>
      </c>
      <c r="BZ875" t="s">
        <v>125</v>
      </c>
      <c r="CA875" t="s">
        <v>125</v>
      </c>
      <c r="CB875" t="s">
        <v>125</v>
      </c>
      <c r="CC875" t="s">
        <v>125</v>
      </c>
      <c r="CD875" t="s">
        <v>125</v>
      </c>
      <c r="CE875" t="s">
        <v>125</v>
      </c>
      <c r="CF875" t="s">
        <v>125</v>
      </c>
      <c r="CG875" t="s">
        <v>125</v>
      </c>
      <c r="CH875" t="s">
        <v>125</v>
      </c>
      <c r="CI875" t="s">
        <v>125</v>
      </c>
      <c r="CJ875" t="s">
        <v>125</v>
      </c>
      <c r="CK875" t="s">
        <v>125</v>
      </c>
      <c r="CL875" t="s">
        <v>125</v>
      </c>
      <c r="CM875" t="s">
        <v>125</v>
      </c>
      <c r="CN875" t="s">
        <v>125</v>
      </c>
      <c r="CO875" t="s">
        <v>125</v>
      </c>
      <c r="CP875" t="s">
        <v>125</v>
      </c>
      <c r="CQ875" t="s">
        <v>125</v>
      </c>
      <c r="CR875" t="s">
        <v>125</v>
      </c>
      <c r="CS875" t="s">
        <v>125</v>
      </c>
      <c r="CT875" t="s">
        <v>125</v>
      </c>
      <c r="CU875" t="s">
        <v>125</v>
      </c>
      <c r="CV875" t="s">
        <v>125</v>
      </c>
      <c r="CW875" t="s">
        <v>125</v>
      </c>
      <c r="CX875" t="s">
        <v>125</v>
      </c>
      <c r="CY875" t="s">
        <v>125</v>
      </c>
      <c r="CZ875" t="s">
        <v>125</v>
      </c>
      <c r="DA875" t="s">
        <v>125</v>
      </c>
      <c r="DB875" t="s">
        <v>125</v>
      </c>
      <c r="DC875" t="s">
        <v>125</v>
      </c>
      <c r="DD875" t="s">
        <v>125</v>
      </c>
      <c r="DE875" t="s">
        <v>125</v>
      </c>
      <c r="DJ875" t="s">
        <v>125</v>
      </c>
      <c r="DK875" t="s">
        <v>125</v>
      </c>
      <c r="DL875" t="s">
        <v>125</v>
      </c>
      <c r="DM875" t="s">
        <v>125</v>
      </c>
      <c r="DN875" t="s">
        <v>125</v>
      </c>
      <c r="DO875" t="s">
        <v>125</v>
      </c>
      <c r="DQ875" t="s">
        <v>126</v>
      </c>
    </row>
    <row r="876" spans="1:121" x14ac:dyDescent="0.15">
      <c r="A876">
        <v>2018</v>
      </c>
      <c r="B876" t="s">
        <v>288</v>
      </c>
      <c r="C876" t="str">
        <f t="shared" ref="C876:C896" si="38">"1350011"</f>
        <v>1350011</v>
      </c>
      <c r="D876" t="s">
        <v>1028</v>
      </c>
      <c r="E876" t="str">
        <f>"1355611"</f>
        <v>1355611</v>
      </c>
      <c r="F876" t="s">
        <v>328</v>
      </c>
      <c r="G876">
        <v>6</v>
      </c>
      <c r="H876">
        <v>8</v>
      </c>
      <c r="J876" t="s">
        <v>331</v>
      </c>
      <c r="K876">
        <v>592.313897</v>
      </c>
      <c r="L876">
        <v>1000</v>
      </c>
      <c r="M876">
        <v>59.231389999999998</v>
      </c>
      <c r="N876">
        <v>3</v>
      </c>
      <c r="O876">
        <v>1</v>
      </c>
      <c r="P876">
        <v>62.325598999999997</v>
      </c>
      <c r="Q876">
        <v>41.550398999999999</v>
      </c>
      <c r="R876">
        <v>50</v>
      </c>
      <c r="S876">
        <v>56.151527000000002</v>
      </c>
      <c r="T876">
        <v>75</v>
      </c>
      <c r="U876">
        <v>37.434350999999999</v>
      </c>
      <c r="V876">
        <v>50</v>
      </c>
      <c r="W876">
        <v>54.796349999999997</v>
      </c>
      <c r="X876">
        <v>36.530900000000003</v>
      </c>
      <c r="Y876">
        <v>50</v>
      </c>
      <c r="Z876">
        <v>68.814402000000001</v>
      </c>
      <c r="AA876">
        <v>48.396048999999998</v>
      </c>
      <c r="AB876">
        <v>32.264032</v>
      </c>
      <c r="AC876">
        <v>50</v>
      </c>
      <c r="AD876">
        <v>53.879309999999997</v>
      </c>
      <c r="AE876">
        <v>35.919539999999998</v>
      </c>
      <c r="AF876">
        <v>50</v>
      </c>
      <c r="AG876">
        <v>50.794313000000002</v>
      </c>
      <c r="AH876">
        <v>59.551724</v>
      </c>
      <c r="AI876">
        <v>33.862876</v>
      </c>
      <c r="AJ876">
        <v>50</v>
      </c>
      <c r="AK876">
        <v>18.84</v>
      </c>
      <c r="AL876">
        <v>20.41</v>
      </c>
      <c r="AM876">
        <v>8.75</v>
      </c>
      <c r="AN876">
        <v>0.49319200000000002</v>
      </c>
      <c r="AO876">
        <v>49.319217999999999</v>
      </c>
      <c r="AP876">
        <v>100</v>
      </c>
      <c r="AQ876">
        <v>0.49860199999999999</v>
      </c>
      <c r="AR876">
        <v>49.860221000000003</v>
      </c>
      <c r="AS876">
        <v>100</v>
      </c>
      <c r="AT876">
        <v>0.49337399999999998</v>
      </c>
      <c r="AU876">
        <v>0.49279499999999998</v>
      </c>
      <c r="AV876">
        <v>49.337376999999996</v>
      </c>
      <c r="AW876">
        <v>100</v>
      </c>
      <c r="AX876">
        <v>0.48738599999999999</v>
      </c>
      <c r="AY876">
        <v>0.52296699999999996</v>
      </c>
      <c r="AZ876">
        <v>48.738551999999999</v>
      </c>
      <c r="BA876">
        <v>100</v>
      </c>
      <c r="BB876">
        <v>0.49941099999999999</v>
      </c>
      <c r="BC876">
        <v>24.970566000000002</v>
      </c>
      <c r="BD876">
        <v>50</v>
      </c>
      <c r="BE876">
        <v>0.60665899999999995</v>
      </c>
      <c r="BF876">
        <v>30.332957</v>
      </c>
      <c r="BG876">
        <v>50</v>
      </c>
      <c r="BH876">
        <v>0</v>
      </c>
      <c r="BI876">
        <v>0.97971900000000001</v>
      </c>
      <c r="BJ876">
        <v>0.97566399999999998</v>
      </c>
      <c r="BK876">
        <v>0.98941800000000002</v>
      </c>
      <c r="BL876">
        <v>0.978159</v>
      </c>
      <c r="BM876">
        <v>0.97345099999999996</v>
      </c>
      <c r="BN876">
        <v>0.98941800000000002</v>
      </c>
      <c r="BO876">
        <v>0.98412699999999997</v>
      </c>
      <c r="BP876">
        <v>0.98387100000000005</v>
      </c>
      <c r="BQ876">
        <v>0.98461500000000002</v>
      </c>
      <c r="BR876">
        <v>0.13125000000000001</v>
      </c>
      <c r="BS876">
        <v>33.75</v>
      </c>
      <c r="BT876">
        <v>50</v>
      </c>
      <c r="BU876">
        <v>0.15742800000000001</v>
      </c>
      <c r="BV876">
        <v>28.514412</v>
      </c>
      <c r="BW876">
        <v>50</v>
      </c>
      <c r="BX876" t="s">
        <v>125</v>
      </c>
      <c r="BY876" t="s">
        <v>125</v>
      </c>
      <c r="BZ876" t="s">
        <v>125</v>
      </c>
      <c r="CA876" t="s">
        <v>125</v>
      </c>
      <c r="CB876" t="s">
        <v>125</v>
      </c>
      <c r="CC876" t="s">
        <v>125</v>
      </c>
      <c r="CD876">
        <v>0.81645599999999996</v>
      </c>
      <c r="CE876">
        <v>43.428494000000001</v>
      </c>
      <c r="CF876">
        <v>50</v>
      </c>
      <c r="CG876" t="s">
        <v>125</v>
      </c>
      <c r="CH876" t="s">
        <v>125</v>
      </c>
      <c r="CI876" t="s">
        <v>125</v>
      </c>
      <c r="CJ876" t="s">
        <v>125</v>
      </c>
      <c r="CK876" t="s">
        <v>125</v>
      </c>
      <c r="CL876" t="s">
        <v>125</v>
      </c>
      <c r="CM876" t="s">
        <v>125</v>
      </c>
      <c r="CN876" t="s">
        <v>125</v>
      </c>
      <c r="CO876" t="s">
        <v>125</v>
      </c>
      <c r="CP876" t="s">
        <v>125</v>
      </c>
      <c r="CQ876">
        <v>0.2475</v>
      </c>
      <c r="CR876">
        <v>0.94339600000000001</v>
      </c>
      <c r="CS876">
        <v>16.5</v>
      </c>
      <c r="CT876">
        <v>50</v>
      </c>
      <c r="CU876" t="s">
        <v>125</v>
      </c>
      <c r="CV876" t="s">
        <v>125</v>
      </c>
      <c r="CW876" t="s">
        <v>125</v>
      </c>
      <c r="CX876" t="s">
        <v>125</v>
      </c>
      <c r="CY876" t="s">
        <v>125</v>
      </c>
      <c r="CZ876" t="s">
        <v>125</v>
      </c>
      <c r="DA876">
        <v>15.314097</v>
      </c>
      <c r="DB876">
        <v>17.400950000000002</v>
      </c>
      <c r="DC876">
        <v>16.332519999999999</v>
      </c>
      <c r="DD876" t="s">
        <v>125</v>
      </c>
      <c r="DE876">
        <v>1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Q876" t="s">
        <v>126</v>
      </c>
    </row>
    <row r="877" spans="1:121" x14ac:dyDescent="0.15">
      <c r="A877">
        <v>2018</v>
      </c>
      <c r="B877" t="s">
        <v>288</v>
      </c>
      <c r="C877" t="str">
        <f t="shared" si="38"/>
        <v>1350011</v>
      </c>
      <c r="D877" t="s">
        <v>1029</v>
      </c>
      <c r="E877" t="str">
        <f>"1352011"</f>
        <v>1352011</v>
      </c>
      <c r="F877" t="s">
        <v>328</v>
      </c>
      <c r="G877" t="s">
        <v>329</v>
      </c>
      <c r="H877">
        <v>5</v>
      </c>
      <c r="I877" t="s">
        <v>336</v>
      </c>
      <c r="J877" t="s">
        <v>331</v>
      </c>
      <c r="K877">
        <v>725.69797500000004</v>
      </c>
      <c r="L877">
        <v>950</v>
      </c>
      <c r="M877">
        <v>76.389261000000005</v>
      </c>
      <c r="N877">
        <v>2</v>
      </c>
      <c r="O877">
        <v>0</v>
      </c>
      <c r="P877">
        <v>69.314177000000001</v>
      </c>
      <c r="Q877">
        <v>46.209451000000001</v>
      </c>
      <c r="R877">
        <v>50</v>
      </c>
      <c r="S877">
        <v>61.431910999999999</v>
      </c>
      <c r="T877">
        <v>75</v>
      </c>
      <c r="U877">
        <v>40.954607000000003</v>
      </c>
      <c r="V877">
        <v>50</v>
      </c>
      <c r="W877">
        <v>66.723140999999998</v>
      </c>
      <c r="X877">
        <v>44.482093999999996</v>
      </c>
      <c r="Y877">
        <v>50</v>
      </c>
      <c r="Z877">
        <v>75</v>
      </c>
      <c r="AA877">
        <v>58.375250000000001</v>
      </c>
      <c r="AB877">
        <v>38.916832999999997</v>
      </c>
      <c r="AC877">
        <v>50</v>
      </c>
      <c r="AD877">
        <v>66.415323000000001</v>
      </c>
      <c r="AE877">
        <v>44.276882000000001</v>
      </c>
      <c r="AF877">
        <v>50</v>
      </c>
      <c r="AG877">
        <v>59.380510999999998</v>
      </c>
      <c r="AH877">
        <v>75</v>
      </c>
      <c r="AI877">
        <v>39.587007</v>
      </c>
      <c r="AJ877">
        <v>50</v>
      </c>
      <c r="AK877">
        <v>13.56</v>
      </c>
      <c r="AL877">
        <v>16.62</v>
      </c>
      <c r="AM877">
        <v>15.61</v>
      </c>
      <c r="AN877">
        <v>0.79969599999999996</v>
      </c>
      <c r="AO877">
        <v>79.969577000000001</v>
      </c>
      <c r="AP877">
        <v>100</v>
      </c>
      <c r="AQ877">
        <v>0.76869299999999996</v>
      </c>
      <c r="AR877">
        <v>76.869253999999998</v>
      </c>
      <c r="AS877">
        <v>100</v>
      </c>
      <c r="AT877">
        <v>0.78637299999999999</v>
      </c>
      <c r="AU877">
        <v>0.81671000000000005</v>
      </c>
      <c r="AV877">
        <v>78.637308000000004</v>
      </c>
      <c r="AW877">
        <v>100</v>
      </c>
      <c r="AX877">
        <v>0.71469099999999997</v>
      </c>
      <c r="AY877">
        <v>0.83700699999999995</v>
      </c>
      <c r="AZ877">
        <v>71.469127</v>
      </c>
      <c r="BA877">
        <v>100</v>
      </c>
      <c r="BB877">
        <v>0.79269100000000003</v>
      </c>
      <c r="BC877">
        <v>39.634532999999998</v>
      </c>
      <c r="BD877">
        <v>50</v>
      </c>
      <c r="BE877">
        <v>0.58189900000000006</v>
      </c>
      <c r="BF877">
        <v>29.094942</v>
      </c>
      <c r="BG877">
        <v>50</v>
      </c>
      <c r="BH877">
        <v>0</v>
      </c>
      <c r="BI877">
        <v>0.99388399999999999</v>
      </c>
      <c r="BJ877">
        <v>0.99459500000000001</v>
      </c>
      <c r="BK877">
        <v>0.99295800000000001</v>
      </c>
      <c r="BL877">
        <v>0.99074099999999998</v>
      </c>
      <c r="BM877">
        <v>0.98907100000000003</v>
      </c>
      <c r="BN877">
        <v>0.99290800000000001</v>
      </c>
      <c r="BO877">
        <v>1</v>
      </c>
      <c r="BP877">
        <v>1</v>
      </c>
      <c r="BQ877">
        <v>1</v>
      </c>
      <c r="BR877">
        <v>7.4434E-2</v>
      </c>
      <c r="BS877">
        <v>45.113269000000003</v>
      </c>
      <c r="BT877">
        <v>50</v>
      </c>
      <c r="BU877">
        <v>0.108696</v>
      </c>
      <c r="BV877">
        <v>38.260869999999997</v>
      </c>
      <c r="BW877">
        <v>50</v>
      </c>
      <c r="BX877" t="s">
        <v>125</v>
      </c>
      <c r="BY877" t="s">
        <v>125</v>
      </c>
      <c r="BZ877" t="s">
        <v>125</v>
      </c>
      <c r="CA877" t="s">
        <v>125</v>
      </c>
      <c r="CB877" t="s">
        <v>125</v>
      </c>
      <c r="CC877" t="s">
        <v>125</v>
      </c>
      <c r="CD877" t="s">
        <v>125</v>
      </c>
      <c r="CE877" t="s">
        <v>125</v>
      </c>
      <c r="CF877" t="s">
        <v>125</v>
      </c>
      <c r="CG877" t="s">
        <v>125</v>
      </c>
      <c r="CH877" t="s">
        <v>125</v>
      </c>
      <c r="CI877" t="s">
        <v>125</v>
      </c>
      <c r="CJ877" t="s">
        <v>125</v>
      </c>
      <c r="CK877" t="s">
        <v>125</v>
      </c>
      <c r="CL877" t="s">
        <v>125</v>
      </c>
      <c r="CM877" t="s">
        <v>125</v>
      </c>
      <c r="CN877" t="s">
        <v>125</v>
      </c>
      <c r="CO877" t="s">
        <v>125</v>
      </c>
      <c r="CP877" t="s">
        <v>125</v>
      </c>
      <c r="CQ877">
        <v>0.36666700000000002</v>
      </c>
      <c r="CR877">
        <v>0.79645999999999995</v>
      </c>
      <c r="CS877">
        <v>12.222222</v>
      </c>
      <c r="CT877">
        <v>50</v>
      </c>
      <c r="CU877" t="s">
        <v>125</v>
      </c>
      <c r="CV877" t="s">
        <v>125</v>
      </c>
      <c r="CW877" t="s">
        <v>125</v>
      </c>
      <c r="CX877" t="s">
        <v>125</v>
      </c>
      <c r="CY877" t="s">
        <v>125</v>
      </c>
      <c r="CZ877" t="s">
        <v>125</v>
      </c>
      <c r="DA877">
        <v>15.314097</v>
      </c>
      <c r="DB877">
        <v>17.400950000000002</v>
      </c>
      <c r="DC877">
        <v>16.332519999999999</v>
      </c>
      <c r="DD877" t="s">
        <v>125</v>
      </c>
      <c r="DE877">
        <v>0</v>
      </c>
      <c r="DH877" t="s">
        <v>332</v>
      </c>
      <c r="DI877" t="s">
        <v>529</v>
      </c>
      <c r="DJ877">
        <v>0</v>
      </c>
      <c r="DK877">
        <v>1</v>
      </c>
      <c r="DL877">
        <v>0</v>
      </c>
      <c r="DM877">
        <v>1</v>
      </c>
      <c r="DN877">
        <v>0</v>
      </c>
      <c r="DO877">
        <v>0</v>
      </c>
      <c r="DQ877" t="s">
        <v>126</v>
      </c>
    </row>
    <row r="878" spans="1:121" x14ac:dyDescent="0.15">
      <c r="A878">
        <v>2018</v>
      </c>
      <c r="B878" t="s">
        <v>288</v>
      </c>
      <c r="C878" t="str">
        <f t="shared" si="38"/>
        <v>1350011</v>
      </c>
      <c r="D878" t="s">
        <v>1030</v>
      </c>
      <c r="E878" t="str">
        <f>"1355311"</f>
        <v>1355311</v>
      </c>
      <c r="F878" t="s">
        <v>328</v>
      </c>
      <c r="G878">
        <v>6</v>
      </c>
      <c r="H878">
        <v>8</v>
      </c>
      <c r="J878" t="s">
        <v>331</v>
      </c>
      <c r="K878">
        <v>604.62832200000003</v>
      </c>
      <c r="L878">
        <v>1000</v>
      </c>
      <c r="M878">
        <v>60.462831999999999</v>
      </c>
      <c r="N878">
        <v>3</v>
      </c>
      <c r="O878">
        <v>1</v>
      </c>
      <c r="P878">
        <v>62.500759000000002</v>
      </c>
      <c r="Q878">
        <v>41.667172999999998</v>
      </c>
      <c r="R878">
        <v>50</v>
      </c>
      <c r="S878">
        <v>56.384847000000001</v>
      </c>
      <c r="T878">
        <v>75</v>
      </c>
      <c r="U878">
        <v>37.589897999999998</v>
      </c>
      <c r="V878">
        <v>50</v>
      </c>
      <c r="W878">
        <v>56.904248000000003</v>
      </c>
      <c r="X878">
        <v>37.936165000000003</v>
      </c>
      <c r="Y878">
        <v>50</v>
      </c>
      <c r="Z878">
        <v>72.295799000000002</v>
      </c>
      <c r="AA878">
        <v>49.768541999999997</v>
      </c>
      <c r="AB878">
        <v>33.179028000000002</v>
      </c>
      <c r="AC878">
        <v>50</v>
      </c>
      <c r="AD878">
        <v>61.754193000000001</v>
      </c>
      <c r="AE878">
        <v>41.169462000000003</v>
      </c>
      <c r="AF878">
        <v>50</v>
      </c>
      <c r="AG878">
        <v>54.904079000000003</v>
      </c>
      <c r="AH878">
        <v>73.586207000000002</v>
      </c>
      <c r="AI878">
        <v>36.602719</v>
      </c>
      <c r="AJ878">
        <v>50</v>
      </c>
      <c r="AK878">
        <v>18.61</v>
      </c>
      <c r="AL878">
        <v>22.52</v>
      </c>
      <c r="AM878">
        <v>18.68</v>
      </c>
      <c r="AN878">
        <v>0.53139000000000003</v>
      </c>
      <c r="AO878">
        <v>53.138995999999999</v>
      </c>
      <c r="AP878">
        <v>100</v>
      </c>
      <c r="AQ878">
        <v>0.54125299999999998</v>
      </c>
      <c r="AR878">
        <v>54.125281000000001</v>
      </c>
      <c r="AS878">
        <v>100</v>
      </c>
      <c r="AT878">
        <v>0.50260800000000005</v>
      </c>
      <c r="AU878">
        <v>0.58928100000000005</v>
      </c>
      <c r="AV878">
        <v>50.260779999999997</v>
      </c>
      <c r="AW878">
        <v>100</v>
      </c>
      <c r="AX878">
        <v>0.47858800000000001</v>
      </c>
      <c r="AY878">
        <v>0.66586999999999996</v>
      </c>
      <c r="AZ878">
        <v>47.858790999999997</v>
      </c>
      <c r="BA878">
        <v>100</v>
      </c>
      <c r="BB878">
        <v>0.53043200000000001</v>
      </c>
      <c r="BC878">
        <v>26.521612999999999</v>
      </c>
      <c r="BD878">
        <v>50</v>
      </c>
      <c r="BE878">
        <v>0.44827400000000001</v>
      </c>
      <c r="BF878">
        <v>22.413681</v>
      </c>
      <c r="BG878">
        <v>50</v>
      </c>
      <c r="BH878">
        <v>1</v>
      </c>
      <c r="BI878">
        <v>0.97377000000000002</v>
      </c>
      <c r="BJ878">
        <v>0.97663599999999995</v>
      </c>
      <c r="BK878">
        <v>0.96703300000000003</v>
      </c>
      <c r="BL878">
        <v>0.97049200000000002</v>
      </c>
      <c r="BM878">
        <v>0.97196300000000002</v>
      </c>
      <c r="BN878">
        <v>0.96703300000000003</v>
      </c>
      <c r="BO878">
        <v>0.96428599999999998</v>
      </c>
      <c r="BP878">
        <v>0.94690300000000005</v>
      </c>
      <c r="BQ878">
        <v>1</v>
      </c>
      <c r="BR878">
        <v>0.145902</v>
      </c>
      <c r="BS878">
        <v>30.819672000000001</v>
      </c>
      <c r="BT878">
        <v>50</v>
      </c>
      <c r="BU878">
        <v>0.17422399999999999</v>
      </c>
      <c r="BV878">
        <v>25.155131000000001</v>
      </c>
      <c r="BW878">
        <v>50</v>
      </c>
      <c r="BX878" t="s">
        <v>125</v>
      </c>
      <c r="BY878" t="s">
        <v>125</v>
      </c>
      <c r="BZ878" t="s">
        <v>125</v>
      </c>
      <c r="CA878" t="s">
        <v>125</v>
      </c>
      <c r="CB878" t="s">
        <v>125</v>
      </c>
      <c r="CC878" t="s">
        <v>125</v>
      </c>
      <c r="CD878">
        <v>0.92763200000000001</v>
      </c>
      <c r="CE878">
        <v>49.342104999999997</v>
      </c>
      <c r="CF878">
        <v>50</v>
      </c>
      <c r="CG878" t="s">
        <v>125</v>
      </c>
      <c r="CH878" t="s">
        <v>125</v>
      </c>
      <c r="CI878" t="s">
        <v>125</v>
      </c>
      <c r="CJ878" t="s">
        <v>125</v>
      </c>
      <c r="CK878" t="s">
        <v>125</v>
      </c>
      <c r="CL878" t="s">
        <v>125</v>
      </c>
      <c r="CM878" t="s">
        <v>125</v>
      </c>
      <c r="CN878" t="s">
        <v>125</v>
      </c>
      <c r="CO878" t="s">
        <v>125</v>
      </c>
      <c r="CP878" t="s">
        <v>125</v>
      </c>
      <c r="CQ878">
        <v>0.25271700000000002</v>
      </c>
      <c r="CR878">
        <v>0.95336799999999999</v>
      </c>
      <c r="CS878">
        <v>16.847826000000001</v>
      </c>
      <c r="CT878">
        <v>50</v>
      </c>
      <c r="CU878" t="s">
        <v>125</v>
      </c>
      <c r="CV878" t="s">
        <v>125</v>
      </c>
      <c r="CW878" t="s">
        <v>125</v>
      </c>
      <c r="CX878" t="s">
        <v>125</v>
      </c>
      <c r="CY878" t="s">
        <v>125</v>
      </c>
      <c r="CZ878" t="s">
        <v>125</v>
      </c>
      <c r="DA878">
        <v>15.314097</v>
      </c>
      <c r="DB878">
        <v>17.400950000000002</v>
      </c>
      <c r="DC878">
        <v>16.332519999999999</v>
      </c>
      <c r="DD878" t="s">
        <v>125</v>
      </c>
      <c r="DE878">
        <v>1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Q878" t="s">
        <v>126</v>
      </c>
    </row>
    <row r="879" spans="1:121" x14ac:dyDescent="0.15">
      <c r="A879">
        <v>2018</v>
      </c>
      <c r="B879" t="s">
        <v>288</v>
      </c>
      <c r="C879" t="str">
        <f t="shared" si="38"/>
        <v>1350011</v>
      </c>
      <c r="D879" t="s">
        <v>1031</v>
      </c>
      <c r="E879" t="str">
        <f>"1352211"</f>
        <v>1352211</v>
      </c>
      <c r="F879" t="s">
        <v>328</v>
      </c>
      <c r="G879" t="s">
        <v>339</v>
      </c>
      <c r="H879">
        <v>5</v>
      </c>
      <c r="I879" t="s">
        <v>330</v>
      </c>
      <c r="J879" t="s">
        <v>331</v>
      </c>
      <c r="K879">
        <v>690.57370900000001</v>
      </c>
      <c r="L879">
        <v>950</v>
      </c>
      <c r="M879">
        <v>72.691969</v>
      </c>
      <c r="N879">
        <v>2</v>
      </c>
      <c r="O879">
        <v>0</v>
      </c>
      <c r="P879">
        <v>71.390302000000005</v>
      </c>
      <c r="Q879">
        <v>47.593533999999998</v>
      </c>
      <c r="R879">
        <v>50</v>
      </c>
      <c r="S879">
        <v>64.862391000000002</v>
      </c>
      <c r="T879">
        <v>75</v>
      </c>
      <c r="U879">
        <v>43.241593999999999</v>
      </c>
      <c r="V879">
        <v>50</v>
      </c>
      <c r="W879">
        <v>71.115937000000002</v>
      </c>
      <c r="X879">
        <v>47.410625000000003</v>
      </c>
      <c r="Y879">
        <v>50</v>
      </c>
      <c r="Z879">
        <v>75</v>
      </c>
      <c r="AA879">
        <v>64.259472000000002</v>
      </c>
      <c r="AB879">
        <v>42.839647999999997</v>
      </c>
      <c r="AC879">
        <v>50</v>
      </c>
      <c r="AD879">
        <v>70.804516000000007</v>
      </c>
      <c r="AE879">
        <v>47.203010999999996</v>
      </c>
      <c r="AF879">
        <v>50</v>
      </c>
      <c r="AG879">
        <v>62.744495999999998</v>
      </c>
      <c r="AH879">
        <v>75</v>
      </c>
      <c r="AI879">
        <v>41.829664000000001</v>
      </c>
      <c r="AJ879">
        <v>50</v>
      </c>
      <c r="AK879">
        <v>10.130000000000001</v>
      </c>
      <c r="AL879">
        <v>10.74</v>
      </c>
      <c r="AM879">
        <v>12.25</v>
      </c>
      <c r="AN879">
        <v>0.57896800000000004</v>
      </c>
      <c r="AO879">
        <v>57.896769999999997</v>
      </c>
      <c r="AP879">
        <v>100</v>
      </c>
      <c r="AQ879">
        <v>0.78934899999999997</v>
      </c>
      <c r="AR879">
        <v>78.934914000000006</v>
      </c>
      <c r="AS879">
        <v>100</v>
      </c>
      <c r="AT879">
        <v>0.47776299999999999</v>
      </c>
      <c r="AU879">
        <v>0.74675499999999995</v>
      </c>
      <c r="AV879">
        <v>47.776280999999997</v>
      </c>
      <c r="AW879">
        <v>100</v>
      </c>
      <c r="AX879">
        <v>0.73393600000000003</v>
      </c>
      <c r="AY879">
        <v>0.88121899999999997</v>
      </c>
      <c r="AZ879">
        <v>73.393586999999997</v>
      </c>
      <c r="BA879">
        <v>100</v>
      </c>
      <c r="BB879">
        <v>0.80303999999999998</v>
      </c>
      <c r="BC879">
        <v>40.152003000000001</v>
      </c>
      <c r="BD879">
        <v>50</v>
      </c>
      <c r="BE879">
        <v>0.51141599999999998</v>
      </c>
      <c r="BF879">
        <v>25.570820999999999</v>
      </c>
      <c r="BG879">
        <v>50</v>
      </c>
      <c r="BH879">
        <v>0</v>
      </c>
      <c r="BI879">
        <v>0.98451999999999995</v>
      </c>
      <c r="BJ879">
        <v>0.99532699999999996</v>
      </c>
      <c r="BK879">
        <v>0.96330300000000002</v>
      </c>
      <c r="BL879">
        <v>0.98451999999999995</v>
      </c>
      <c r="BM879">
        <v>0.99532699999999996</v>
      </c>
      <c r="BN879">
        <v>0.96330300000000002</v>
      </c>
      <c r="BO879">
        <v>0.98058299999999998</v>
      </c>
      <c r="BP879">
        <v>1</v>
      </c>
      <c r="BQ879">
        <v>0.94871799999999995</v>
      </c>
      <c r="BR879">
        <v>0.12057900000000001</v>
      </c>
      <c r="BS879">
        <v>35.884244000000002</v>
      </c>
      <c r="BT879">
        <v>50</v>
      </c>
      <c r="BU879">
        <v>0.15647900000000001</v>
      </c>
      <c r="BV879">
        <v>28.704156000000001</v>
      </c>
      <c r="BW879">
        <v>50</v>
      </c>
      <c r="BX879" t="s">
        <v>125</v>
      </c>
      <c r="BY879" t="s">
        <v>125</v>
      </c>
      <c r="BZ879" t="s">
        <v>125</v>
      </c>
      <c r="CA879" t="s">
        <v>125</v>
      </c>
      <c r="CB879" t="s">
        <v>125</v>
      </c>
      <c r="CC879" t="s">
        <v>125</v>
      </c>
      <c r="CD879" t="s">
        <v>125</v>
      </c>
      <c r="CE879" t="s">
        <v>125</v>
      </c>
      <c r="CF879" t="s">
        <v>125</v>
      </c>
      <c r="CG879" t="s">
        <v>125</v>
      </c>
      <c r="CH879" t="s">
        <v>125</v>
      </c>
      <c r="CI879" t="s">
        <v>125</v>
      </c>
      <c r="CJ879" t="s">
        <v>125</v>
      </c>
      <c r="CK879" t="s">
        <v>125</v>
      </c>
      <c r="CL879" t="s">
        <v>125</v>
      </c>
      <c r="CM879" t="s">
        <v>125</v>
      </c>
      <c r="CN879" t="s">
        <v>125</v>
      </c>
      <c r="CO879" t="s">
        <v>125</v>
      </c>
      <c r="CP879" t="s">
        <v>125</v>
      </c>
      <c r="CQ879">
        <v>0.48214299999999999</v>
      </c>
      <c r="CR879">
        <v>0.96551699999999996</v>
      </c>
      <c r="CS879">
        <v>32.142856999999999</v>
      </c>
      <c r="CT879">
        <v>50</v>
      </c>
      <c r="CU879" t="s">
        <v>125</v>
      </c>
      <c r="CV879" t="s">
        <v>125</v>
      </c>
      <c r="CW879" t="s">
        <v>125</v>
      </c>
      <c r="CX879" t="s">
        <v>125</v>
      </c>
      <c r="CY879" t="s">
        <v>125</v>
      </c>
      <c r="CZ879" t="s">
        <v>125</v>
      </c>
      <c r="DA879">
        <v>15.314097</v>
      </c>
      <c r="DB879">
        <v>17.400950000000002</v>
      </c>
      <c r="DC879">
        <v>16.332519999999999</v>
      </c>
      <c r="DD879" t="s">
        <v>125</v>
      </c>
      <c r="DE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Q879" t="s">
        <v>126</v>
      </c>
    </row>
    <row r="880" spans="1:121" x14ac:dyDescent="0.15">
      <c r="A880">
        <v>2018</v>
      </c>
      <c r="B880" t="s">
        <v>288</v>
      </c>
      <c r="C880" t="str">
        <f t="shared" si="38"/>
        <v>1350011</v>
      </c>
      <c r="D880" t="s">
        <v>1032</v>
      </c>
      <c r="E880" t="str">
        <f>"1351211"</f>
        <v>1351211</v>
      </c>
      <c r="F880" t="s">
        <v>328</v>
      </c>
      <c r="G880" t="s">
        <v>339</v>
      </c>
      <c r="H880">
        <v>5</v>
      </c>
      <c r="I880" t="s">
        <v>330</v>
      </c>
      <c r="J880" t="s">
        <v>331</v>
      </c>
      <c r="K880">
        <v>647.660618</v>
      </c>
      <c r="L880">
        <v>950</v>
      </c>
      <c r="M880">
        <v>68.174802</v>
      </c>
      <c r="N880">
        <v>3</v>
      </c>
      <c r="O880">
        <v>1</v>
      </c>
      <c r="P880">
        <v>65.848318000000006</v>
      </c>
      <c r="Q880">
        <v>43.898879000000001</v>
      </c>
      <c r="R880">
        <v>50</v>
      </c>
      <c r="S880">
        <v>60.817118999999998</v>
      </c>
      <c r="T880">
        <v>75</v>
      </c>
      <c r="U880">
        <v>40.544746000000004</v>
      </c>
      <c r="V880">
        <v>50</v>
      </c>
      <c r="W880">
        <v>62.759647999999999</v>
      </c>
      <c r="X880">
        <v>41.839765999999997</v>
      </c>
      <c r="Y880">
        <v>50</v>
      </c>
      <c r="Z880">
        <v>75</v>
      </c>
      <c r="AA880">
        <v>57.444254999999998</v>
      </c>
      <c r="AB880">
        <v>38.296169999999996</v>
      </c>
      <c r="AC880">
        <v>50</v>
      </c>
      <c r="AD880">
        <v>60.519713000000003</v>
      </c>
      <c r="AE880">
        <v>40.346476000000003</v>
      </c>
      <c r="AF880">
        <v>50</v>
      </c>
      <c r="AG880">
        <v>54.866359000000003</v>
      </c>
      <c r="AH880">
        <v>74.561914999999999</v>
      </c>
      <c r="AI880">
        <v>36.577573000000001</v>
      </c>
      <c r="AJ880">
        <v>50</v>
      </c>
      <c r="AK880">
        <v>14.18</v>
      </c>
      <c r="AL880">
        <v>17.55</v>
      </c>
      <c r="AM880">
        <v>19.690000000000001</v>
      </c>
      <c r="AN880">
        <v>0.58784199999999998</v>
      </c>
      <c r="AO880">
        <v>58.784171000000001</v>
      </c>
      <c r="AP880">
        <v>100</v>
      </c>
      <c r="AQ880">
        <v>0.70197500000000002</v>
      </c>
      <c r="AR880">
        <v>70.197547999999998</v>
      </c>
      <c r="AS880">
        <v>100</v>
      </c>
      <c r="AT880">
        <v>0.58518499999999996</v>
      </c>
      <c r="AU880">
        <v>0.59453599999999995</v>
      </c>
      <c r="AV880">
        <v>58.518462999999997</v>
      </c>
      <c r="AW880">
        <v>100</v>
      </c>
      <c r="AX880">
        <v>0.67087399999999997</v>
      </c>
      <c r="AY880">
        <v>0.78125299999999998</v>
      </c>
      <c r="AZ880">
        <v>67.087428000000003</v>
      </c>
      <c r="BA880">
        <v>100</v>
      </c>
      <c r="BB880">
        <v>0.88991100000000001</v>
      </c>
      <c r="BC880">
        <v>44.495573</v>
      </c>
      <c r="BD880">
        <v>50</v>
      </c>
      <c r="BE880">
        <v>0.66608999999999996</v>
      </c>
      <c r="BF880">
        <v>33.304495000000003</v>
      </c>
      <c r="BG880">
        <v>50</v>
      </c>
      <c r="BH880">
        <v>0</v>
      </c>
      <c r="BI880">
        <v>0.98979600000000001</v>
      </c>
      <c r="BJ880">
        <v>0.98571399999999998</v>
      </c>
      <c r="BK880">
        <v>1</v>
      </c>
      <c r="BL880">
        <v>0.97278900000000001</v>
      </c>
      <c r="BM880">
        <v>0.96666700000000005</v>
      </c>
      <c r="BN880">
        <v>0.98809499999999995</v>
      </c>
      <c r="BO880">
        <v>0.98214299999999999</v>
      </c>
      <c r="BP880">
        <v>1</v>
      </c>
      <c r="BQ880">
        <v>0.94117600000000001</v>
      </c>
      <c r="BR880">
        <v>0.125806</v>
      </c>
      <c r="BS880">
        <v>34.838709999999999</v>
      </c>
      <c r="BT880">
        <v>50</v>
      </c>
      <c r="BU880">
        <v>0.14754100000000001</v>
      </c>
      <c r="BV880">
        <v>30.491803000000001</v>
      </c>
      <c r="BW880">
        <v>50</v>
      </c>
      <c r="BX880" t="s">
        <v>125</v>
      </c>
      <c r="BY880" t="s">
        <v>125</v>
      </c>
      <c r="BZ880" t="s">
        <v>125</v>
      </c>
      <c r="CA880" t="s">
        <v>125</v>
      </c>
      <c r="CB880" t="s">
        <v>125</v>
      </c>
      <c r="CC880" t="s">
        <v>125</v>
      </c>
      <c r="CD880" t="s">
        <v>125</v>
      </c>
      <c r="CE880" t="s">
        <v>125</v>
      </c>
      <c r="CF880" t="s">
        <v>125</v>
      </c>
      <c r="CG880" t="s">
        <v>125</v>
      </c>
      <c r="CH880" t="s">
        <v>125</v>
      </c>
      <c r="CI880" t="s">
        <v>125</v>
      </c>
      <c r="CJ880" t="s">
        <v>125</v>
      </c>
      <c r="CK880" t="s">
        <v>125</v>
      </c>
      <c r="CL880" t="s">
        <v>125</v>
      </c>
      <c r="CM880" t="s">
        <v>125</v>
      </c>
      <c r="CN880" t="s">
        <v>125</v>
      </c>
      <c r="CO880" t="s">
        <v>125</v>
      </c>
      <c r="CP880" t="s">
        <v>125</v>
      </c>
      <c r="CQ880">
        <v>0.25316499999999997</v>
      </c>
      <c r="CR880">
        <v>0.89772700000000005</v>
      </c>
      <c r="CS880">
        <v>8.4388190000000005</v>
      </c>
      <c r="CT880">
        <v>50</v>
      </c>
      <c r="CU880" t="s">
        <v>125</v>
      </c>
      <c r="CV880" t="s">
        <v>125</v>
      </c>
      <c r="CW880" t="s">
        <v>125</v>
      </c>
      <c r="CX880" t="s">
        <v>125</v>
      </c>
      <c r="CY880" t="s">
        <v>125</v>
      </c>
      <c r="CZ880" t="s">
        <v>125</v>
      </c>
      <c r="DA880">
        <v>15.314097</v>
      </c>
      <c r="DB880">
        <v>17.400950000000002</v>
      </c>
      <c r="DC880">
        <v>16.332519999999999</v>
      </c>
      <c r="DD880" t="s">
        <v>125</v>
      </c>
      <c r="DE880">
        <v>1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Q880" t="s">
        <v>126</v>
      </c>
    </row>
    <row r="881" spans="1:121" x14ac:dyDescent="0.15">
      <c r="A881">
        <v>2018</v>
      </c>
      <c r="B881" t="s">
        <v>288</v>
      </c>
      <c r="C881" t="str">
        <f t="shared" si="38"/>
        <v>1350011</v>
      </c>
      <c r="D881" t="s">
        <v>1033</v>
      </c>
      <c r="E881" t="str">
        <f>"1350511"</f>
        <v>1350511</v>
      </c>
      <c r="F881" t="s">
        <v>328</v>
      </c>
      <c r="G881" t="s">
        <v>329</v>
      </c>
      <c r="H881">
        <v>5</v>
      </c>
      <c r="I881" t="s">
        <v>336</v>
      </c>
      <c r="J881" t="s">
        <v>331</v>
      </c>
      <c r="K881">
        <v>637.40062</v>
      </c>
      <c r="L881">
        <v>950</v>
      </c>
      <c r="M881">
        <v>67.094802000000001</v>
      </c>
      <c r="N881">
        <v>3</v>
      </c>
      <c r="O881">
        <v>1</v>
      </c>
      <c r="P881">
        <v>63.426372999999998</v>
      </c>
      <c r="Q881">
        <v>42.284249000000003</v>
      </c>
      <c r="R881">
        <v>50</v>
      </c>
      <c r="S881">
        <v>60.091802000000001</v>
      </c>
      <c r="T881">
        <v>73.727817000000002</v>
      </c>
      <c r="U881">
        <v>40.061200999999997</v>
      </c>
      <c r="V881">
        <v>50</v>
      </c>
      <c r="W881">
        <v>60.316139999999997</v>
      </c>
      <c r="X881">
        <v>40.210760000000001</v>
      </c>
      <c r="Y881">
        <v>50</v>
      </c>
      <c r="Z881">
        <v>74.343541000000002</v>
      </c>
      <c r="AA881">
        <v>55.775478</v>
      </c>
      <c r="AB881">
        <v>37.183652000000002</v>
      </c>
      <c r="AC881">
        <v>50</v>
      </c>
      <c r="AD881">
        <v>62.469135999999999</v>
      </c>
      <c r="AE881">
        <v>41.646090999999998</v>
      </c>
      <c r="AF881">
        <v>50</v>
      </c>
      <c r="AG881">
        <v>58.845056</v>
      </c>
      <c r="AH881">
        <v>73.522581000000002</v>
      </c>
      <c r="AI881">
        <v>39.230037000000003</v>
      </c>
      <c r="AJ881">
        <v>50</v>
      </c>
      <c r="AK881">
        <v>13.63</v>
      </c>
      <c r="AL881">
        <v>18.559999999999999</v>
      </c>
      <c r="AM881">
        <v>14.67</v>
      </c>
      <c r="AN881">
        <v>0.61553899999999995</v>
      </c>
      <c r="AO881">
        <v>61.553944000000001</v>
      </c>
      <c r="AP881">
        <v>100</v>
      </c>
      <c r="AQ881">
        <v>0.60966900000000002</v>
      </c>
      <c r="AR881">
        <v>60.966921999999997</v>
      </c>
      <c r="AS881">
        <v>100</v>
      </c>
      <c r="AT881">
        <v>0.56142499999999995</v>
      </c>
      <c r="AU881">
        <v>0.76817000000000002</v>
      </c>
      <c r="AV881">
        <v>56.142510999999999</v>
      </c>
      <c r="AW881">
        <v>100</v>
      </c>
      <c r="AX881">
        <v>0.57845800000000003</v>
      </c>
      <c r="AY881">
        <v>0.69770200000000004</v>
      </c>
      <c r="AZ881">
        <v>57.845751999999997</v>
      </c>
      <c r="BA881">
        <v>100</v>
      </c>
      <c r="BB881">
        <v>0.76399300000000003</v>
      </c>
      <c r="BC881">
        <v>38.199649000000001</v>
      </c>
      <c r="BD881">
        <v>50</v>
      </c>
      <c r="BE881">
        <v>0.50745300000000004</v>
      </c>
      <c r="BF881">
        <v>25.372668999999998</v>
      </c>
      <c r="BG881">
        <v>50</v>
      </c>
      <c r="BH881">
        <v>0</v>
      </c>
      <c r="BI881">
        <v>0.99187000000000003</v>
      </c>
      <c r="BJ881">
        <v>0.98918899999999998</v>
      </c>
      <c r="BK881">
        <v>1</v>
      </c>
      <c r="BL881">
        <v>0.99187000000000003</v>
      </c>
      <c r="BM881">
        <v>0.98918899999999998</v>
      </c>
      <c r="BN881">
        <v>1</v>
      </c>
      <c r="BO881">
        <v>0.98837200000000003</v>
      </c>
      <c r="BP881">
        <v>0.98461500000000002</v>
      </c>
      <c r="BQ881">
        <v>1</v>
      </c>
      <c r="BR881">
        <v>0.117769</v>
      </c>
      <c r="BS881">
        <v>36.446280999999999</v>
      </c>
      <c r="BT881">
        <v>50</v>
      </c>
      <c r="BU881">
        <v>0.10982699999999999</v>
      </c>
      <c r="BV881">
        <v>38.034681999999997</v>
      </c>
      <c r="BW881">
        <v>50</v>
      </c>
      <c r="BX881" t="s">
        <v>125</v>
      </c>
      <c r="BY881" t="s">
        <v>125</v>
      </c>
      <c r="BZ881" t="s">
        <v>125</v>
      </c>
      <c r="CA881" t="s">
        <v>125</v>
      </c>
      <c r="CB881" t="s">
        <v>125</v>
      </c>
      <c r="CC881" t="s">
        <v>125</v>
      </c>
      <c r="CD881" t="s">
        <v>125</v>
      </c>
      <c r="CE881" t="s">
        <v>125</v>
      </c>
      <c r="CF881" t="s">
        <v>125</v>
      </c>
      <c r="CG881" t="s">
        <v>125</v>
      </c>
      <c r="CH881" t="s">
        <v>125</v>
      </c>
      <c r="CI881" t="s">
        <v>125</v>
      </c>
      <c r="CJ881" t="s">
        <v>125</v>
      </c>
      <c r="CK881" t="s">
        <v>125</v>
      </c>
      <c r="CL881" t="s">
        <v>125</v>
      </c>
      <c r="CM881" t="s">
        <v>125</v>
      </c>
      <c r="CN881" t="s">
        <v>125</v>
      </c>
      <c r="CO881" t="s">
        <v>125</v>
      </c>
      <c r="CP881" t="s">
        <v>125</v>
      </c>
      <c r="CQ881">
        <v>0.33333299999999999</v>
      </c>
      <c r="CR881">
        <v>0.98734200000000005</v>
      </c>
      <c r="CS881">
        <v>22.222221999999999</v>
      </c>
      <c r="CT881">
        <v>50</v>
      </c>
      <c r="CU881" t="s">
        <v>125</v>
      </c>
      <c r="CV881" t="s">
        <v>125</v>
      </c>
      <c r="CW881" t="s">
        <v>125</v>
      </c>
      <c r="CX881" t="s">
        <v>125</v>
      </c>
      <c r="CY881" t="s">
        <v>125</v>
      </c>
      <c r="CZ881" t="s">
        <v>125</v>
      </c>
      <c r="DA881">
        <v>15.314097</v>
      </c>
      <c r="DB881">
        <v>17.400950000000002</v>
      </c>
      <c r="DC881">
        <v>16.332519999999999</v>
      </c>
      <c r="DD881" t="s">
        <v>125</v>
      </c>
      <c r="DE881">
        <v>1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Q881" t="s">
        <v>126</v>
      </c>
    </row>
    <row r="882" spans="1:121" x14ac:dyDescent="0.15">
      <c r="A882">
        <v>2018</v>
      </c>
      <c r="B882" t="s">
        <v>288</v>
      </c>
      <c r="C882" t="str">
        <f t="shared" si="38"/>
        <v>1350011</v>
      </c>
      <c r="D882" t="s">
        <v>1034</v>
      </c>
      <c r="E882" t="str">
        <f>"1350611"</f>
        <v>1350611</v>
      </c>
      <c r="F882" t="s">
        <v>328</v>
      </c>
      <c r="G882" t="s">
        <v>339</v>
      </c>
      <c r="H882">
        <v>5</v>
      </c>
      <c r="I882" t="s">
        <v>330</v>
      </c>
      <c r="J882" t="s">
        <v>331</v>
      </c>
      <c r="K882">
        <v>734.40053399999999</v>
      </c>
      <c r="L882">
        <v>950</v>
      </c>
      <c r="M882">
        <v>77.305318999999997</v>
      </c>
      <c r="N882">
        <v>2</v>
      </c>
      <c r="O882">
        <v>0</v>
      </c>
      <c r="P882">
        <v>69.817867000000007</v>
      </c>
      <c r="Q882">
        <v>46.545245000000001</v>
      </c>
      <c r="R882">
        <v>50</v>
      </c>
      <c r="S882">
        <v>63.079101000000001</v>
      </c>
      <c r="T882">
        <v>75</v>
      </c>
      <c r="U882">
        <v>42.052734000000001</v>
      </c>
      <c r="V882">
        <v>50</v>
      </c>
      <c r="W882">
        <v>65.779471000000001</v>
      </c>
      <c r="X882">
        <v>43.852981</v>
      </c>
      <c r="Y882">
        <v>50</v>
      </c>
      <c r="Z882">
        <v>75</v>
      </c>
      <c r="AA882">
        <v>58.577190000000002</v>
      </c>
      <c r="AB882">
        <v>39.051459999999999</v>
      </c>
      <c r="AC882">
        <v>50</v>
      </c>
      <c r="AD882">
        <v>68.854838999999998</v>
      </c>
      <c r="AE882">
        <v>45.903225999999997</v>
      </c>
      <c r="AF882">
        <v>50</v>
      </c>
      <c r="AG882">
        <v>63.608123999999997</v>
      </c>
      <c r="AH882">
        <v>75</v>
      </c>
      <c r="AI882">
        <v>42.405416000000002</v>
      </c>
      <c r="AJ882">
        <v>50</v>
      </c>
      <c r="AK882">
        <v>11.92</v>
      </c>
      <c r="AL882">
        <v>16.420000000000002</v>
      </c>
      <c r="AM882">
        <v>11.39</v>
      </c>
      <c r="AN882">
        <v>0.71445499999999995</v>
      </c>
      <c r="AO882">
        <v>71.445515999999998</v>
      </c>
      <c r="AP882">
        <v>100</v>
      </c>
      <c r="AQ882">
        <v>0.810643</v>
      </c>
      <c r="AR882">
        <v>81.064263999999994</v>
      </c>
      <c r="AS882">
        <v>100</v>
      </c>
      <c r="AT882">
        <v>0.66820900000000005</v>
      </c>
      <c r="AU882">
        <v>0.800979</v>
      </c>
      <c r="AV882">
        <v>66.820939999999993</v>
      </c>
      <c r="AW882">
        <v>100</v>
      </c>
      <c r="AX882">
        <v>0.75261699999999998</v>
      </c>
      <c r="AY882">
        <v>0.919207</v>
      </c>
      <c r="AZ882">
        <v>75.261661000000004</v>
      </c>
      <c r="BA882">
        <v>100</v>
      </c>
      <c r="BB882">
        <v>0.67347500000000005</v>
      </c>
      <c r="BC882">
        <v>33.673765000000003</v>
      </c>
      <c r="BD882">
        <v>50</v>
      </c>
      <c r="BE882">
        <v>0.53676599999999997</v>
      </c>
      <c r="BF882">
        <v>26.838308999999999</v>
      </c>
      <c r="BG882">
        <v>50</v>
      </c>
      <c r="BH882">
        <v>0</v>
      </c>
      <c r="BI882">
        <v>0.99629599999999996</v>
      </c>
      <c r="BJ882">
        <v>0.994475</v>
      </c>
      <c r="BK882">
        <v>1</v>
      </c>
      <c r="BL882">
        <v>0.99629599999999996</v>
      </c>
      <c r="BM882">
        <v>0.994475</v>
      </c>
      <c r="BN882">
        <v>1</v>
      </c>
      <c r="BO882">
        <v>1</v>
      </c>
      <c r="BP882">
        <v>1</v>
      </c>
      <c r="BQ882">
        <v>1</v>
      </c>
      <c r="BR882">
        <v>8.3333000000000004E-2</v>
      </c>
      <c r="BS882">
        <v>43.333333000000003</v>
      </c>
      <c r="BT882">
        <v>50</v>
      </c>
      <c r="BU882">
        <v>0.106742</v>
      </c>
      <c r="BV882">
        <v>38.651685000000001</v>
      </c>
      <c r="BW882">
        <v>50</v>
      </c>
      <c r="BX882" t="s">
        <v>125</v>
      </c>
      <c r="BY882" t="s">
        <v>125</v>
      </c>
      <c r="BZ882" t="s">
        <v>125</v>
      </c>
      <c r="CA882" t="s">
        <v>125</v>
      </c>
      <c r="CB882" t="s">
        <v>125</v>
      </c>
      <c r="CC882" t="s">
        <v>125</v>
      </c>
      <c r="CD882" t="s">
        <v>125</v>
      </c>
      <c r="CE882" t="s">
        <v>125</v>
      </c>
      <c r="CF882" t="s">
        <v>125</v>
      </c>
      <c r="CG882" t="s">
        <v>125</v>
      </c>
      <c r="CH882" t="s">
        <v>125</v>
      </c>
      <c r="CI882" t="s">
        <v>125</v>
      </c>
      <c r="CJ882" t="s">
        <v>125</v>
      </c>
      <c r="CK882" t="s">
        <v>125</v>
      </c>
      <c r="CL882" t="s">
        <v>125</v>
      </c>
      <c r="CM882" t="s">
        <v>125</v>
      </c>
      <c r="CN882" t="s">
        <v>125</v>
      </c>
      <c r="CO882" t="s">
        <v>125</v>
      </c>
      <c r="CP882" t="s">
        <v>125</v>
      </c>
      <c r="CQ882">
        <v>0.5625</v>
      </c>
      <c r="CR882">
        <v>1</v>
      </c>
      <c r="CS882">
        <v>37.5</v>
      </c>
      <c r="CT882">
        <v>50</v>
      </c>
      <c r="CU882" t="s">
        <v>125</v>
      </c>
      <c r="CV882" t="s">
        <v>125</v>
      </c>
      <c r="CW882" t="s">
        <v>125</v>
      </c>
      <c r="CX882" t="s">
        <v>125</v>
      </c>
      <c r="CY882" t="s">
        <v>125</v>
      </c>
      <c r="CZ882" t="s">
        <v>125</v>
      </c>
      <c r="DA882">
        <v>15.314097</v>
      </c>
      <c r="DB882">
        <v>17.400950000000002</v>
      </c>
      <c r="DC882">
        <v>16.332519999999999</v>
      </c>
      <c r="DD882" t="s">
        <v>125</v>
      </c>
      <c r="DE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Q882" t="s">
        <v>126</v>
      </c>
    </row>
    <row r="883" spans="1:121" x14ac:dyDescent="0.15">
      <c r="A883">
        <v>2018</v>
      </c>
      <c r="B883" t="s">
        <v>288</v>
      </c>
      <c r="C883" t="str">
        <f t="shared" si="38"/>
        <v>1350011</v>
      </c>
      <c r="D883" t="s">
        <v>1035</v>
      </c>
      <c r="E883" t="str">
        <f>"1351811"</f>
        <v>1351811</v>
      </c>
      <c r="F883" t="s">
        <v>328</v>
      </c>
      <c r="G883" t="s">
        <v>339</v>
      </c>
      <c r="H883">
        <v>5</v>
      </c>
      <c r="I883" t="s">
        <v>330</v>
      </c>
      <c r="J883" t="s">
        <v>331</v>
      </c>
      <c r="K883">
        <v>566.69669399999998</v>
      </c>
      <c r="L883">
        <v>950</v>
      </c>
      <c r="M883">
        <v>59.652284000000002</v>
      </c>
      <c r="N883">
        <v>3</v>
      </c>
      <c r="O883">
        <v>1</v>
      </c>
      <c r="P883">
        <v>67.150502000000003</v>
      </c>
      <c r="Q883">
        <v>44.767001</v>
      </c>
      <c r="R883">
        <v>50</v>
      </c>
      <c r="S883">
        <v>53.279501000000003</v>
      </c>
      <c r="T883">
        <v>75</v>
      </c>
      <c r="U883">
        <v>35.519666999999998</v>
      </c>
      <c r="V883">
        <v>50</v>
      </c>
      <c r="W883">
        <v>65.254653000000005</v>
      </c>
      <c r="X883">
        <v>43.503101999999998</v>
      </c>
      <c r="Y883">
        <v>50</v>
      </c>
      <c r="Z883">
        <v>75</v>
      </c>
      <c r="AA883">
        <v>51.613191999999998</v>
      </c>
      <c r="AB883">
        <v>34.408794999999998</v>
      </c>
      <c r="AC883">
        <v>50</v>
      </c>
      <c r="AD883">
        <v>59.085569</v>
      </c>
      <c r="AE883">
        <v>39.390379000000003</v>
      </c>
      <c r="AF883">
        <v>50</v>
      </c>
      <c r="AG883">
        <v>50.123226000000003</v>
      </c>
      <c r="AH883">
        <v>69.043728000000002</v>
      </c>
      <c r="AI883">
        <v>33.415483999999999</v>
      </c>
      <c r="AJ883">
        <v>50</v>
      </c>
      <c r="AK883">
        <v>21.72</v>
      </c>
      <c r="AL883">
        <v>23.38</v>
      </c>
      <c r="AM883">
        <v>18.920000000000002</v>
      </c>
      <c r="AN883">
        <v>0.50932500000000003</v>
      </c>
      <c r="AO883">
        <v>50.932537000000004</v>
      </c>
      <c r="AP883">
        <v>100</v>
      </c>
      <c r="AQ883">
        <v>0.50759799999999999</v>
      </c>
      <c r="AR883">
        <v>50.759821000000002</v>
      </c>
      <c r="AS883">
        <v>100</v>
      </c>
      <c r="AT883">
        <v>0.42890499999999998</v>
      </c>
      <c r="AU883">
        <v>0.60677599999999998</v>
      </c>
      <c r="AV883">
        <v>42.890520000000002</v>
      </c>
      <c r="AW883">
        <v>100</v>
      </c>
      <c r="AX883">
        <v>0.45141100000000001</v>
      </c>
      <c r="AY883">
        <v>0.57568399999999997</v>
      </c>
      <c r="AZ883">
        <v>45.141060000000003</v>
      </c>
      <c r="BA883">
        <v>100</v>
      </c>
      <c r="BB883">
        <v>0.63393900000000003</v>
      </c>
      <c r="BC883">
        <v>31.696926000000001</v>
      </c>
      <c r="BD883">
        <v>50</v>
      </c>
      <c r="BE883">
        <v>0.56218900000000005</v>
      </c>
      <c r="BF883">
        <v>28.109453999999999</v>
      </c>
      <c r="BG883">
        <v>50</v>
      </c>
      <c r="BH883">
        <v>1</v>
      </c>
      <c r="BI883">
        <v>0.98484799999999995</v>
      </c>
      <c r="BJ883">
        <v>0.98918899999999998</v>
      </c>
      <c r="BK883">
        <v>0.97931000000000001</v>
      </c>
      <c r="BL883">
        <v>0.98484799999999995</v>
      </c>
      <c r="BM883">
        <v>0.98918899999999998</v>
      </c>
      <c r="BN883">
        <v>0.97931000000000001</v>
      </c>
      <c r="BO883">
        <v>0.93043500000000001</v>
      </c>
      <c r="BP883">
        <v>0.93939399999999995</v>
      </c>
      <c r="BQ883">
        <v>0.91836700000000004</v>
      </c>
      <c r="BR883">
        <v>9.6272999999999997E-2</v>
      </c>
      <c r="BS883">
        <v>40.745342000000001</v>
      </c>
      <c r="BT883">
        <v>50</v>
      </c>
      <c r="BU883">
        <v>0.144847</v>
      </c>
      <c r="BV883">
        <v>31.030640999999999</v>
      </c>
      <c r="BW883">
        <v>50</v>
      </c>
      <c r="BX883" t="s">
        <v>125</v>
      </c>
      <c r="BY883" t="s">
        <v>125</v>
      </c>
      <c r="BZ883" t="s">
        <v>125</v>
      </c>
      <c r="CA883" t="s">
        <v>125</v>
      </c>
      <c r="CB883" t="s">
        <v>125</v>
      </c>
      <c r="CC883" t="s">
        <v>125</v>
      </c>
      <c r="CD883" t="s">
        <v>125</v>
      </c>
      <c r="CE883" t="s">
        <v>125</v>
      </c>
      <c r="CF883" t="s">
        <v>125</v>
      </c>
      <c r="CG883" t="s">
        <v>125</v>
      </c>
      <c r="CH883" t="s">
        <v>125</v>
      </c>
      <c r="CI883" t="s">
        <v>125</v>
      </c>
      <c r="CJ883" t="s">
        <v>125</v>
      </c>
      <c r="CK883" t="s">
        <v>125</v>
      </c>
      <c r="CL883" t="s">
        <v>125</v>
      </c>
      <c r="CM883" t="s">
        <v>125</v>
      </c>
      <c r="CN883" t="s">
        <v>125</v>
      </c>
      <c r="CO883" t="s">
        <v>125</v>
      </c>
      <c r="CP883" t="s">
        <v>125</v>
      </c>
      <c r="CQ883">
        <v>0.43157899999999999</v>
      </c>
      <c r="CR883">
        <v>0.86363599999999996</v>
      </c>
      <c r="CS883">
        <v>14.385965000000001</v>
      </c>
      <c r="CT883">
        <v>50</v>
      </c>
      <c r="CU883" t="s">
        <v>125</v>
      </c>
      <c r="CV883" t="s">
        <v>125</v>
      </c>
      <c r="CW883" t="s">
        <v>125</v>
      </c>
      <c r="CX883" t="s">
        <v>125</v>
      </c>
      <c r="CY883" t="s">
        <v>125</v>
      </c>
      <c r="CZ883" t="s">
        <v>125</v>
      </c>
      <c r="DA883">
        <v>15.314097</v>
      </c>
      <c r="DB883">
        <v>17.400950000000002</v>
      </c>
      <c r="DC883">
        <v>16.332519999999999</v>
      </c>
      <c r="DD883" t="s">
        <v>125</v>
      </c>
      <c r="DE883">
        <v>1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Q883" t="s">
        <v>126</v>
      </c>
    </row>
    <row r="884" spans="1:121" x14ac:dyDescent="0.15">
      <c r="A884">
        <v>2018</v>
      </c>
      <c r="B884" t="s">
        <v>288</v>
      </c>
      <c r="C884" t="str">
        <f t="shared" si="38"/>
        <v>1350011</v>
      </c>
      <c r="D884" t="s">
        <v>1036</v>
      </c>
      <c r="E884" t="str">
        <f>"1355811"</f>
        <v>1355811</v>
      </c>
      <c r="F884" t="s">
        <v>328</v>
      </c>
      <c r="G884">
        <v>6</v>
      </c>
      <c r="H884">
        <v>8</v>
      </c>
      <c r="J884" t="s">
        <v>331</v>
      </c>
      <c r="K884">
        <v>564.09853399999997</v>
      </c>
      <c r="L884">
        <v>1000</v>
      </c>
      <c r="M884">
        <v>56.409852999999998</v>
      </c>
      <c r="N884">
        <v>3</v>
      </c>
      <c r="O884">
        <v>1</v>
      </c>
      <c r="P884">
        <v>58.924357999999998</v>
      </c>
      <c r="Q884">
        <v>39.282905</v>
      </c>
      <c r="R884">
        <v>50</v>
      </c>
      <c r="S884">
        <v>53.425319000000002</v>
      </c>
      <c r="T884">
        <v>72.810818999999995</v>
      </c>
      <c r="U884">
        <v>35.616878999999997</v>
      </c>
      <c r="V884">
        <v>50</v>
      </c>
      <c r="W884">
        <v>53.771503000000003</v>
      </c>
      <c r="X884">
        <v>35.847669000000003</v>
      </c>
      <c r="Y884">
        <v>50</v>
      </c>
      <c r="Z884">
        <v>68.993538999999998</v>
      </c>
      <c r="AA884">
        <v>47.731496999999997</v>
      </c>
      <c r="AB884">
        <v>31.820997999999999</v>
      </c>
      <c r="AC884">
        <v>50</v>
      </c>
      <c r="AD884">
        <v>54.196010999999999</v>
      </c>
      <c r="AE884">
        <v>36.130673999999999</v>
      </c>
      <c r="AF884">
        <v>50</v>
      </c>
      <c r="AG884">
        <v>49.781402999999997</v>
      </c>
      <c r="AH884">
        <v>64.947720000000004</v>
      </c>
      <c r="AI884">
        <v>33.187601999999998</v>
      </c>
      <c r="AJ884">
        <v>50</v>
      </c>
      <c r="AK884">
        <v>19.38</v>
      </c>
      <c r="AL884">
        <v>21.26</v>
      </c>
      <c r="AM884">
        <v>15.16</v>
      </c>
      <c r="AN884">
        <v>0.46751300000000001</v>
      </c>
      <c r="AO884">
        <v>46.751331</v>
      </c>
      <c r="AP884">
        <v>100</v>
      </c>
      <c r="AQ884">
        <v>0.504853</v>
      </c>
      <c r="AR884">
        <v>50.485298</v>
      </c>
      <c r="AS884">
        <v>100</v>
      </c>
      <c r="AT884">
        <v>0.44863799999999998</v>
      </c>
      <c r="AU884">
        <v>0.51296799999999998</v>
      </c>
      <c r="AV884">
        <v>44.863791999999997</v>
      </c>
      <c r="AW884">
        <v>100</v>
      </c>
      <c r="AX884">
        <v>0.47723700000000002</v>
      </c>
      <c r="AY884">
        <v>0.571357</v>
      </c>
      <c r="AZ884">
        <v>47.723685000000003</v>
      </c>
      <c r="BA884">
        <v>100</v>
      </c>
      <c r="BB884">
        <v>0.48402000000000001</v>
      </c>
      <c r="BC884">
        <v>24.201011999999999</v>
      </c>
      <c r="BD884">
        <v>50</v>
      </c>
      <c r="BE884">
        <v>0.60491499999999998</v>
      </c>
      <c r="BF884">
        <v>30.245739</v>
      </c>
      <c r="BG884">
        <v>50</v>
      </c>
      <c r="BH884">
        <v>0</v>
      </c>
      <c r="BI884">
        <v>0.97509800000000002</v>
      </c>
      <c r="BJ884">
        <v>0.97472899999999996</v>
      </c>
      <c r="BK884">
        <v>0.97607699999999997</v>
      </c>
      <c r="BL884">
        <v>0.97382199999999997</v>
      </c>
      <c r="BM884">
        <v>0.97297299999999998</v>
      </c>
      <c r="BN884">
        <v>0.97607699999999997</v>
      </c>
      <c r="BO884">
        <v>0.96610200000000002</v>
      </c>
      <c r="BP884">
        <v>0.96511599999999997</v>
      </c>
      <c r="BQ884">
        <v>0.96875</v>
      </c>
      <c r="BR884">
        <v>0.16513800000000001</v>
      </c>
      <c r="BS884">
        <v>26.972477000000001</v>
      </c>
      <c r="BT884">
        <v>50</v>
      </c>
      <c r="BU884">
        <v>0.19489999999999999</v>
      </c>
      <c r="BV884">
        <v>21.020036000000001</v>
      </c>
      <c r="BW884">
        <v>50</v>
      </c>
      <c r="BX884" t="s">
        <v>125</v>
      </c>
      <c r="BY884" t="s">
        <v>125</v>
      </c>
      <c r="BZ884" t="s">
        <v>125</v>
      </c>
      <c r="CA884" t="s">
        <v>125</v>
      </c>
      <c r="CB884" t="s">
        <v>125</v>
      </c>
      <c r="CC884" t="s">
        <v>125</v>
      </c>
      <c r="CD884">
        <v>0.85596700000000003</v>
      </c>
      <c r="CE884">
        <v>45.530163999999999</v>
      </c>
      <c r="CF884">
        <v>50</v>
      </c>
      <c r="CG884" t="s">
        <v>125</v>
      </c>
      <c r="CH884" t="s">
        <v>125</v>
      </c>
      <c r="CI884" t="s">
        <v>125</v>
      </c>
      <c r="CJ884" t="s">
        <v>125</v>
      </c>
      <c r="CK884" t="s">
        <v>125</v>
      </c>
      <c r="CL884" t="s">
        <v>125</v>
      </c>
      <c r="CM884" t="s">
        <v>125</v>
      </c>
      <c r="CN884" t="s">
        <v>125</v>
      </c>
      <c r="CO884" t="s">
        <v>125</v>
      </c>
      <c r="CP884" t="s">
        <v>125</v>
      </c>
      <c r="CQ884">
        <v>0.21627399999999999</v>
      </c>
      <c r="CR884">
        <v>0.910331</v>
      </c>
      <c r="CS884">
        <v>14.418272999999999</v>
      </c>
      <c r="CT884">
        <v>50</v>
      </c>
      <c r="CU884" t="s">
        <v>125</v>
      </c>
      <c r="CV884" t="s">
        <v>125</v>
      </c>
      <c r="CW884" t="s">
        <v>125</v>
      </c>
      <c r="CX884" t="s">
        <v>125</v>
      </c>
      <c r="CY884" t="s">
        <v>125</v>
      </c>
      <c r="CZ884" t="s">
        <v>125</v>
      </c>
      <c r="DA884">
        <v>15.314097</v>
      </c>
      <c r="DB884">
        <v>17.400950000000002</v>
      </c>
      <c r="DC884">
        <v>16.332519999999999</v>
      </c>
      <c r="DD884" t="s">
        <v>125</v>
      </c>
      <c r="DE884">
        <v>1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Q884" t="s">
        <v>126</v>
      </c>
    </row>
    <row r="885" spans="1:121" x14ac:dyDescent="0.15">
      <c r="A885">
        <v>2018</v>
      </c>
      <c r="B885" t="s">
        <v>288</v>
      </c>
      <c r="C885" t="str">
        <f t="shared" si="38"/>
        <v>1350011</v>
      </c>
      <c r="D885" t="s">
        <v>1037</v>
      </c>
      <c r="E885" t="str">
        <f>"1350811"</f>
        <v>1350811</v>
      </c>
      <c r="F885" t="s">
        <v>328</v>
      </c>
      <c r="G885" t="s">
        <v>339</v>
      </c>
      <c r="H885">
        <v>8</v>
      </c>
      <c r="J885" t="s">
        <v>331</v>
      </c>
      <c r="K885">
        <v>737.43226400000003</v>
      </c>
      <c r="L885">
        <v>1000</v>
      </c>
      <c r="M885">
        <v>73.743226000000007</v>
      </c>
      <c r="N885">
        <v>3</v>
      </c>
      <c r="O885">
        <v>0</v>
      </c>
      <c r="P885">
        <v>73.061774</v>
      </c>
      <c r="Q885">
        <v>48.707849000000003</v>
      </c>
      <c r="R885">
        <v>50</v>
      </c>
      <c r="S885">
        <v>62.636311999999997</v>
      </c>
      <c r="T885">
        <v>75</v>
      </c>
      <c r="U885">
        <v>41.757542000000001</v>
      </c>
      <c r="V885">
        <v>50</v>
      </c>
      <c r="W885">
        <v>70.819214000000002</v>
      </c>
      <c r="X885">
        <v>47.212809</v>
      </c>
      <c r="Y885">
        <v>50</v>
      </c>
      <c r="Z885">
        <v>75</v>
      </c>
      <c r="AA885">
        <v>59.914231000000001</v>
      </c>
      <c r="AB885">
        <v>39.942821000000002</v>
      </c>
      <c r="AC885">
        <v>50</v>
      </c>
      <c r="AD885">
        <v>69.571111000000002</v>
      </c>
      <c r="AE885">
        <v>46.380741</v>
      </c>
      <c r="AF885">
        <v>50</v>
      </c>
      <c r="AG885">
        <v>59.870002999999997</v>
      </c>
      <c r="AH885">
        <v>75</v>
      </c>
      <c r="AI885">
        <v>39.913334999999996</v>
      </c>
      <c r="AJ885">
        <v>50</v>
      </c>
      <c r="AK885">
        <v>12.36</v>
      </c>
      <c r="AL885">
        <v>15.08</v>
      </c>
      <c r="AM885">
        <v>15.12</v>
      </c>
      <c r="AN885">
        <v>0.63037399999999999</v>
      </c>
      <c r="AO885">
        <v>63.037373000000002</v>
      </c>
      <c r="AP885">
        <v>100</v>
      </c>
      <c r="AQ885">
        <v>0.66336399999999995</v>
      </c>
      <c r="AR885">
        <v>66.336408000000006</v>
      </c>
      <c r="AS885">
        <v>100</v>
      </c>
      <c r="AT885">
        <v>0.55121500000000001</v>
      </c>
      <c r="AU885">
        <v>0.698125</v>
      </c>
      <c r="AV885">
        <v>55.121543000000003</v>
      </c>
      <c r="AW885">
        <v>100</v>
      </c>
      <c r="AX885">
        <v>0.56276499999999996</v>
      </c>
      <c r="AY885">
        <v>0.74984399999999996</v>
      </c>
      <c r="AZ885">
        <v>56.276482000000001</v>
      </c>
      <c r="BA885">
        <v>100</v>
      </c>
      <c r="BB885">
        <v>0.72495900000000002</v>
      </c>
      <c r="BC885">
        <v>36.247934999999998</v>
      </c>
      <c r="BD885">
        <v>50</v>
      </c>
      <c r="BE885">
        <v>0.452816</v>
      </c>
      <c r="BF885">
        <v>22.640816999999998</v>
      </c>
      <c r="BG885">
        <v>50</v>
      </c>
      <c r="BH885">
        <v>1</v>
      </c>
      <c r="BI885">
        <v>0.98130799999999996</v>
      </c>
      <c r="BJ885">
        <v>0.97647099999999998</v>
      </c>
      <c r="BK885">
        <v>0.98571399999999998</v>
      </c>
      <c r="BL885">
        <v>0.97943899999999995</v>
      </c>
      <c r="BM885">
        <v>0.97647099999999998</v>
      </c>
      <c r="BN885">
        <v>0.98214299999999999</v>
      </c>
      <c r="BO885">
        <v>0.97142899999999999</v>
      </c>
      <c r="BP885">
        <v>0.94318199999999996</v>
      </c>
      <c r="BQ885">
        <v>1</v>
      </c>
      <c r="BR885">
        <v>3.3624000000000001E-2</v>
      </c>
      <c r="BS885">
        <v>50</v>
      </c>
      <c r="BT885">
        <v>50</v>
      </c>
      <c r="BU885">
        <v>4.5455000000000002E-2</v>
      </c>
      <c r="BV885">
        <v>50</v>
      </c>
      <c r="BW885">
        <v>50</v>
      </c>
      <c r="BX885" t="s">
        <v>125</v>
      </c>
      <c r="BY885" t="s">
        <v>125</v>
      </c>
      <c r="BZ885" t="s">
        <v>125</v>
      </c>
      <c r="CA885" t="s">
        <v>125</v>
      </c>
      <c r="CB885" t="s">
        <v>125</v>
      </c>
      <c r="CC885" t="s">
        <v>125</v>
      </c>
      <c r="CD885">
        <v>0.93055600000000005</v>
      </c>
      <c r="CE885">
        <v>49.497636</v>
      </c>
      <c r="CF885">
        <v>50</v>
      </c>
      <c r="CG885" t="s">
        <v>125</v>
      </c>
      <c r="CH885" t="s">
        <v>125</v>
      </c>
      <c r="CI885" t="s">
        <v>125</v>
      </c>
      <c r="CJ885" t="s">
        <v>125</v>
      </c>
      <c r="CK885" t="s">
        <v>125</v>
      </c>
      <c r="CL885" t="s">
        <v>125</v>
      </c>
      <c r="CM885" t="s">
        <v>125</v>
      </c>
      <c r="CN885" t="s">
        <v>125</v>
      </c>
      <c r="CO885" t="s">
        <v>125</v>
      </c>
      <c r="CP885" t="s">
        <v>125</v>
      </c>
      <c r="CQ885">
        <v>0.36538500000000002</v>
      </c>
      <c r="CR885">
        <v>0.981132</v>
      </c>
      <c r="CS885">
        <v>24.358974</v>
      </c>
      <c r="CT885">
        <v>50</v>
      </c>
      <c r="CU885" t="s">
        <v>125</v>
      </c>
      <c r="CV885" t="s">
        <v>125</v>
      </c>
      <c r="CW885" t="s">
        <v>125</v>
      </c>
      <c r="CX885" t="s">
        <v>125</v>
      </c>
      <c r="CY885" t="s">
        <v>125</v>
      </c>
      <c r="CZ885" t="s">
        <v>125</v>
      </c>
      <c r="DA885">
        <v>15.314097</v>
      </c>
      <c r="DB885">
        <v>17.400950000000002</v>
      </c>
      <c r="DC885">
        <v>16.332519999999999</v>
      </c>
      <c r="DD885" t="s">
        <v>125</v>
      </c>
      <c r="DE885">
        <v>1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Q885" t="s">
        <v>126</v>
      </c>
    </row>
    <row r="886" spans="1:121" x14ac:dyDescent="0.15">
      <c r="A886">
        <v>2018</v>
      </c>
      <c r="B886" t="s">
        <v>288</v>
      </c>
      <c r="C886" t="str">
        <f t="shared" si="38"/>
        <v>1350011</v>
      </c>
      <c r="D886" t="s">
        <v>1038</v>
      </c>
      <c r="E886" t="str">
        <f>"1350911"</f>
        <v>1350911</v>
      </c>
      <c r="F886" t="s">
        <v>328</v>
      </c>
      <c r="G886" t="s">
        <v>329</v>
      </c>
      <c r="H886">
        <v>5</v>
      </c>
      <c r="I886" t="s">
        <v>336</v>
      </c>
      <c r="J886" t="s">
        <v>331</v>
      </c>
      <c r="K886">
        <v>626.46247900000003</v>
      </c>
      <c r="L886">
        <v>950</v>
      </c>
      <c r="M886">
        <v>65.943419000000006</v>
      </c>
      <c r="N886">
        <v>3</v>
      </c>
      <c r="O886">
        <v>1</v>
      </c>
      <c r="P886">
        <v>65.271377000000001</v>
      </c>
      <c r="Q886">
        <v>43.514251000000002</v>
      </c>
      <c r="R886">
        <v>50</v>
      </c>
      <c r="S886">
        <v>58.700972999999998</v>
      </c>
      <c r="T886">
        <v>75</v>
      </c>
      <c r="U886">
        <v>39.133982000000003</v>
      </c>
      <c r="V886">
        <v>50</v>
      </c>
      <c r="W886">
        <v>60.725225000000002</v>
      </c>
      <c r="X886">
        <v>40.483483999999997</v>
      </c>
      <c r="Y886">
        <v>50</v>
      </c>
      <c r="Z886">
        <v>75</v>
      </c>
      <c r="AA886">
        <v>54.425756</v>
      </c>
      <c r="AB886">
        <v>36.283838000000003</v>
      </c>
      <c r="AC886">
        <v>50</v>
      </c>
      <c r="AD886">
        <v>60.894900999999997</v>
      </c>
      <c r="AE886">
        <v>40.596601</v>
      </c>
      <c r="AF886">
        <v>50</v>
      </c>
      <c r="AG886">
        <v>56.726882000000003</v>
      </c>
      <c r="AH886" t="s">
        <v>125</v>
      </c>
      <c r="AI886">
        <v>37.817920999999998</v>
      </c>
      <c r="AJ886">
        <v>50</v>
      </c>
      <c r="AK886">
        <v>16.29</v>
      </c>
      <c r="AL886">
        <v>20.57</v>
      </c>
      <c r="AM886" t="s">
        <v>125</v>
      </c>
      <c r="AN886">
        <v>0.63206600000000002</v>
      </c>
      <c r="AO886">
        <v>63.206639000000003</v>
      </c>
      <c r="AP886">
        <v>100</v>
      </c>
      <c r="AQ886">
        <v>0.56596599999999997</v>
      </c>
      <c r="AR886">
        <v>56.596643999999998</v>
      </c>
      <c r="AS886">
        <v>100</v>
      </c>
      <c r="AT886">
        <v>0.59595200000000004</v>
      </c>
      <c r="AU886">
        <v>0.72160000000000002</v>
      </c>
      <c r="AV886">
        <v>59.595191</v>
      </c>
      <c r="AW886">
        <v>100</v>
      </c>
      <c r="AX886">
        <v>0.50499799999999995</v>
      </c>
      <c r="AY886">
        <v>0.71711800000000003</v>
      </c>
      <c r="AZ886">
        <v>50.499758999999997</v>
      </c>
      <c r="BA886">
        <v>100</v>
      </c>
      <c r="BB886">
        <v>0.67449300000000001</v>
      </c>
      <c r="BC886">
        <v>33.724670000000003</v>
      </c>
      <c r="BD886">
        <v>50</v>
      </c>
      <c r="BE886">
        <v>0.62342799999999998</v>
      </c>
      <c r="BF886">
        <v>31.171395</v>
      </c>
      <c r="BG886">
        <v>50</v>
      </c>
      <c r="BH886">
        <v>0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 t="s">
        <v>125</v>
      </c>
      <c r="BR886">
        <v>9.6831E-2</v>
      </c>
      <c r="BS886">
        <v>40.633803</v>
      </c>
      <c r="BT886">
        <v>50</v>
      </c>
      <c r="BU886">
        <v>0.12</v>
      </c>
      <c r="BV886">
        <v>36</v>
      </c>
      <c r="BW886">
        <v>50</v>
      </c>
      <c r="BX886" t="s">
        <v>125</v>
      </c>
      <c r="BY886" t="s">
        <v>125</v>
      </c>
      <c r="BZ886" t="s">
        <v>125</v>
      </c>
      <c r="CA886" t="s">
        <v>125</v>
      </c>
      <c r="CB886" t="s">
        <v>125</v>
      </c>
      <c r="CC886" t="s">
        <v>125</v>
      </c>
      <c r="CD886" t="s">
        <v>125</v>
      </c>
      <c r="CE886" t="s">
        <v>125</v>
      </c>
      <c r="CF886" t="s">
        <v>125</v>
      </c>
      <c r="CG886" t="s">
        <v>125</v>
      </c>
      <c r="CH886" t="s">
        <v>125</v>
      </c>
      <c r="CI886" t="s">
        <v>125</v>
      </c>
      <c r="CJ886" t="s">
        <v>125</v>
      </c>
      <c r="CK886" t="s">
        <v>125</v>
      </c>
      <c r="CL886" t="s">
        <v>125</v>
      </c>
      <c r="CM886" t="s">
        <v>125</v>
      </c>
      <c r="CN886" t="s">
        <v>125</v>
      </c>
      <c r="CO886" t="s">
        <v>125</v>
      </c>
      <c r="CP886" t="s">
        <v>125</v>
      </c>
      <c r="CQ886">
        <v>0.25806499999999999</v>
      </c>
      <c r="CR886">
        <v>0.98936199999999996</v>
      </c>
      <c r="CS886">
        <v>17.204301000000001</v>
      </c>
      <c r="CT886">
        <v>50</v>
      </c>
      <c r="CU886" t="s">
        <v>125</v>
      </c>
      <c r="CV886" t="s">
        <v>125</v>
      </c>
      <c r="CW886" t="s">
        <v>125</v>
      </c>
      <c r="CX886" t="s">
        <v>125</v>
      </c>
      <c r="CY886" t="s">
        <v>125</v>
      </c>
      <c r="CZ886" t="s">
        <v>125</v>
      </c>
      <c r="DA886">
        <v>15.314097</v>
      </c>
      <c r="DB886">
        <v>17.400950000000002</v>
      </c>
      <c r="DC886">
        <v>16.332519999999999</v>
      </c>
      <c r="DD886" t="s">
        <v>125</v>
      </c>
      <c r="DE886">
        <v>1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Q886" t="s">
        <v>126</v>
      </c>
    </row>
    <row r="887" spans="1:121" x14ac:dyDescent="0.15">
      <c r="A887">
        <v>2018</v>
      </c>
      <c r="B887" t="s">
        <v>288</v>
      </c>
      <c r="C887" t="str">
        <f t="shared" si="38"/>
        <v>1350011</v>
      </c>
      <c r="D887" t="s">
        <v>1039</v>
      </c>
      <c r="E887" t="str">
        <f>"1355711"</f>
        <v>1355711</v>
      </c>
      <c r="F887" t="s">
        <v>328</v>
      </c>
      <c r="G887">
        <v>6</v>
      </c>
      <c r="H887">
        <v>8</v>
      </c>
      <c r="J887" t="s">
        <v>331</v>
      </c>
      <c r="K887">
        <v>698.11268500000006</v>
      </c>
      <c r="L887">
        <v>1000</v>
      </c>
      <c r="M887">
        <v>69.811267999999998</v>
      </c>
      <c r="N887">
        <v>3</v>
      </c>
      <c r="O887">
        <v>0</v>
      </c>
      <c r="P887">
        <v>71.857975999999994</v>
      </c>
      <c r="Q887">
        <v>47.905316999999997</v>
      </c>
      <c r="R887">
        <v>50</v>
      </c>
      <c r="S887">
        <v>64.647383000000005</v>
      </c>
      <c r="T887">
        <v>75</v>
      </c>
      <c r="U887">
        <v>43.098255999999999</v>
      </c>
      <c r="V887">
        <v>50</v>
      </c>
      <c r="W887">
        <v>66.467650000000006</v>
      </c>
      <c r="X887">
        <v>44.311765999999999</v>
      </c>
      <c r="Y887">
        <v>50</v>
      </c>
      <c r="Z887">
        <v>75</v>
      </c>
      <c r="AA887">
        <v>58.818615000000001</v>
      </c>
      <c r="AB887">
        <v>39.212409999999998</v>
      </c>
      <c r="AC887">
        <v>50</v>
      </c>
      <c r="AD887">
        <v>68.865899999999996</v>
      </c>
      <c r="AE887">
        <v>45.910600000000002</v>
      </c>
      <c r="AF887">
        <v>50</v>
      </c>
      <c r="AG887">
        <v>62.748767999999998</v>
      </c>
      <c r="AH887">
        <v>75</v>
      </c>
      <c r="AI887">
        <v>41.832512000000001</v>
      </c>
      <c r="AJ887">
        <v>50</v>
      </c>
      <c r="AK887">
        <v>10.35</v>
      </c>
      <c r="AL887">
        <v>16.18</v>
      </c>
      <c r="AM887">
        <v>12.25</v>
      </c>
      <c r="AN887">
        <v>0.56882900000000003</v>
      </c>
      <c r="AO887">
        <v>56.882944999999999</v>
      </c>
      <c r="AP887">
        <v>100</v>
      </c>
      <c r="AQ887">
        <v>0.504965</v>
      </c>
      <c r="AR887">
        <v>50.496516999999997</v>
      </c>
      <c r="AS887">
        <v>100</v>
      </c>
      <c r="AT887">
        <v>0.52410400000000001</v>
      </c>
      <c r="AU887">
        <v>0.63009400000000004</v>
      </c>
      <c r="AV887">
        <v>52.410429000000001</v>
      </c>
      <c r="AW887">
        <v>100</v>
      </c>
      <c r="AX887">
        <v>0.44299699999999997</v>
      </c>
      <c r="AY887">
        <v>0.590171</v>
      </c>
      <c r="AZ887">
        <v>44.299728999999999</v>
      </c>
      <c r="BA887">
        <v>100</v>
      </c>
      <c r="BB887">
        <v>0.67668600000000001</v>
      </c>
      <c r="BC887">
        <v>33.834277999999998</v>
      </c>
      <c r="BD887">
        <v>50</v>
      </c>
      <c r="BE887">
        <v>0.62443000000000004</v>
      </c>
      <c r="BF887">
        <v>31.221478000000001</v>
      </c>
      <c r="BG887">
        <v>50</v>
      </c>
      <c r="BH887">
        <v>0</v>
      </c>
      <c r="BI887">
        <v>0.995313</v>
      </c>
      <c r="BJ887">
        <v>0.99466699999999997</v>
      </c>
      <c r="BK887">
        <v>0.99622599999999994</v>
      </c>
      <c r="BL887">
        <v>0.995313</v>
      </c>
      <c r="BM887">
        <v>0.99466699999999997</v>
      </c>
      <c r="BN887">
        <v>0.99622599999999994</v>
      </c>
      <c r="BO887">
        <v>0.99043099999999995</v>
      </c>
      <c r="BP887">
        <v>0.98347099999999998</v>
      </c>
      <c r="BQ887">
        <v>1</v>
      </c>
      <c r="BR887">
        <v>4.6875E-2</v>
      </c>
      <c r="BS887">
        <v>50</v>
      </c>
      <c r="BT887">
        <v>50</v>
      </c>
      <c r="BU887">
        <v>5.7221000000000001E-2</v>
      </c>
      <c r="BV887">
        <v>48.555858000000001</v>
      </c>
      <c r="BW887">
        <v>50</v>
      </c>
      <c r="BX887" t="s">
        <v>125</v>
      </c>
      <c r="BY887" t="s">
        <v>125</v>
      </c>
      <c r="BZ887" t="s">
        <v>125</v>
      </c>
      <c r="CA887" t="s">
        <v>125</v>
      </c>
      <c r="CB887" t="s">
        <v>125</v>
      </c>
      <c r="CC887" t="s">
        <v>125</v>
      </c>
      <c r="CD887">
        <v>0.954955</v>
      </c>
      <c r="CE887">
        <v>50</v>
      </c>
      <c r="CF887">
        <v>50</v>
      </c>
      <c r="CG887" t="s">
        <v>125</v>
      </c>
      <c r="CH887" t="s">
        <v>125</v>
      </c>
      <c r="CI887" t="s">
        <v>125</v>
      </c>
      <c r="CJ887" t="s">
        <v>125</v>
      </c>
      <c r="CK887" t="s">
        <v>125</v>
      </c>
      <c r="CL887" t="s">
        <v>125</v>
      </c>
      <c r="CM887" t="s">
        <v>125</v>
      </c>
      <c r="CN887" t="s">
        <v>125</v>
      </c>
      <c r="CO887" t="s">
        <v>125</v>
      </c>
      <c r="CP887" t="s">
        <v>125</v>
      </c>
      <c r="CQ887">
        <v>0.27210899999999999</v>
      </c>
      <c r="CR887">
        <v>0.99324299999999999</v>
      </c>
      <c r="CS887">
        <v>18.14059</v>
      </c>
      <c r="CT887">
        <v>50</v>
      </c>
      <c r="CU887" t="s">
        <v>125</v>
      </c>
      <c r="CV887" t="s">
        <v>125</v>
      </c>
      <c r="CW887" t="s">
        <v>125</v>
      </c>
      <c r="CX887" t="s">
        <v>125</v>
      </c>
      <c r="CY887" t="s">
        <v>125</v>
      </c>
      <c r="CZ887" t="s">
        <v>125</v>
      </c>
      <c r="DA887">
        <v>15.314097</v>
      </c>
      <c r="DB887">
        <v>17.400950000000002</v>
      </c>
      <c r="DC887">
        <v>16.332519999999999</v>
      </c>
      <c r="DD887" t="s">
        <v>125</v>
      </c>
      <c r="DE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Q887" t="s">
        <v>126</v>
      </c>
    </row>
    <row r="888" spans="1:121" x14ac:dyDescent="0.15">
      <c r="A888">
        <v>2018</v>
      </c>
      <c r="B888" t="s">
        <v>288</v>
      </c>
      <c r="C888" t="str">
        <f t="shared" si="38"/>
        <v>1350011</v>
      </c>
      <c r="D888" t="s">
        <v>1040</v>
      </c>
      <c r="E888" t="str">
        <f>"1351111"</f>
        <v>1351111</v>
      </c>
      <c r="F888" t="s">
        <v>328</v>
      </c>
      <c r="G888" t="s">
        <v>339</v>
      </c>
      <c r="H888">
        <v>5</v>
      </c>
      <c r="I888" t="s">
        <v>336</v>
      </c>
      <c r="J888" t="s">
        <v>331</v>
      </c>
      <c r="K888">
        <v>745.34469000000001</v>
      </c>
      <c r="L888">
        <v>950</v>
      </c>
      <c r="M888">
        <v>78.457335999999998</v>
      </c>
      <c r="N888">
        <v>2</v>
      </c>
      <c r="O888">
        <v>0</v>
      </c>
      <c r="P888">
        <v>67.767460999999997</v>
      </c>
      <c r="Q888">
        <v>45.178308000000001</v>
      </c>
      <c r="R888">
        <v>50</v>
      </c>
      <c r="S888">
        <v>62.101681999999997</v>
      </c>
      <c r="T888">
        <v>75</v>
      </c>
      <c r="U888">
        <v>41.401121000000003</v>
      </c>
      <c r="V888">
        <v>50</v>
      </c>
      <c r="W888">
        <v>68.403965999999997</v>
      </c>
      <c r="X888">
        <v>45.602643999999998</v>
      </c>
      <c r="Y888">
        <v>50</v>
      </c>
      <c r="Z888">
        <v>75</v>
      </c>
      <c r="AA888">
        <v>61.594031999999999</v>
      </c>
      <c r="AB888">
        <v>41.062688000000001</v>
      </c>
      <c r="AC888">
        <v>50</v>
      </c>
      <c r="AD888">
        <v>70.490544999999997</v>
      </c>
      <c r="AE888">
        <v>46.993696999999997</v>
      </c>
      <c r="AF888">
        <v>50</v>
      </c>
      <c r="AG888">
        <v>65.773296999999999</v>
      </c>
      <c r="AH888">
        <v>75</v>
      </c>
      <c r="AI888">
        <v>43.848865000000004</v>
      </c>
      <c r="AJ888">
        <v>50</v>
      </c>
      <c r="AK888">
        <v>12.89</v>
      </c>
      <c r="AL888">
        <v>13.4</v>
      </c>
      <c r="AM888">
        <v>9.2200000000000006</v>
      </c>
      <c r="AN888">
        <v>0.69008000000000003</v>
      </c>
      <c r="AO888">
        <v>69.008010999999996</v>
      </c>
      <c r="AP888">
        <v>100</v>
      </c>
      <c r="AQ888">
        <v>0.84976399999999996</v>
      </c>
      <c r="AR888">
        <v>84.976365999999999</v>
      </c>
      <c r="AS888">
        <v>100</v>
      </c>
      <c r="AT888">
        <v>0.66281199999999996</v>
      </c>
      <c r="AU888">
        <v>0.74341299999999999</v>
      </c>
      <c r="AV888">
        <v>66.281205</v>
      </c>
      <c r="AW888">
        <v>100</v>
      </c>
      <c r="AX888">
        <v>0.82432399999999995</v>
      </c>
      <c r="AY888">
        <v>0.89952100000000002</v>
      </c>
      <c r="AZ888">
        <v>82.432368999999994</v>
      </c>
      <c r="BA888">
        <v>100</v>
      </c>
      <c r="BB888">
        <v>0.65718699999999997</v>
      </c>
      <c r="BC888">
        <v>32.859327999999998</v>
      </c>
      <c r="BD888">
        <v>50</v>
      </c>
      <c r="BE888">
        <v>0.47582099999999999</v>
      </c>
      <c r="BF888">
        <v>23.791034</v>
      </c>
      <c r="BG888">
        <v>50</v>
      </c>
      <c r="BH888">
        <v>0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5.1902999999999998E-2</v>
      </c>
      <c r="BS888">
        <v>49.619377</v>
      </c>
      <c r="BT888">
        <v>50</v>
      </c>
      <c r="BU888">
        <v>6.9136000000000003E-2</v>
      </c>
      <c r="BV888">
        <v>46.172840000000001</v>
      </c>
      <c r="BW888">
        <v>50</v>
      </c>
      <c r="BX888" t="s">
        <v>125</v>
      </c>
      <c r="BY888" t="s">
        <v>125</v>
      </c>
      <c r="BZ888" t="s">
        <v>125</v>
      </c>
      <c r="CA888" t="s">
        <v>125</v>
      </c>
      <c r="CB888" t="s">
        <v>125</v>
      </c>
      <c r="CC888" t="s">
        <v>125</v>
      </c>
      <c r="CD888" t="s">
        <v>125</v>
      </c>
      <c r="CE888" t="s">
        <v>125</v>
      </c>
      <c r="CF888" t="s">
        <v>125</v>
      </c>
      <c r="CG888" t="s">
        <v>125</v>
      </c>
      <c r="CH888" t="s">
        <v>125</v>
      </c>
      <c r="CI888" t="s">
        <v>125</v>
      </c>
      <c r="CJ888" t="s">
        <v>125</v>
      </c>
      <c r="CK888" t="s">
        <v>125</v>
      </c>
      <c r="CL888" t="s">
        <v>125</v>
      </c>
      <c r="CM888" t="s">
        <v>125</v>
      </c>
      <c r="CN888" t="s">
        <v>125</v>
      </c>
      <c r="CO888" t="s">
        <v>125</v>
      </c>
      <c r="CP888" t="s">
        <v>125</v>
      </c>
      <c r="CQ888">
        <v>0.39175300000000002</v>
      </c>
      <c r="CR888">
        <v>0.97</v>
      </c>
      <c r="CS888">
        <v>26.116838000000001</v>
      </c>
      <c r="CT888">
        <v>50</v>
      </c>
      <c r="CU888" t="s">
        <v>125</v>
      </c>
      <c r="CV888" t="s">
        <v>125</v>
      </c>
      <c r="CW888" t="s">
        <v>125</v>
      </c>
      <c r="CX888" t="s">
        <v>125</v>
      </c>
      <c r="CY888" t="s">
        <v>125</v>
      </c>
      <c r="CZ888" t="s">
        <v>125</v>
      </c>
      <c r="DA888">
        <v>15.314097</v>
      </c>
      <c r="DB888">
        <v>17.400950000000002</v>
      </c>
      <c r="DC888">
        <v>16.332519999999999</v>
      </c>
      <c r="DD888" t="s">
        <v>125</v>
      </c>
      <c r="DE888">
        <v>0</v>
      </c>
      <c r="DH888" t="s">
        <v>332</v>
      </c>
      <c r="DI888" t="s">
        <v>453</v>
      </c>
      <c r="DJ888">
        <v>0</v>
      </c>
      <c r="DK888">
        <v>0</v>
      </c>
      <c r="DL888">
        <v>1</v>
      </c>
      <c r="DM888">
        <v>0</v>
      </c>
      <c r="DN888">
        <v>1</v>
      </c>
      <c r="DO888">
        <v>0</v>
      </c>
      <c r="DQ888" t="s">
        <v>126</v>
      </c>
    </row>
    <row r="889" spans="1:121" x14ac:dyDescent="0.15">
      <c r="A889">
        <v>2018</v>
      </c>
      <c r="B889" t="s">
        <v>288</v>
      </c>
      <c r="C889" t="str">
        <f t="shared" si="38"/>
        <v>1350011</v>
      </c>
      <c r="D889" t="s">
        <v>1041</v>
      </c>
      <c r="E889" t="str">
        <f>"1356111"</f>
        <v>1356111</v>
      </c>
      <c r="F889" t="s">
        <v>328</v>
      </c>
      <c r="G889">
        <v>9</v>
      </c>
      <c r="H889">
        <v>12</v>
      </c>
      <c r="J889" t="s">
        <v>331</v>
      </c>
      <c r="K889">
        <v>1089.2157380000001</v>
      </c>
      <c r="L889">
        <v>1550</v>
      </c>
      <c r="M889">
        <v>70.271983000000006</v>
      </c>
      <c r="N889">
        <v>3</v>
      </c>
      <c r="O889">
        <v>1</v>
      </c>
      <c r="P889">
        <v>54.892816000000003</v>
      </c>
      <c r="Q889">
        <v>109.785631</v>
      </c>
      <c r="R889">
        <v>150</v>
      </c>
      <c r="S889">
        <v>47.697361999999998</v>
      </c>
      <c r="T889">
        <v>64.560327000000001</v>
      </c>
      <c r="U889">
        <v>95.394722999999999</v>
      </c>
      <c r="V889">
        <v>150</v>
      </c>
      <c r="W889">
        <v>52.918703000000001</v>
      </c>
      <c r="X889">
        <v>105.837405</v>
      </c>
      <c r="Y889">
        <v>150</v>
      </c>
      <c r="Z889">
        <v>62.794479000000003</v>
      </c>
      <c r="AA889">
        <v>45.568238999999998</v>
      </c>
      <c r="AB889">
        <v>91.136478999999994</v>
      </c>
      <c r="AC889">
        <v>150</v>
      </c>
      <c r="AD889">
        <v>49.746585000000003</v>
      </c>
      <c r="AE889">
        <v>66.328779999999995</v>
      </c>
      <c r="AF889">
        <v>100</v>
      </c>
      <c r="AG889">
        <v>46.047401999999998</v>
      </c>
      <c r="AH889">
        <v>54.656410000000001</v>
      </c>
      <c r="AI889">
        <v>61.396535</v>
      </c>
      <c r="AJ889">
        <v>100</v>
      </c>
      <c r="AK889">
        <v>16.86</v>
      </c>
      <c r="AL889">
        <v>17.22</v>
      </c>
      <c r="AM889">
        <v>8.6</v>
      </c>
      <c r="AN889" t="s">
        <v>125</v>
      </c>
      <c r="AO889" t="s">
        <v>125</v>
      </c>
      <c r="AP889" t="s">
        <v>125</v>
      </c>
      <c r="AQ889" t="s">
        <v>125</v>
      </c>
      <c r="AR889" t="s">
        <v>125</v>
      </c>
      <c r="AS889" t="s">
        <v>125</v>
      </c>
      <c r="AT889" t="s">
        <v>125</v>
      </c>
      <c r="AU889" t="s">
        <v>125</v>
      </c>
      <c r="AV889" t="s">
        <v>125</v>
      </c>
      <c r="AW889" t="s">
        <v>125</v>
      </c>
      <c r="AX889" t="s">
        <v>125</v>
      </c>
      <c r="AY889" t="s">
        <v>125</v>
      </c>
      <c r="AZ889" t="s">
        <v>125</v>
      </c>
      <c r="BA889" t="s">
        <v>125</v>
      </c>
      <c r="BB889">
        <v>0.4521</v>
      </c>
      <c r="BC889">
        <v>22.604997999999998</v>
      </c>
      <c r="BD889">
        <v>50</v>
      </c>
      <c r="BE889">
        <v>0.57552700000000001</v>
      </c>
      <c r="BF889">
        <v>28.776340000000001</v>
      </c>
      <c r="BG889">
        <v>50</v>
      </c>
      <c r="BH889">
        <v>1</v>
      </c>
      <c r="BI889">
        <v>0.95127600000000001</v>
      </c>
      <c r="BJ889">
        <v>0.94230800000000003</v>
      </c>
      <c r="BK889">
        <v>0.96491199999999999</v>
      </c>
      <c r="BL889">
        <v>0.95127600000000001</v>
      </c>
      <c r="BM889">
        <v>0.94230800000000003</v>
      </c>
      <c r="BN889">
        <v>0.96491199999999999</v>
      </c>
      <c r="BO889">
        <v>0.96487100000000003</v>
      </c>
      <c r="BP889">
        <v>0.95366799999999996</v>
      </c>
      <c r="BQ889">
        <v>0.98214299999999999</v>
      </c>
      <c r="BR889">
        <v>0.12156599999999999</v>
      </c>
      <c r="BS889">
        <v>35.686732999999997</v>
      </c>
      <c r="BT889">
        <v>50</v>
      </c>
      <c r="BU889">
        <v>0.164436</v>
      </c>
      <c r="BV889">
        <v>27.112811000000001</v>
      </c>
      <c r="BW889">
        <v>50</v>
      </c>
      <c r="BX889">
        <v>0.88735900000000001</v>
      </c>
      <c r="BY889">
        <v>50</v>
      </c>
      <c r="BZ889">
        <v>50</v>
      </c>
      <c r="CA889">
        <v>0.38548199999999999</v>
      </c>
      <c r="CB889">
        <v>25.698789999999999</v>
      </c>
      <c r="CC889">
        <v>50</v>
      </c>
      <c r="CD889">
        <v>0.727823</v>
      </c>
      <c r="CE889">
        <v>38.713966999999997</v>
      </c>
      <c r="CF889">
        <v>50</v>
      </c>
      <c r="CG889">
        <v>0.88709700000000002</v>
      </c>
      <c r="CH889">
        <v>94.371996999999993</v>
      </c>
      <c r="CI889">
        <v>100</v>
      </c>
      <c r="CJ889">
        <v>0</v>
      </c>
      <c r="CK889">
        <v>0.91003500000000004</v>
      </c>
      <c r="CL889">
        <v>96.812191999999996</v>
      </c>
      <c r="CM889">
        <v>100</v>
      </c>
      <c r="CN889">
        <v>0.73264799999999997</v>
      </c>
      <c r="CO889">
        <v>97.686374999999998</v>
      </c>
      <c r="CP889">
        <v>100</v>
      </c>
      <c r="CQ889">
        <v>0.22459899999999999</v>
      </c>
      <c r="CR889">
        <v>0.894737</v>
      </c>
      <c r="CS889">
        <v>7.486631</v>
      </c>
      <c r="CT889">
        <v>50</v>
      </c>
      <c r="CU889">
        <v>0.41262399999999999</v>
      </c>
      <c r="CV889">
        <v>34.385350000000003</v>
      </c>
      <c r="CW889">
        <v>50</v>
      </c>
      <c r="CX889">
        <v>0.91003500000000004</v>
      </c>
      <c r="CY889">
        <v>0.94</v>
      </c>
      <c r="CZ889">
        <v>2.9964999999999999E-2</v>
      </c>
      <c r="DA889">
        <v>15.314097</v>
      </c>
      <c r="DB889">
        <v>17.400950000000002</v>
      </c>
      <c r="DC889">
        <v>16.332519999999999</v>
      </c>
      <c r="DD889">
        <v>7.9891730000000001</v>
      </c>
      <c r="DE889">
        <v>1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Q889" t="s">
        <v>126</v>
      </c>
    </row>
    <row r="890" spans="1:121" x14ac:dyDescent="0.15">
      <c r="A890">
        <v>2018</v>
      </c>
      <c r="B890" t="s">
        <v>288</v>
      </c>
      <c r="C890" t="str">
        <f t="shared" si="38"/>
        <v>1350011</v>
      </c>
      <c r="D890" t="s">
        <v>1042</v>
      </c>
      <c r="E890" t="str">
        <f>"1352111"</f>
        <v>1352111</v>
      </c>
      <c r="F890" t="s">
        <v>328</v>
      </c>
      <c r="G890" t="s">
        <v>339</v>
      </c>
      <c r="H890">
        <v>5</v>
      </c>
      <c r="I890" t="s">
        <v>336</v>
      </c>
      <c r="J890" t="s">
        <v>331</v>
      </c>
      <c r="K890">
        <v>706.45585000000005</v>
      </c>
      <c r="L890">
        <v>950</v>
      </c>
      <c r="M890">
        <v>74.363774000000006</v>
      </c>
      <c r="N890">
        <v>2</v>
      </c>
      <c r="O890">
        <v>0</v>
      </c>
      <c r="P890">
        <v>66.160933999999997</v>
      </c>
      <c r="Q890">
        <v>44.107289000000002</v>
      </c>
      <c r="R890">
        <v>50</v>
      </c>
      <c r="S890">
        <v>61.232450999999998</v>
      </c>
      <c r="T890">
        <v>75</v>
      </c>
      <c r="U890">
        <v>40.821634000000003</v>
      </c>
      <c r="V890">
        <v>50</v>
      </c>
      <c r="W890">
        <v>65.433985000000007</v>
      </c>
      <c r="X890">
        <v>43.622656999999997</v>
      </c>
      <c r="Y890">
        <v>50</v>
      </c>
      <c r="Z890">
        <v>75</v>
      </c>
      <c r="AA890">
        <v>59.970767000000002</v>
      </c>
      <c r="AB890">
        <v>39.980511</v>
      </c>
      <c r="AC890">
        <v>50</v>
      </c>
      <c r="AD890">
        <v>63.673802000000002</v>
      </c>
      <c r="AE890">
        <v>42.449201000000002</v>
      </c>
      <c r="AF890">
        <v>50</v>
      </c>
      <c r="AG890">
        <v>60.795161</v>
      </c>
      <c r="AH890">
        <v>72.203106000000005</v>
      </c>
      <c r="AI890">
        <v>40.530107999999998</v>
      </c>
      <c r="AJ890">
        <v>50</v>
      </c>
      <c r="AK890">
        <v>13.76</v>
      </c>
      <c r="AL890">
        <v>15.02</v>
      </c>
      <c r="AM890">
        <v>11.4</v>
      </c>
      <c r="AN890">
        <v>0.63148899999999997</v>
      </c>
      <c r="AO890">
        <v>63.148924000000001</v>
      </c>
      <c r="AP890">
        <v>100</v>
      </c>
      <c r="AQ890">
        <v>0.71001000000000003</v>
      </c>
      <c r="AR890">
        <v>71.000988000000007</v>
      </c>
      <c r="AS890">
        <v>100</v>
      </c>
      <c r="AT890">
        <v>0.62621099999999996</v>
      </c>
      <c r="AU890">
        <v>0.64276599999999995</v>
      </c>
      <c r="AV890">
        <v>62.621087000000003</v>
      </c>
      <c r="AW890">
        <v>100</v>
      </c>
      <c r="AX890">
        <v>0.67500000000000004</v>
      </c>
      <c r="AY890">
        <v>0.78480399999999995</v>
      </c>
      <c r="AZ890">
        <v>67.499993000000003</v>
      </c>
      <c r="BA890">
        <v>100</v>
      </c>
      <c r="BB890">
        <v>0.86316400000000004</v>
      </c>
      <c r="BC890">
        <v>43.158211999999999</v>
      </c>
      <c r="BD890">
        <v>50</v>
      </c>
      <c r="BE890">
        <v>0.57496499999999995</v>
      </c>
      <c r="BF890">
        <v>28.748260999999999</v>
      </c>
      <c r="BG890">
        <v>50</v>
      </c>
      <c r="BH890">
        <v>0</v>
      </c>
      <c r="BI890">
        <v>0.99404800000000004</v>
      </c>
      <c r="BJ890">
        <v>0.99177000000000004</v>
      </c>
      <c r="BK890">
        <v>1</v>
      </c>
      <c r="BL890">
        <v>0.99404800000000004</v>
      </c>
      <c r="BM890">
        <v>0.99177000000000004</v>
      </c>
      <c r="BN890">
        <v>1</v>
      </c>
      <c r="BO890">
        <v>1</v>
      </c>
      <c r="BP890">
        <v>1</v>
      </c>
      <c r="BQ890">
        <v>1</v>
      </c>
      <c r="BR890">
        <v>8.3205000000000001E-2</v>
      </c>
      <c r="BS890">
        <v>43.359014000000002</v>
      </c>
      <c r="BT890">
        <v>50</v>
      </c>
      <c r="BU890">
        <v>0.106576</v>
      </c>
      <c r="BV890">
        <v>38.684806999999999</v>
      </c>
      <c r="BW890">
        <v>50</v>
      </c>
      <c r="BX890" t="s">
        <v>125</v>
      </c>
      <c r="BY890" t="s">
        <v>125</v>
      </c>
      <c r="BZ890" t="s">
        <v>125</v>
      </c>
      <c r="CA890" t="s">
        <v>125</v>
      </c>
      <c r="CB890" t="s">
        <v>125</v>
      </c>
      <c r="CC890" t="s">
        <v>125</v>
      </c>
      <c r="CD890" t="s">
        <v>125</v>
      </c>
      <c r="CE890" t="s">
        <v>125</v>
      </c>
      <c r="CF890" t="s">
        <v>125</v>
      </c>
      <c r="CG890" t="s">
        <v>125</v>
      </c>
      <c r="CH890" t="s">
        <v>125</v>
      </c>
      <c r="CI890" t="s">
        <v>125</v>
      </c>
      <c r="CJ890" t="s">
        <v>125</v>
      </c>
      <c r="CK890" t="s">
        <v>125</v>
      </c>
      <c r="CL890" t="s">
        <v>125</v>
      </c>
      <c r="CM890" t="s">
        <v>125</v>
      </c>
      <c r="CN890" t="s">
        <v>125</v>
      </c>
      <c r="CO890" t="s">
        <v>125</v>
      </c>
      <c r="CP890" t="s">
        <v>125</v>
      </c>
      <c r="CQ890">
        <v>0.55084699999999998</v>
      </c>
      <c r="CR890">
        <v>0.97520700000000005</v>
      </c>
      <c r="CS890">
        <v>36.723163999999997</v>
      </c>
      <c r="CT890">
        <v>50</v>
      </c>
      <c r="CU890" t="s">
        <v>125</v>
      </c>
      <c r="CV890" t="s">
        <v>125</v>
      </c>
      <c r="CW890" t="s">
        <v>125</v>
      </c>
      <c r="CX890" t="s">
        <v>125</v>
      </c>
      <c r="CY890" t="s">
        <v>125</v>
      </c>
      <c r="CZ890" t="s">
        <v>125</v>
      </c>
      <c r="DA890">
        <v>15.314097</v>
      </c>
      <c r="DB890">
        <v>17.400950000000002</v>
      </c>
      <c r="DC890">
        <v>16.332519999999999</v>
      </c>
      <c r="DD890" t="s">
        <v>125</v>
      </c>
      <c r="DE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Q890" t="s">
        <v>126</v>
      </c>
    </row>
    <row r="891" spans="1:121" x14ac:dyDescent="0.15">
      <c r="A891">
        <v>2018</v>
      </c>
      <c r="B891" t="s">
        <v>288</v>
      </c>
      <c r="C891" t="str">
        <f t="shared" si="38"/>
        <v>1350011</v>
      </c>
      <c r="D891" t="s">
        <v>1043</v>
      </c>
      <c r="E891" t="str">
        <f>"1350711"</f>
        <v>1350711</v>
      </c>
      <c r="F891" t="s">
        <v>328</v>
      </c>
      <c r="G891" t="s">
        <v>339</v>
      </c>
      <c r="H891">
        <v>3</v>
      </c>
      <c r="J891" t="s">
        <v>331</v>
      </c>
      <c r="K891">
        <v>452.62799100000001</v>
      </c>
      <c r="L891">
        <v>500</v>
      </c>
      <c r="M891">
        <v>90.525598000000002</v>
      </c>
      <c r="N891">
        <v>1</v>
      </c>
      <c r="O891">
        <v>0</v>
      </c>
      <c r="P891">
        <v>73.779145</v>
      </c>
      <c r="Q891">
        <v>98.372193999999993</v>
      </c>
      <c r="R891">
        <v>100</v>
      </c>
      <c r="S891">
        <v>65.937567999999999</v>
      </c>
      <c r="T891">
        <v>75</v>
      </c>
      <c r="U891">
        <v>87.916758000000002</v>
      </c>
      <c r="V891">
        <v>100</v>
      </c>
      <c r="W891">
        <v>69.338531000000003</v>
      </c>
      <c r="X891">
        <v>92.451374000000001</v>
      </c>
      <c r="Y891">
        <v>100</v>
      </c>
      <c r="Z891">
        <v>75</v>
      </c>
      <c r="AA891">
        <v>59.509774</v>
      </c>
      <c r="AB891">
        <v>79.346365000000006</v>
      </c>
      <c r="AC891">
        <v>100</v>
      </c>
      <c r="AD891" t="s">
        <v>125</v>
      </c>
      <c r="AE891" t="s">
        <v>125</v>
      </c>
      <c r="AF891" t="s">
        <v>125</v>
      </c>
      <c r="AG891" t="s">
        <v>125</v>
      </c>
      <c r="AH891" t="s">
        <v>125</v>
      </c>
      <c r="AI891" t="s">
        <v>125</v>
      </c>
      <c r="AJ891" t="s">
        <v>125</v>
      </c>
      <c r="AK891">
        <v>9.06</v>
      </c>
      <c r="AL891">
        <v>15.49</v>
      </c>
      <c r="AM891" t="s">
        <v>125</v>
      </c>
      <c r="AN891" t="s">
        <v>125</v>
      </c>
      <c r="AO891" t="s">
        <v>125</v>
      </c>
      <c r="AP891" t="s">
        <v>125</v>
      </c>
      <c r="AQ891" t="s">
        <v>125</v>
      </c>
      <c r="AR891" t="s">
        <v>125</v>
      </c>
      <c r="AS891" t="s">
        <v>125</v>
      </c>
      <c r="AT891" t="s">
        <v>125</v>
      </c>
      <c r="AU891" t="s">
        <v>125</v>
      </c>
      <c r="AV891" t="s">
        <v>125</v>
      </c>
      <c r="AW891" t="s">
        <v>125</v>
      </c>
      <c r="AX891" t="s">
        <v>125</v>
      </c>
      <c r="AY891" t="s">
        <v>125</v>
      </c>
      <c r="AZ891" t="s">
        <v>125</v>
      </c>
      <c r="BA891" t="s">
        <v>125</v>
      </c>
      <c r="BB891" t="s">
        <v>125</v>
      </c>
      <c r="BC891" t="s">
        <v>125</v>
      </c>
      <c r="BD891" t="s">
        <v>125</v>
      </c>
      <c r="BE891" t="s">
        <v>125</v>
      </c>
      <c r="BF891" t="s">
        <v>125</v>
      </c>
      <c r="BG891" t="s">
        <v>125</v>
      </c>
      <c r="BH891">
        <v>0</v>
      </c>
      <c r="BI891">
        <v>0.99065400000000003</v>
      </c>
      <c r="BJ891">
        <v>0.97826100000000005</v>
      </c>
      <c r="BK891">
        <v>1</v>
      </c>
      <c r="BL891">
        <v>0.99065400000000003</v>
      </c>
      <c r="BM891">
        <v>0.97826100000000005</v>
      </c>
      <c r="BN891">
        <v>1</v>
      </c>
      <c r="BO891" t="s">
        <v>125</v>
      </c>
      <c r="BP891" t="s">
        <v>125</v>
      </c>
      <c r="BQ891" t="s">
        <v>125</v>
      </c>
      <c r="BR891">
        <v>6.2937000000000007E-2</v>
      </c>
      <c r="BS891">
        <v>47.412587000000002</v>
      </c>
      <c r="BT891">
        <v>50</v>
      </c>
      <c r="BU891">
        <v>6.4355999999999997E-2</v>
      </c>
      <c r="BV891">
        <v>47.128712999999998</v>
      </c>
      <c r="BW891">
        <v>50</v>
      </c>
      <c r="BX891" t="s">
        <v>125</v>
      </c>
      <c r="BY891" t="s">
        <v>125</v>
      </c>
      <c r="BZ891" t="s">
        <v>125</v>
      </c>
      <c r="CA891" t="s">
        <v>125</v>
      </c>
      <c r="CB891" t="s">
        <v>125</v>
      </c>
      <c r="CC891" t="s">
        <v>125</v>
      </c>
      <c r="CD891" t="s">
        <v>125</v>
      </c>
      <c r="CE891" t="s">
        <v>125</v>
      </c>
      <c r="CF891" t="s">
        <v>125</v>
      </c>
      <c r="CG891" t="s">
        <v>125</v>
      </c>
      <c r="CH891" t="s">
        <v>125</v>
      </c>
      <c r="CI891" t="s">
        <v>125</v>
      </c>
      <c r="CJ891" t="s">
        <v>125</v>
      </c>
      <c r="CK891" t="s">
        <v>125</v>
      </c>
      <c r="CL891" t="s">
        <v>125</v>
      </c>
      <c r="CM891" t="s">
        <v>125</v>
      </c>
      <c r="CN891" t="s">
        <v>125</v>
      </c>
      <c r="CO891" t="s">
        <v>125</v>
      </c>
      <c r="CP891" t="s">
        <v>125</v>
      </c>
      <c r="CQ891" t="s">
        <v>125</v>
      </c>
      <c r="CR891" t="s">
        <v>125</v>
      </c>
      <c r="CS891" t="s">
        <v>125</v>
      </c>
      <c r="CT891" t="s">
        <v>125</v>
      </c>
      <c r="CU891" t="s">
        <v>125</v>
      </c>
      <c r="CV891" t="s">
        <v>125</v>
      </c>
      <c r="CW891" t="s">
        <v>125</v>
      </c>
      <c r="CX891" t="s">
        <v>125</v>
      </c>
      <c r="CY891" t="s">
        <v>125</v>
      </c>
      <c r="CZ891" t="s">
        <v>125</v>
      </c>
      <c r="DA891">
        <v>15.314097</v>
      </c>
      <c r="DB891">
        <v>17.400950000000002</v>
      </c>
      <c r="DC891">
        <v>16.332519999999999</v>
      </c>
      <c r="DD891" t="s">
        <v>125</v>
      </c>
      <c r="DE891">
        <v>0</v>
      </c>
      <c r="DH891" t="s">
        <v>332</v>
      </c>
      <c r="DI891" t="s">
        <v>333</v>
      </c>
      <c r="DJ891">
        <v>1</v>
      </c>
      <c r="DK891">
        <v>0</v>
      </c>
      <c r="DL891">
        <v>0</v>
      </c>
      <c r="DM891">
        <v>0</v>
      </c>
      <c r="DN891">
        <v>0</v>
      </c>
      <c r="DO891">
        <v>0</v>
      </c>
      <c r="DQ891" t="s">
        <v>126</v>
      </c>
    </row>
    <row r="892" spans="1:121" x14ac:dyDescent="0.15">
      <c r="A892">
        <v>2018</v>
      </c>
      <c r="B892" t="s">
        <v>288</v>
      </c>
      <c r="C892" t="str">
        <f t="shared" si="38"/>
        <v>1350011</v>
      </c>
      <c r="D892" t="s">
        <v>1044</v>
      </c>
      <c r="E892" t="str">
        <f>"1356411"</f>
        <v>1356411</v>
      </c>
      <c r="F892" t="s">
        <v>328</v>
      </c>
      <c r="G892">
        <v>9</v>
      </c>
      <c r="H892">
        <v>12</v>
      </c>
      <c r="J892" t="s">
        <v>331</v>
      </c>
      <c r="K892">
        <v>1154.783428</v>
      </c>
      <c r="L892">
        <v>1450</v>
      </c>
      <c r="M892">
        <v>79.640236000000002</v>
      </c>
      <c r="N892">
        <v>3</v>
      </c>
      <c r="O892">
        <v>1</v>
      </c>
      <c r="P892">
        <v>62.057077999999997</v>
      </c>
      <c r="Q892">
        <v>124.114155</v>
      </c>
      <c r="R892">
        <v>150</v>
      </c>
      <c r="S892">
        <v>53.914473999999998</v>
      </c>
      <c r="T892">
        <v>70.897619000000006</v>
      </c>
      <c r="U892">
        <v>107.828947</v>
      </c>
      <c r="V892">
        <v>150</v>
      </c>
      <c r="W892">
        <v>58.202055000000001</v>
      </c>
      <c r="X892">
        <v>116.40411</v>
      </c>
      <c r="Y892">
        <v>150</v>
      </c>
      <c r="Z892">
        <v>68.2</v>
      </c>
      <c r="AA892">
        <v>48.993420999999998</v>
      </c>
      <c r="AB892">
        <v>97.986841999999996</v>
      </c>
      <c r="AC892">
        <v>150</v>
      </c>
      <c r="AD892">
        <v>58.491795000000003</v>
      </c>
      <c r="AE892">
        <v>77.989059999999995</v>
      </c>
      <c r="AF892">
        <v>100</v>
      </c>
      <c r="AG892">
        <v>50.530571999999999</v>
      </c>
      <c r="AH892">
        <v>67.116453000000007</v>
      </c>
      <c r="AI892">
        <v>67.374095999999994</v>
      </c>
      <c r="AJ892">
        <v>100</v>
      </c>
      <c r="AK892">
        <v>16.98</v>
      </c>
      <c r="AL892">
        <v>19.2</v>
      </c>
      <c r="AM892">
        <v>16.579999999999998</v>
      </c>
      <c r="AN892" t="s">
        <v>125</v>
      </c>
      <c r="AO892" t="s">
        <v>125</v>
      </c>
      <c r="AP892" t="s">
        <v>125</v>
      </c>
      <c r="AQ892" t="s">
        <v>125</v>
      </c>
      <c r="AR892" t="s">
        <v>125</v>
      </c>
      <c r="AS892" t="s">
        <v>125</v>
      </c>
      <c r="AT892" t="s">
        <v>125</v>
      </c>
      <c r="AU892" t="s">
        <v>125</v>
      </c>
      <c r="AV892" t="s">
        <v>125</v>
      </c>
      <c r="AW892" t="s">
        <v>125</v>
      </c>
      <c r="AX892" t="s">
        <v>125</v>
      </c>
      <c r="AY892" t="s">
        <v>125</v>
      </c>
      <c r="AZ892" t="s">
        <v>125</v>
      </c>
      <c r="BA892" t="s">
        <v>125</v>
      </c>
      <c r="BB892" t="s">
        <v>125</v>
      </c>
      <c r="BC892" t="s">
        <v>125</v>
      </c>
      <c r="BD892" t="s">
        <v>125</v>
      </c>
      <c r="BE892" t="s">
        <v>125</v>
      </c>
      <c r="BF892" t="s">
        <v>125</v>
      </c>
      <c r="BG892" t="s">
        <v>125</v>
      </c>
      <c r="BH892">
        <v>0</v>
      </c>
      <c r="BI892">
        <v>0.98666699999999996</v>
      </c>
      <c r="BJ892">
        <v>0.97435899999999998</v>
      </c>
      <c r="BK892">
        <v>1</v>
      </c>
      <c r="BL892">
        <v>0.98666699999999996</v>
      </c>
      <c r="BM892">
        <v>0.97435899999999998</v>
      </c>
      <c r="BN892">
        <v>1</v>
      </c>
      <c r="BO892">
        <v>1</v>
      </c>
      <c r="BP892">
        <v>1</v>
      </c>
      <c r="BQ892">
        <v>1</v>
      </c>
      <c r="BR892">
        <v>7.6923000000000005E-2</v>
      </c>
      <c r="BS892">
        <v>44.615385000000003</v>
      </c>
      <c r="BT892">
        <v>50</v>
      </c>
      <c r="BU892">
        <v>9.4800999999999996E-2</v>
      </c>
      <c r="BV892">
        <v>41.039755</v>
      </c>
      <c r="BW892">
        <v>50</v>
      </c>
      <c r="BX892">
        <v>0.96091199999999999</v>
      </c>
      <c r="BY892">
        <v>50</v>
      </c>
      <c r="BZ892">
        <v>50</v>
      </c>
      <c r="CA892">
        <v>0.55048900000000001</v>
      </c>
      <c r="CB892">
        <v>36.699240000000003</v>
      </c>
      <c r="CC892">
        <v>50</v>
      </c>
      <c r="CD892">
        <v>0.97515499999999999</v>
      </c>
      <c r="CE892">
        <v>50</v>
      </c>
      <c r="CF892">
        <v>50</v>
      </c>
      <c r="CG892">
        <v>0.987097</v>
      </c>
      <c r="CH892">
        <v>100</v>
      </c>
      <c r="CI892">
        <v>100</v>
      </c>
      <c r="CJ892">
        <v>0</v>
      </c>
      <c r="CK892">
        <v>0.97297299999999998</v>
      </c>
      <c r="CL892">
        <v>100</v>
      </c>
      <c r="CM892">
        <v>100</v>
      </c>
      <c r="CN892">
        <v>0.80392200000000003</v>
      </c>
      <c r="CO892">
        <v>100</v>
      </c>
      <c r="CP892">
        <v>100</v>
      </c>
      <c r="CQ892">
        <v>0.245614</v>
      </c>
      <c r="CR892">
        <v>0.36538500000000002</v>
      </c>
      <c r="CS892">
        <v>0</v>
      </c>
      <c r="CT892">
        <v>50</v>
      </c>
      <c r="CU892">
        <v>0.48878199999999999</v>
      </c>
      <c r="CV892">
        <v>40.731838000000003</v>
      </c>
      <c r="CW892">
        <v>50</v>
      </c>
      <c r="CX892">
        <v>0.97297299999999998</v>
      </c>
      <c r="CY892">
        <v>0.94</v>
      </c>
      <c r="CZ892">
        <v>-3.2973000000000002E-2</v>
      </c>
      <c r="DA892">
        <v>15.314097</v>
      </c>
      <c r="DB892">
        <v>17.400950000000002</v>
      </c>
      <c r="DC892">
        <v>16.332519999999999</v>
      </c>
      <c r="DD892">
        <v>7.9891730000000001</v>
      </c>
      <c r="DE892">
        <v>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Q892" t="s">
        <v>126</v>
      </c>
    </row>
    <row r="893" spans="1:121" x14ac:dyDescent="0.15">
      <c r="A893">
        <v>2018</v>
      </c>
      <c r="B893" t="s">
        <v>288</v>
      </c>
      <c r="C893" t="str">
        <f t="shared" si="38"/>
        <v>1350011</v>
      </c>
      <c r="D893" t="s">
        <v>1045</v>
      </c>
      <c r="E893" t="str">
        <f>"1351911"</f>
        <v>1351911</v>
      </c>
      <c r="F893" t="s">
        <v>328</v>
      </c>
      <c r="G893" t="s">
        <v>339</v>
      </c>
      <c r="H893">
        <v>5</v>
      </c>
      <c r="I893" t="s">
        <v>336</v>
      </c>
      <c r="J893" t="s">
        <v>331</v>
      </c>
      <c r="K893">
        <v>648.20816100000002</v>
      </c>
      <c r="L893">
        <v>950</v>
      </c>
      <c r="M893">
        <v>68.232438000000002</v>
      </c>
      <c r="N893">
        <v>3</v>
      </c>
      <c r="O893">
        <v>0</v>
      </c>
      <c r="P893">
        <v>66.59854</v>
      </c>
      <c r="Q893">
        <v>44.399026999999997</v>
      </c>
      <c r="R893">
        <v>50</v>
      </c>
      <c r="S893">
        <v>62.141483999999998</v>
      </c>
      <c r="T893">
        <v>75</v>
      </c>
      <c r="U893">
        <v>41.427655999999999</v>
      </c>
      <c r="V893">
        <v>50</v>
      </c>
      <c r="W893">
        <v>64.681325000000001</v>
      </c>
      <c r="X893">
        <v>43.120883999999997</v>
      </c>
      <c r="Y893">
        <v>50</v>
      </c>
      <c r="Z893">
        <v>75</v>
      </c>
      <c r="AA893">
        <v>59.690713000000002</v>
      </c>
      <c r="AB893">
        <v>39.793807999999999</v>
      </c>
      <c r="AC893">
        <v>50</v>
      </c>
      <c r="AD893">
        <v>66.079564000000005</v>
      </c>
      <c r="AE893">
        <v>44.053043000000002</v>
      </c>
      <c r="AF893">
        <v>50</v>
      </c>
      <c r="AG893">
        <v>59.767234000000002</v>
      </c>
      <c r="AH893">
        <v>75</v>
      </c>
      <c r="AI893">
        <v>39.844822999999998</v>
      </c>
      <c r="AJ893">
        <v>50</v>
      </c>
      <c r="AK893">
        <v>12.85</v>
      </c>
      <c r="AL893">
        <v>15.3</v>
      </c>
      <c r="AM893">
        <v>15.23</v>
      </c>
      <c r="AN893">
        <v>0.61191799999999996</v>
      </c>
      <c r="AO893">
        <v>61.191794000000002</v>
      </c>
      <c r="AP893">
        <v>100</v>
      </c>
      <c r="AQ893">
        <v>0.66550200000000004</v>
      </c>
      <c r="AR893">
        <v>66.550183000000004</v>
      </c>
      <c r="AS893">
        <v>100</v>
      </c>
      <c r="AT893">
        <v>0.60427600000000004</v>
      </c>
      <c r="AU893">
        <v>0.63184099999999999</v>
      </c>
      <c r="AV893">
        <v>60.427639999999997</v>
      </c>
      <c r="AW893">
        <v>100</v>
      </c>
      <c r="AX893">
        <v>0.61838400000000004</v>
      </c>
      <c r="AY893">
        <v>0.78834400000000004</v>
      </c>
      <c r="AZ893">
        <v>61.838428999999998</v>
      </c>
      <c r="BA893">
        <v>100</v>
      </c>
      <c r="BB893">
        <v>0.71888300000000005</v>
      </c>
      <c r="BC893">
        <v>35.944150999999998</v>
      </c>
      <c r="BD893">
        <v>50</v>
      </c>
      <c r="BE893">
        <v>0.55982799999999999</v>
      </c>
      <c r="BF893">
        <v>27.991417999999999</v>
      </c>
      <c r="BG893">
        <v>50</v>
      </c>
      <c r="BH893">
        <v>0</v>
      </c>
      <c r="BI893">
        <v>0.99378900000000003</v>
      </c>
      <c r="BJ893">
        <v>0.99193500000000001</v>
      </c>
      <c r="BK893">
        <v>1</v>
      </c>
      <c r="BL893">
        <v>0.99378900000000003</v>
      </c>
      <c r="BM893">
        <v>0.99193500000000001</v>
      </c>
      <c r="BN893">
        <v>1</v>
      </c>
      <c r="BO893">
        <v>1</v>
      </c>
      <c r="BP893">
        <v>1</v>
      </c>
      <c r="BQ893">
        <v>1</v>
      </c>
      <c r="BR893">
        <v>0.15207399999999999</v>
      </c>
      <c r="BS893">
        <v>29.585253000000002</v>
      </c>
      <c r="BT893">
        <v>50</v>
      </c>
      <c r="BU893">
        <v>0.17821799999999999</v>
      </c>
      <c r="BV893">
        <v>24.356435999999999</v>
      </c>
      <c r="BW893">
        <v>50</v>
      </c>
      <c r="BX893" t="s">
        <v>125</v>
      </c>
      <c r="BY893" t="s">
        <v>125</v>
      </c>
      <c r="BZ893" t="s">
        <v>125</v>
      </c>
      <c r="CA893" t="s">
        <v>125</v>
      </c>
      <c r="CB893" t="s">
        <v>125</v>
      </c>
      <c r="CC893" t="s">
        <v>125</v>
      </c>
      <c r="CD893" t="s">
        <v>125</v>
      </c>
      <c r="CE893" t="s">
        <v>125</v>
      </c>
      <c r="CF893" t="s">
        <v>125</v>
      </c>
      <c r="CG893" t="s">
        <v>125</v>
      </c>
      <c r="CH893" t="s">
        <v>125</v>
      </c>
      <c r="CI893" t="s">
        <v>125</v>
      </c>
      <c r="CJ893" t="s">
        <v>125</v>
      </c>
      <c r="CK893" t="s">
        <v>125</v>
      </c>
      <c r="CL893" t="s">
        <v>125</v>
      </c>
      <c r="CM893" t="s">
        <v>125</v>
      </c>
      <c r="CN893" t="s">
        <v>125</v>
      </c>
      <c r="CO893" t="s">
        <v>125</v>
      </c>
      <c r="CP893" t="s">
        <v>125</v>
      </c>
      <c r="CQ893">
        <v>0.41525400000000001</v>
      </c>
      <c r="CR893">
        <v>1.0085470000000001</v>
      </c>
      <c r="CS893">
        <v>27.683616000000001</v>
      </c>
      <c r="CT893">
        <v>50</v>
      </c>
      <c r="CU893" t="s">
        <v>125</v>
      </c>
      <c r="CV893" t="s">
        <v>125</v>
      </c>
      <c r="CW893" t="s">
        <v>125</v>
      </c>
      <c r="CX893" t="s">
        <v>125</v>
      </c>
      <c r="CY893" t="s">
        <v>125</v>
      </c>
      <c r="CZ893" t="s">
        <v>125</v>
      </c>
      <c r="DA893">
        <v>15.314097</v>
      </c>
      <c r="DB893">
        <v>17.400950000000002</v>
      </c>
      <c r="DC893">
        <v>16.332519999999999</v>
      </c>
      <c r="DD893" t="s">
        <v>125</v>
      </c>
      <c r="DE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Q893" t="s">
        <v>126</v>
      </c>
    </row>
    <row r="894" spans="1:121" x14ac:dyDescent="0.15">
      <c r="A894">
        <v>2018</v>
      </c>
      <c r="B894" t="s">
        <v>288</v>
      </c>
      <c r="C894" t="str">
        <f t="shared" si="38"/>
        <v>1350011</v>
      </c>
      <c r="D894" t="s">
        <v>1046</v>
      </c>
      <c r="E894" t="str">
        <f>"1355511"</f>
        <v>1355511</v>
      </c>
      <c r="F894" t="s">
        <v>328</v>
      </c>
      <c r="G894">
        <v>6</v>
      </c>
      <c r="H894">
        <v>8</v>
      </c>
      <c r="J894" t="s">
        <v>331</v>
      </c>
      <c r="K894">
        <v>601.22392000000002</v>
      </c>
      <c r="L894">
        <v>1000</v>
      </c>
      <c r="M894">
        <v>60.122391999999998</v>
      </c>
      <c r="N894">
        <v>3</v>
      </c>
      <c r="O894">
        <v>1</v>
      </c>
      <c r="P894">
        <v>63.928536000000001</v>
      </c>
      <c r="Q894">
        <v>42.619024000000003</v>
      </c>
      <c r="R894">
        <v>50</v>
      </c>
      <c r="S894">
        <v>54.000616000000001</v>
      </c>
      <c r="T894">
        <v>75</v>
      </c>
      <c r="U894">
        <v>36.000411</v>
      </c>
      <c r="V894">
        <v>50</v>
      </c>
      <c r="W894">
        <v>57.825088999999998</v>
      </c>
      <c r="X894">
        <v>38.550058999999997</v>
      </c>
      <c r="Y894">
        <v>50</v>
      </c>
      <c r="Z894">
        <v>75</v>
      </c>
      <c r="AA894">
        <v>47.160276000000003</v>
      </c>
      <c r="AB894">
        <v>31.440183999999999</v>
      </c>
      <c r="AC894">
        <v>50</v>
      </c>
      <c r="AD894">
        <v>59.654347000000001</v>
      </c>
      <c r="AE894">
        <v>39.769565</v>
      </c>
      <c r="AF894">
        <v>50</v>
      </c>
      <c r="AG894">
        <v>52.504866</v>
      </c>
      <c r="AH894">
        <v>74.613263000000003</v>
      </c>
      <c r="AI894">
        <v>35.003244000000002</v>
      </c>
      <c r="AJ894">
        <v>50</v>
      </c>
      <c r="AK894">
        <v>20.99</v>
      </c>
      <c r="AL894">
        <v>27.83</v>
      </c>
      <c r="AM894">
        <v>22.1</v>
      </c>
      <c r="AN894">
        <v>0.52068000000000003</v>
      </c>
      <c r="AO894">
        <v>52.067988999999997</v>
      </c>
      <c r="AP894">
        <v>100</v>
      </c>
      <c r="AQ894">
        <v>0.51169900000000001</v>
      </c>
      <c r="AR894">
        <v>51.169867000000004</v>
      </c>
      <c r="AS894">
        <v>100</v>
      </c>
      <c r="AT894">
        <v>0.48774800000000001</v>
      </c>
      <c r="AU894">
        <v>0.579067</v>
      </c>
      <c r="AV894">
        <v>48.774762000000003</v>
      </c>
      <c r="AW894">
        <v>100</v>
      </c>
      <c r="AX894">
        <v>0.45978000000000002</v>
      </c>
      <c r="AY894">
        <v>0.60399800000000003</v>
      </c>
      <c r="AZ894">
        <v>45.978037</v>
      </c>
      <c r="BA894">
        <v>100</v>
      </c>
      <c r="BB894">
        <v>0.588036</v>
      </c>
      <c r="BC894">
        <v>29.401779000000001</v>
      </c>
      <c r="BD894">
        <v>50</v>
      </c>
      <c r="BE894">
        <v>0.63261500000000004</v>
      </c>
      <c r="BF894">
        <v>31.630728999999999</v>
      </c>
      <c r="BG894">
        <v>50</v>
      </c>
      <c r="BH894">
        <v>0</v>
      </c>
      <c r="BI894">
        <v>0.99419400000000002</v>
      </c>
      <c r="BJ894">
        <v>1</v>
      </c>
      <c r="BK894">
        <v>0.98230099999999998</v>
      </c>
      <c r="BL894">
        <v>0.99419400000000002</v>
      </c>
      <c r="BM894">
        <v>1</v>
      </c>
      <c r="BN894">
        <v>0.98230099999999998</v>
      </c>
      <c r="BO894">
        <v>0.99574499999999999</v>
      </c>
      <c r="BP894">
        <v>1</v>
      </c>
      <c r="BQ894">
        <v>0.985294</v>
      </c>
      <c r="BR894">
        <v>0.12028999999999999</v>
      </c>
      <c r="BS894">
        <v>35.942028999999998</v>
      </c>
      <c r="BT894">
        <v>50</v>
      </c>
      <c r="BU894">
        <v>0.14596899999999999</v>
      </c>
      <c r="BV894">
        <v>30.806100000000001</v>
      </c>
      <c r="BW894">
        <v>50</v>
      </c>
      <c r="BX894" t="s">
        <v>125</v>
      </c>
      <c r="BY894" t="s">
        <v>125</v>
      </c>
      <c r="BZ894" t="s">
        <v>125</v>
      </c>
      <c r="CA894" t="s">
        <v>125</v>
      </c>
      <c r="CB894" t="s">
        <v>125</v>
      </c>
      <c r="CC894" t="s">
        <v>125</v>
      </c>
      <c r="CD894">
        <v>0.75943400000000005</v>
      </c>
      <c r="CE894">
        <v>40.395423999999998</v>
      </c>
      <c r="CF894">
        <v>50</v>
      </c>
      <c r="CG894" t="s">
        <v>125</v>
      </c>
      <c r="CH894" t="s">
        <v>125</v>
      </c>
      <c r="CI894" t="s">
        <v>125</v>
      </c>
      <c r="CJ894" t="s">
        <v>125</v>
      </c>
      <c r="CK894" t="s">
        <v>125</v>
      </c>
      <c r="CL894" t="s">
        <v>125</v>
      </c>
      <c r="CM894" t="s">
        <v>125</v>
      </c>
      <c r="CN894" t="s">
        <v>125</v>
      </c>
      <c r="CO894" t="s">
        <v>125</v>
      </c>
      <c r="CP894" t="s">
        <v>125</v>
      </c>
      <c r="CQ894">
        <v>0.350242</v>
      </c>
      <c r="CR894">
        <v>0.89032299999999998</v>
      </c>
      <c r="CS894">
        <v>11.674718</v>
      </c>
      <c r="CT894">
        <v>50</v>
      </c>
      <c r="CU894" t="s">
        <v>125</v>
      </c>
      <c r="CV894" t="s">
        <v>125</v>
      </c>
      <c r="CW894" t="s">
        <v>125</v>
      </c>
      <c r="CX894" t="s">
        <v>125</v>
      </c>
      <c r="CY894" t="s">
        <v>125</v>
      </c>
      <c r="CZ894" t="s">
        <v>125</v>
      </c>
      <c r="DA894">
        <v>15.314097</v>
      </c>
      <c r="DB894">
        <v>17.400950000000002</v>
      </c>
      <c r="DC894">
        <v>16.332519999999999</v>
      </c>
      <c r="DD894" t="s">
        <v>125</v>
      </c>
      <c r="DE894">
        <v>1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Q894" t="s">
        <v>126</v>
      </c>
    </row>
    <row r="895" spans="1:121" x14ac:dyDescent="0.15">
      <c r="A895">
        <v>2018</v>
      </c>
      <c r="B895" t="s">
        <v>288</v>
      </c>
      <c r="C895" t="str">
        <f t="shared" si="38"/>
        <v>1350011</v>
      </c>
      <c r="D895" t="s">
        <v>1047</v>
      </c>
      <c r="E895" t="str">
        <f>"1356311"</f>
        <v>1356311</v>
      </c>
      <c r="F895" t="s">
        <v>328</v>
      </c>
      <c r="G895">
        <v>9</v>
      </c>
      <c r="H895">
        <v>12</v>
      </c>
      <c r="J895" t="s">
        <v>331</v>
      </c>
      <c r="K895">
        <v>1050.298765</v>
      </c>
      <c r="L895">
        <v>1550</v>
      </c>
      <c r="M895">
        <v>67.761211000000003</v>
      </c>
      <c r="N895">
        <v>3</v>
      </c>
      <c r="O895">
        <v>1</v>
      </c>
      <c r="P895">
        <v>53.821821999999997</v>
      </c>
      <c r="Q895">
        <v>107.64364399999999</v>
      </c>
      <c r="R895">
        <v>150</v>
      </c>
      <c r="S895">
        <v>44.544578999999999</v>
      </c>
      <c r="T895">
        <v>65.560373999999996</v>
      </c>
      <c r="U895">
        <v>89.089157999999998</v>
      </c>
      <c r="V895">
        <v>150</v>
      </c>
      <c r="W895">
        <v>52.621622000000002</v>
      </c>
      <c r="X895">
        <v>105.24324300000001</v>
      </c>
      <c r="Y895">
        <v>150</v>
      </c>
      <c r="Z895">
        <v>65.410713999999999</v>
      </c>
      <c r="AA895">
        <v>42.514113000000002</v>
      </c>
      <c r="AB895">
        <v>85.028226000000004</v>
      </c>
      <c r="AC895">
        <v>150</v>
      </c>
      <c r="AD895">
        <v>51.579033000000003</v>
      </c>
      <c r="AE895">
        <v>68.772043999999994</v>
      </c>
      <c r="AF895">
        <v>100</v>
      </c>
      <c r="AG895">
        <v>43.441012000000001</v>
      </c>
      <c r="AH895">
        <v>62.158462</v>
      </c>
      <c r="AI895">
        <v>57.921348999999999</v>
      </c>
      <c r="AJ895">
        <v>100</v>
      </c>
      <c r="AK895">
        <v>21.01</v>
      </c>
      <c r="AL895">
        <v>22.89</v>
      </c>
      <c r="AM895">
        <v>18.71</v>
      </c>
      <c r="AN895" t="s">
        <v>125</v>
      </c>
      <c r="AO895" t="s">
        <v>125</v>
      </c>
      <c r="AP895" t="s">
        <v>125</v>
      </c>
      <c r="AQ895" t="s">
        <v>125</v>
      </c>
      <c r="AR895" t="s">
        <v>125</v>
      </c>
      <c r="AS895" t="s">
        <v>125</v>
      </c>
      <c r="AT895" t="s">
        <v>125</v>
      </c>
      <c r="AU895" t="s">
        <v>125</v>
      </c>
      <c r="AV895" t="s">
        <v>125</v>
      </c>
      <c r="AW895" t="s">
        <v>125</v>
      </c>
      <c r="AX895" t="s">
        <v>125</v>
      </c>
      <c r="AY895" t="s">
        <v>125</v>
      </c>
      <c r="AZ895" t="s">
        <v>125</v>
      </c>
      <c r="BA895" t="s">
        <v>125</v>
      </c>
      <c r="BB895">
        <v>0.36967499999999998</v>
      </c>
      <c r="BC895">
        <v>18.483729</v>
      </c>
      <c r="BD895">
        <v>50</v>
      </c>
      <c r="BE895">
        <v>0.56144499999999997</v>
      </c>
      <c r="BF895">
        <v>28.072251999999999</v>
      </c>
      <c r="BG895">
        <v>50</v>
      </c>
      <c r="BH895">
        <v>1</v>
      </c>
      <c r="BI895">
        <v>0.91913199999999995</v>
      </c>
      <c r="BJ895">
        <v>0.88741700000000001</v>
      </c>
      <c r="BK895">
        <v>0.96585399999999999</v>
      </c>
      <c r="BL895">
        <v>0.91913199999999995</v>
      </c>
      <c r="BM895">
        <v>0.88741700000000001</v>
      </c>
      <c r="BN895">
        <v>0.96585399999999999</v>
      </c>
      <c r="BO895">
        <v>0.95078700000000005</v>
      </c>
      <c r="BP895">
        <v>0.92715199999999998</v>
      </c>
      <c r="BQ895">
        <v>0.98543700000000001</v>
      </c>
      <c r="BR895">
        <v>0.16650999999999999</v>
      </c>
      <c r="BS895">
        <v>26.697935999999999</v>
      </c>
      <c r="BT895">
        <v>50</v>
      </c>
      <c r="BU895">
        <v>0.22759199999999999</v>
      </c>
      <c r="BV895">
        <v>14.481684</v>
      </c>
      <c r="BW895">
        <v>50</v>
      </c>
      <c r="BX895">
        <v>0.88800800000000002</v>
      </c>
      <c r="BY895">
        <v>50</v>
      </c>
      <c r="BZ895">
        <v>50</v>
      </c>
      <c r="CA895">
        <v>0.43012899999999998</v>
      </c>
      <c r="CB895">
        <v>28.675256000000001</v>
      </c>
      <c r="CC895">
        <v>50</v>
      </c>
      <c r="CD895">
        <v>0.70502399999999998</v>
      </c>
      <c r="CE895">
        <v>37.501292999999997</v>
      </c>
      <c r="CF895">
        <v>50</v>
      </c>
      <c r="CG895">
        <v>0.88</v>
      </c>
      <c r="CH895">
        <v>93.617020999999994</v>
      </c>
      <c r="CI895">
        <v>100</v>
      </c>
      <c r="CJ895">
        <v>0</v>
      </c>
      <c r="CK895">
        <v>0.88486799999999999</v>
      </c>
      <c r="CL895">
        <v>94.134938000000005</v>
      </c>
      <c r="CM895">
        <v>100</v>
      </c>
      <c r="CN895">
        <v>0.73473699999999997</v>
      </c>
      <c r="CO895">
        <v>97.964911999999998</v>
      </c>
      <c r="CP895">
        <v>100</v>
      </c>
      <c r="CQ895">
        <v>0.25414399999999998</v>
      </c>
      <c r="CR895">
        <v>0.70428000000000002</v>
      </c>
      <c r="CS895">
        <v>8.4714550000000006</v>
      </c>
      <c r="CT895">
        <v>50</v>
      </c>
      <c r="CU895">
        <v>0.46200799999999997</v>
      </c>
      <c r="CV895">
        <v>38.500624999999999</v>
      </c>
      <c r="CW895">
        <v>50</v>
      </c>
      <c r="CX895">
        <v>0.88486799999999999</v>
      </c>
      <c r="CY895">
        <v>0.94</v>
      </c>
      <c r="CZ895">
        <v>5.5132E-2</v>
      </c>
      <c r="DA895">
        <v>15.314097</v>
      </c>
      <c r="DB895">
        <v>17.400950000000002</v>
      </c>
      <c r="DC895">
        <v>16.332519999999999</v>
      </c>
      <c r="DD895">
        <v>7.9891730000000001</v>
      </c>
      <c r="DE895">
        <v>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Q895" t="s">
        <v>126</v>
      </c>
    </row>
    <row r="896" spans="1:121" x14ac:dyDescent="0.15">
      <c r="A896">
        <v>2018</v>
      </c>
      <c r="B896" t="s">
        <v>288</v>
      </c>
      <c r="C896" t="str">
        <f t="shared" si="38"/>
        <v>1350011</v>
      </c>
      <c r="D896" t="s">
        <v>1048</v>
      </c>
      <c r="E896" t="str">
        <f>"1351411"</f>
        <v>1351411</v>
      </c>
      <c r="F896" t="s">
        <v>328</v>
      </c>
      <c r="G896" t="s">
        <v>339</v>
      </c>
      <c r="H896">
        <v>5</v>
      </c>
      <c r="I896" t="s">
        <v>336</v>
      </c>
      <c r="J896" t="s">
        <v>331</v>
      </c>
      <c r="K896">
        <v>657.34991200000002</v>
      </c>
      <c r="L896">
        <v>950</v>
      </c>
      <c r="M896">
        <v>69.194727999999998</v>
      </c>
      <c r="N896">
        <v>3</v>
      </c>
      <c r="O896">
        <v>1</v>
      </c>
      <c r="P896">
        <v>72.248119000000003</v>
      </c>
      <c r="Q896">
        <v>48.165412000000003</v>
      </c>
      <c r="R896">
        <v>50</v>
      </c>
      <c r="S896">
        <v>65.169831000000002</v>
      </c>
      <c r="T896">
        <v>75</v>
      </c>
      <c r="U896">
        <v>43.446553999999999</v>
      </c>
      <c r="V896">
        <v>50</v>
      </c>
      <c r="W896">
        <v>66.139904999999999</v>
      </c>
      <c r="X896">
        <v>44.093269999999997</v>
      </c>
      <c r="Y896">
        <v>50</v>
      </c>
      <c r="Z896">
        <v>75</v>
      </c>
      <c r="AA896">
        <v>57.879125000000002</v>
      </c>
      <c r="AB896">
        <v>38.586083000000002</v>
      </c>
      <c r="AC896">
        <v>50</v>
      </c>
      <c r="AD896">
        <v>62.618169999999999</v>
      </c>
      <c r="AE896">
        <v>41.745446999999999</v>
      </c>
      <c r="AF896">
        <v>50</v>
      </c>
      <c r="AG896">
        <v>56.927636999999997</v>
      </c>
      <c r="AH896">
        <v>75</v>
      </c>
      <c r="AI896">
        <v>37.951757999999998</v>
      </c>
      <c r="AJ896">
        <v>50</v>
      </c>
      <c r="AK896">
        <v>9.83</v>
      </c>
      <c r="AL896">
        <v>17.12</v>
      </c>
      <c r="AM896">
        <v>18.07</v>
      </c>
      <c r="AN896">
        <v>0.624691</v>
      </c>
      <c r="AO896">
        <v>62.469124000000001</v>
      </c>
      <c r="AP896">
        <v>100</v>
      </c>
      <c r="AQ896">
        <v>0.62725900000000001</v>
      </c>
      <c r="AR896">
        <v>62.725901</v>
      </c>
      <c r="AS896">
        <v>100</v>
      </c>
      <c r="AT896">
        <v>0.52231099999999997</v>
      </c>
      <c r="AU896">
        <v>0.82234200000000002</v>
      </c>
      <c r="AV896">
        <v>52.231102999999997</v>
      </c>
      <c r="AW896">
        <v>100</v>
      </c>
      <c r="AX896">
        <v>0.56580299999999994</v>
      </c>
      <c r="AY896">
        <v>0.74590299999999998</v>
      </c>
      <c r="AZ896">
        <v>56.580292999999998</v>
      </c>
      <c r="BA896">
        <v>100</v>
      </c>
      <c r="BB896">
        <v>0.65676000000000001</v>
      </c>
      <c r="BC896">
        <v>32.838009999999997</v>
      </c>
      <c r="BD896">
        <v>50</v>
      </c>
      <c r="BE896">
        <v>0.48123199999999999</v>
      </c>
      <c r="BF896">
        <v>24.061588</v>
      </c>
      <c r="BG896">
        <v>50</v>
      </c>
      <c r="BH896">
        <v>0</v>
      </c>
      <c r="BI896">
        <v>0.99413499999999999</v>
      </c>
      <c r="BJ896">
        <v>0.99152499999999999</v>
      </c>
      <c r="BK896">
        <v>1</v>
      </c>
      <c r="BL896">
        <v>0.99413499999999999</v>
      </c>
      <c r="BM896">
        <v>0.99152499999999999</v>
      </c>
      <c r="BN896">
        <v>1</v>
      </c>
      <c r="BO896">
        <v>0.99056599999999995</v>
      </c>
      <c r="BP896">
        <v>0.98750000000000004</v>
      </c>
      <c r="BQ896">
        <v>1</v>
      </c>
      <c r="BR896">
        <v>5.9172000000000002E-2</v>
      </c>
      <c r="BS896">
        <v>48.165680000000002</v>
      </c>
      <c r="BT896">
        <v>50</v>
      </c>
      <c r="BU896">
        <v>6.7982000000000001E-2</v>
      </c>
      <c r="BV896">
        <v>46.403509</v>
      </c>
      <c r="BW896">
        <v>50</v>
      </c>
      <c r="BX896" t="s">
        <v>125</v>
      </c>
      <c r="BY896" t="s">
        <v>125</v>
      </c>
      <c r="BZ896" t="s">
        <v>125</v>
      </c>
      <c r="CA896" t="s">
        <v>125</v>
      </c>
      <c r="CB896" t="s">
        <v>125</v>
      </c>
      <c r="CC896" t="s">
        <v>125</v>
      </c>
      <c r="CD896" t="s">
        <v>125</v>
      </c>
      <c r="CE896" t="s">
        <v>125</v>
      </c>
      <c r="CF896" t="s">
        <v>125</v>
      </c>
      <c r="CG896" t="s">
        <v>125</v>
      </c>
      <c r="CH896" t="s">
        <v>125</v>
      </c>
      <c r="CI896" t="s">
        <v>125</v>
      </c>
      <c r="CJ896" t="s">
        <v>125</v>
      </c>
      <c r="CK896" t="s">
        <v>125</v>
      </c>
      <c r="CL896" t="s">
        <v>125</v>
      </c>
      <c r="CM896" t="s">
        <v>125</v>
      </c>
      <c r="CN896" t="s">
        <v>125</v>
      </c>
      <c r="CO896" t="s">
        <v>125</v>
      </c>
      <c r="CP896" t="s">
        <v>125</v>
      </c>
      <c r="CQ896">
        <v>0.268293</v>
      </c>
      <c r="CR896">
        <v>1.016529</v>
      </c>
      <c r="CS896">
        <v>17.886178999999998</v>
      </c>
      <c r="CT896">
        <v>50</v>
      </c>
      <c r="CU896" t="s">
        <v>125</v>
      </c>
      <c r="CV896" t="s">
        <v>125</v>
      </c>
      <c r="CW896" t="s">
        <v>125</v>
      </c>
      <c r="CX896" t="s">
        <v>125</v>
      </c>
      <c r="CY896" t="s">
        <v>125</v>
      </c>
      <c r="CZ896" t="s">
        <v>125</v>
      </c>
      <c r="DA896">
        <v>15.314097</v>
      </c>
      <c r="DB896">
        <v>17.400950000000002</v>
      </c>
      <c r="DC896">
        <v>16.332519999999999</v>
      </c>
      <c r="DD896" t="s">
        <v>125</v>
      </c>
      <c r="DE896">
        <v>1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Q896" t="s">
        <v>126</v>
      </c>
    </row>
    <row r="897" spans="1:121" x14ac:dyDescent="0.15">
      <c r="A897">
        <v>2018</v>
      </c>
      <c r="B897" t="s">
        <v>309</v>
      </c>
      <c r="C897" t="str">
        <f>"1360011"</f>
        <v>1360011</v>
      </c>
      <c r="D897" t="s">
        <v>1049</v>
      </c>
      <c r="E897" t="str">
        <f>"1360311"</f>
        <v>1360311</v>
      </c>
      <c r="F897" t="s">
        <v>328</v>
      </c>
      <c r="G897" t="s">
        <v>329</v>
      </c>
      <c r="H897">
        <v>8</v>
      </c>
      <c r="I897" t="s">
        <v>330</v>
      </c>
      <c r="J897" t="s">
        <v>331</v>
      </c>
      <c r="K897">
        <v>551.78630499999997</v>
      </c>
      <c r="L897">
        <v>900</v>
      </c>
      <c r="M897">
        <v>61.309589000000003</v>
      </c>
      <c r="N897">
        <v>3</v>
      </c>
      <c r="O897">
        <v>0</v>
      </c>
      <c r="P897">
        <v>63.683109000000002</v>
      </c>
      <c r="Q897">
        <v>42.455406000000004</v>
      </c>
      <c r="R897">
        <v>50</v>
      </c>
      <c r="S897">
        <v>55.136780999999999</v>
      </c>
      <c r="T897">
        <v>70.301693</v>
      </c>
      <c r="U897">
        <v>36.757854000000002</v>
      </c>
      <c r="V897">
        <v>50</v>
      </c>
      <c r="W897">
        <v>56.406984000000001</v>
      </c>
      <c r="X897">
        <v>37.604655999999999</v>
      </c>
      <c r="Y897">
        <v>50</v>
      </c>
      <c r="Z897">
        <v>63.859209999999997</v>
      </c>
      <c r="AA897">
        <v>46.856558</v>
      </c>
      <c r="AB897">
        <v>31.237705999999999</v>
      </c>
      <c r="AC897">
        <v>50</v>
      </c>
      <c r="AD897">
        <v>62.642724999999999</v>
      </c>
      <c r="AE897">
        <v>41.761816000000003</v>
      </c>
      <c r="AF897">
        <v>50</v>
      </c>
      <c r="AG897">
        <v>54.690505999999999</v>
      </c>
      <c r="AH897">
        <v>68.050234000000003</v>
      </c>
      <c r="AI897">
        <v>36.460337000000003</v>
      </c>
      <c r="AJ897">
        <v>50</v>
      </c>
      <c r="AK897">
        <v>15.16</v>
      </c>
      <c r="AL897">
        <v>17</v>
      </c>
      <c r="AM897">
        <v>13.35</v>
      </c>
      <c r="AN897">
        <v>0.44156699999999999</v>
      </c>
      <c r="AO897">
        <v>44.156668000000003</v>
      </c>
      <c r="AP897">
        <v>100</v>
      </c>
      <c r="AQ897">
        <v>0.474721</v>
      </c>
      <c r="AR897">
        <v>47.472110000000001</v>
      </c>
      <c r="AS897">
        <v>100</v>
      </c>
      <c r="AT897">
        <v>0.38084800000000002</v>
      </c>
      <c r="AU897">
        <v>0.488985</v>
      </c>
      <c r="AV897">
        <v>38.084788000000003</v>
      </c>
      <c r="AW897">
        <v>100</v>
      </c>
      <c r="AX897">
        <v>0.42437599999999998</v>
      </c>
      <c r="AY897">
        <v>0.51441599999999998</v>
      </c>
      <c r="AZ897">
        <v>42.437573</v>
      </c>
      <c r="BA897">
        <v>100</v>
      </c>
      <c r="BB897" t="s">
        <v>125</v>
      </c>
      <c r="BC897" t="s">
        <v>125</v>
      </c>
      <c r="BD897" t="s">
        <v>125</v>
      </c>
      <c r="BE897" t="s">
        <v>125</v>
      </c>
      <c r="BF897" t="s">
        <v>125</v>
      </c>
      <c r="BG897" t="s">
        <v>125</v>
      </c>
      <c r="BH897">
        <v>0</v>
      </c>
      <c r="BI897">
        <v>0.98373999999999995</v>
      </c>
      <c r="BJ897">
        <v>0.97196300000000002</v>
      </c>
      <c r="BK897">
        <v>0.99280599999999997</v>
      </c>
      <c r="BL897">
        <v>0.98373999999999995</v>
      </c>
      <c r="BM897">
        <v>0.97196300000000002</v>
      </c>
      <c r="BN897">
        <v>0.99280599999999997</v>
      </c>
      <c r="BO897">
        <v>0.98863599999999996</v>
      </c>
      <c r="BP897">
        <v>1</v>
      </c>
      <c r="BQ897">
        <v>0.98148100000000005</v>
      </c>
      <c r="BR897">
        <v>8.1081E-2</v>
      </c>
      <c r="BS897">
        <v>43.783783999999997</v>
      </c>
      <c r="BT897">
        <v>50</v>
      </c>
      <c r="BU897">
        <v>0.132075</v>
      </c>
      <c r="BV897">
        <v>33.584905999999997</v>
      </c>
      <c r="BW897">
        <v>50</v>
      </c>
      <c r="BX897" t="s">
        <v>125</v>
      </c>
      <c r="BY897" t="s">
        <v>125</v>
      </c>
      <c r="BZ897" t="s">
        <v>125</v>
      </c>
      <c r="CA897" t="s">
        <v>125</v>
      </c>
      <c r="CB897" t="s">
        <v>125</v>
      </c>
      <c r="CC897" t="s">
        <v>125</v>
      </c>
      <c r="CD897">
        <v>0.97435899999999998</v>
      </c>
      <c r="CE897">
        <v>50</v>
      </c>
      <c r="CF897">
        <v>50</v>
      </c>
      <c r="CG897" t="s">
        <v>125</v>
      </c>
      <c r="CH897" t="s">
        <v>125</v>
      </c>
      <c r="CI897" t="s">
        <v>125</v>
      </c>
      <c r="CJ897" t="s">
        <v>125</v>
      </c>
      <c r="CK897" t="s">
        <v>125</v>
      </c>
      <c r="CL897" t="s">
        <v>125</v>
      </c>
      <c r="CM897" t="s">
        <v>125</v>
      </c>
      <c r="CN897" t="s">
        <v>125</v>
      </c>
      <c r="CO897" t="s">
        <v>125</v>
      </c>
      <c r="CP897" t="s">
        <v>125</v>
      </c>
      <c r="CQ897">
        <v>0.38983099999999998</v>
      </c>
      <c r="CR897">
        <v>0.94399999999999995</v>
      </c>
      <c r="CS897">
        <v>25.988700999999999</v>
      </c>
      <c r="CT897">
        <v>50</v>
      </c>
      <c r="CU897" t="s">
        <v>125</v>
      </c>
      <c r="CV897" t="s">
        <v>125</v>
      </c>
      <c r="CW897" t="s">
        <v>125</v>
      </c>
      <c r="CX897" t="s">
        <v>125</v>
      </c>
      <c r="CY897" t="s">
        <v>125</v>
      </c>
      <c r="CZ897" t="s">
        <v>125</v>
      </c>
      <c r="DA897">
        <v>15.314097</v>
      </c>
      <c r="DB897">
        <v>17.400950000000002</v>
      </c>
      <c r="DC897">
        <v>16.332519999999999</v>
      </c>
      <c r="DD897" t="s">
        <v>125</v>
      </c>
      <c r="DE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Q897" t="s">
        <v>126</v>
      </c>
    </row>
    <row r="898" spans="1:121" x14ac:dyDescent="0.15">
      <c r="A898">
        <v>2018</v>
      </c>
      <c r="B898" t="s">
        <v>310</v>
      </c>
      <c r="C898" t="str">
        <f t="shared" ref="C898:C903" si="39">"1370011"</f>
        <v>1370011</v>
      </c>
      <c r="D898" t="s">
        <v>1050</v>
      </c>
      <c r="E898" t="str">
        <f>"1370511"</f>
        <v>1370511</v>
      </c>
      <c r="F898" t="s">
        <v>328</v>
      </c>
      <c r="G898" t="s">
        <v>339</v>
      </c>
      <c r="H898">
        <v>4</v>
      </c>
      <c r="I898" t="s">
        <v>336</v>
      </c>
      <c r="J898" t="s">
        <v>331</v>
      </c>
      <c r="K898">
        <v>680.09778300000005</v>
      </c>
      <c r="L898">
        <v>750</v>
      </c>
      <c r="M898">
        <v>90.679704000000001</v>
      </c>
      <c r="N898">
        <v>1</v>
      </c>
      <c r="O898">
        <v>0</v>
      </c>
      <c r="P898">
        <v>81.184781999999998</v>
      </c>
      <c r="Q898">
        <v>50</v>
      </c>
      <c r="R898">
        <v>50</v>
      </c>
      <c r="S898">
        <v>73.551439000000002</v>
      </c>
      <c r="T898">
        <v>75</v>
      </c>
      <c r="U898">
        <v>49.034292000000001</v>
      </c>
      <c r="V898">
        <v>50</v>
      </c>
      <c r="W898">
        <v>79.350869000000003</v>
      </c>
      <c r="X898">
        <v>50</v>
      </c>
      <c r="Y898">
        <v>50</v>
      </c>
      <c r="Z898">
        <v>75</v>
      </c>
      <c r="AA898">
        <v>68.262943000000007</v>
      </c>
      <c r="AB898">
        <v>45.508628999999999</v>
      </c>
      <c r="AC898">
        <v>50</v>
      </c>
      <c r="AD898" t="s">
        <v>125</v>
      </c>
      <c r="AE898" t="s">
        <v>125</v>
      </c>
      <c r="AF898" t="s">
        <v>125</v>
      </c>
      <c r="AG898" t="s">
        <v>125</v>
      </c>
      <c r="AH898" t="s">
        <v>125</v>
      </c>
      <c r="AI898" t="s">
        <v>125</v>
      </c>
      <c r="AJ898" t="s">
        <v>125</v>
      </c>
      <c r="AK898">
        <v>1.44</v>
      </c>
      <c r="AL898">
        <v>6.73</v>
      </c>
      <c r="AM898" t="s">
        <v>125</v>
      </c>
      <c r="AN898">
        <v>0.75121499999999997</v>
      </c>
      <c r="AO898">
        <v>75.121504000000002</v>
      </c>
      <c r="AP898">
        <v>100</v>
      </c>
      <c r="AQ898">
        <v>1</v>
      </c>
      <c r="AR898">
        <v>100</v>
      </c>
      <c r="AS898">
        <v>100</v>
      </c>
      <c r="AT898">
        <v>0.725468</v>
      </c>
      <c r="AU898">
        <v>0.76309800000000005</v>
      </c>
      <c r="AV898">
        <v>72.546819999999997</v>
      </c>
      <c r="AW898">
        <v>100</v>
      </c>
      <c r="AX898">
        <v>0.91219899999999998</v>
      </c>
      <c r="AY898">
        <v>1</v>
      </c>
      <c r="AZ898">
        <v>91.219871999999995</v>
      </c>
      <c r="BA898">
        <v>100</v>
      </c>
      <c r="BB898" t="s">
        <v>125</v>
      </c>
      <c r="BC898" t="s">
        <v>125</v>
      </c>
      <c r="BD898" t="s">
        <v>125</v>
      </c>
      <c r="BE898" t="s">
        <v>125</v>
      </c>
      <c r="BF898" t="s">
        <v>125</v>
      </c>
      <c r="BG898" t="s">
        <v>125</v>
      </c>
      <c r="BH898">
        <v>0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 t="s">
        <v>125</v>
      </c>
      <c r="BP898" t="s">
        <v>125</v>
      </c>
      <c r="BQ898" t="s">
        <v>125</v>
      </c>
      <c r="BR898">
        <v>3.4853000000000002E-2</v>
      </c>
      <c r="BS898">
        <v>50</v>
      </c>
      <c r="BT898">
        <v>50</v>
      </c>
      <c r="BU898">
        <v>6.6667000000000004E-2</v>
      </c>
      <c r="BV898">
        <v>46.666666999999997</v>
      </c>
      <c r="BW898">
        <v>50</v>
      </c>
      <c r="BX898" t="s">
        <v>125</v>
      </c>
      <c r="BY898" t="s">
        <v>125</v>
      </c>
      <c r="BZ898" t="s">
        <v>125</v>
      </c>
      <c r="CA898" t="s">
        <v>125</v>
      </c>
      <c r="CB898" t="s">
        <v>125</v>
      </c>
      <c r="CC898" t="s">
        <v>125</v>
      </c>
      <c r="CD898" t="s">
        <v>125</v>
      </c>
      <c r="CE898" t="s">
        <v>125</v>
      </c>
      <c r="CF898" t="s">
        <v>125</v>
      </c>
      <c r="CG898" t="s">
        <v>125</v>
      </c>
      <c r="CH898" t="s">
        <v>125</v>
      </c>
      <c r="CI898" t="s">
        <v>125</v>
      </c>
      <c r="CJ898" t="s">
        <v>125</v>
      </c>
      <c r="CK898" t="s">
        <v>125</v>
      </c>
      <c r="CL898" t="s">
        <v>125</v>
      </c>
      <c r="CM898" t="s">
        <v>125</v>
      </c>
      <c r="CN898" t="s">
        <v>125</v>
      </c>
      <c r="CO898" t="s">
        <v>125</v>
      </c>
      <c r="CP898" t="s">
        <v>125</v>
      </c>
      <c r="CQ898">
        <v>0.875</v>
      </c>
      <c r="CR898">
        <v>1</v>
      </c>
      <c r="CS898">
        <v>50</v>
      </c>
      <c r="CT898">
        <v>50</v>
      </c>
      <c r="CU898" t="s">
        <v>125</v>
      </c>
      <c r="CV898" t="s">
        <v>125</v>
      </c>
      <c r="CW898" t="s">
        <v>125</v>
      </c>
      <c r="CX898" t="s">
        <v>125</v>
      </c>
      <c r="CY898" t="s">
        <v>125</v>
      </c>
      <c r="CZ898" t="s">
        <v>125</v>
      </c>
      <c r="DA898">
        <v>15.314097</v>
      </c>
      <c r="DB898">
        <v>17.400950000000002</v>
      </c>
      <c r="DC898">
        <v>16.332519999999999</v>
      </c>
      <c r="DD898" t="s">
        <v>125</v>
      </c>
      <c r="DE898">
        <v>0</v>
      </c>
      <c r="DH898" t="s">
        <v>332</v>
      </c>
      <c r="DI898" t="s">
        <v>642</v>
      </c>
      <c r="DJ898">
        <v>1</v>
      </c>
      <c r="DK898">
        <v>0</v>
      </c>
      <c r="DL898">
        <v>1</v>
      </c>
      <c r="DM898">
        <v>1</v>
      </c>
      <c r="DN898">
        <v>1</v>
      </c>
      <c r="DO898">
        <v>0</v>
      </c>
      <c r="DQ898" t="s">
        <v>126</v>
      </c>
    </row>
    <row r="899" spans="1:121" x14ac:dyDescent="0.15">
      <c r="A899">
        <v>2018</v>
      </c>
      <c r="B899" t="s">
        <v>310</v>
      </c>
      <c r="C899" t="str">
        <f t="shared" si="39"/>
        <v>1370011</v>
      </c>
      <c r="D899" t="s">
        <v>1051</v>
      </c>
      <c r="E899" t="str">
        <f>"1375111"</f>
        <v>1375111</v>
      </c>
      <c r="F899" t="s">
        <v>328</v>
      </c>
      <c r="G899">
        <v>5</v>
      </c>
      <c r="H899">
        <v>8</v>
      </c>
      <c r="I899" t="s">
        <v>336</v>
      </c>
      <c r="J899" t="s">
        <v>331</v>
      </c>
      <c r="K899">
        <v>691.19494799999995</v>
      </c>
      <c r="L899">
        <v>900</v>
      </c>
      <c r="M899">
        <v>76.799439000000007</v>
      </c>
      <c r="N899">
        <v>2</v>
      </c>
      <c r="O899">
        <v>0</v>
      </c>
      <c r="P899">
        <v>77.086703999999997</v>
      </c>
      <c r="Q899">
        <v>50</v>
      </c>
      <c r="R899">
        <v>50</v>
      </c>
      <c r="S899">
        <v>71.388929000000005</v>
      </c>
      <c r="T899">
        <v>75</v>
      </c>
      <c r="U899">
        <v>47.592618999999999</v>
      </c>
      <c r="V899">
        <v>50</v>
      </c>
      <c r="W899">
        <v>70.332352</v>
      </c>
      <c r="X899">
        <v>46.888235000000002</v>
      </c>
      <c r="Y899">
        <v>50</v>
      </c>
      <c r="Z899">
        <v>75</v>
      </c>
      <c r="AA899">
        <v>62.963057999999997</v>
      </c>
      <c r="AB899">
        <v>41.975372</v>
      </c>
      <c r="AC899">
        <v>50</v>
      </c>
      <c r="AD899">
        <v>75.875772999999995</v>
      </c>
      <c r="AE899">
        <v>50</v>
      </c>
      <c r="AF899">
        <v>50</v>
      </c>
      <c r="AG899">
        <v>69.949637999999993</v>
      </c>
      <c r="AH899">
        <v>75</v>
      </c>
      <c r="AI899">
        <v>46.633091999999998</v>
      </c>
      <c r="AJ899">
        <v>50</v>
      </c>
      <c r="AK899">
        <v>3.61</v>
      </c>
      <c r="AL899">
        <v>12.03</v>
      </c>
      <c r="AM899">
        <v>5.05</v>
      </c>
      <c r="AN899">
        <v>0.64010199999999995</v>
      </c>
      <c r="AO899">
        <v>64.010194999999996</v>
      </c>
      <c r="AP899">
        <v>100</v>
      </c>
      <c r="AQ899">
        <v>0.65957299999999996</v>
      </c>
      <c r="AR899">
        <v>65.957285999999996</v>
      </c>
      <c r="AS899">
        <v>100</v>
      </c>
      <c r="AT899">
        <v>0.64164200000000005</v>
      </c>
      <c r="AU899">
        <v>0.63879300000000006</v>
      </c>
      <c r="AV899">
        <v>64.164187999999996</v>
      </c>
      <c r="AW899">
        <v>100</v>
      </c>
      <c r="AX899">
        <v>0.56228800000000001</v>
      </c>
      <c r="AY899">
        <v>0.74156999999999995</v>
      </c>
      <c r="AZ899">
        <v>56.228757000000002</v>
      </c>
      <c r="BA899">
        <v>100</v>
      </c>
      <c r="BB899" t="s">
        <v>125</v>
      </c>
      <c r="BC899" t="s">
        <v>125</v>
      </c>
      <c r="BD899" t="s">
        <v>125</v>
      </c>
      <c r="BE899" t="s">
        <v>125</v>
      </c>
      <c r="BF899" t="s">
        <v>125</v>
      </c>
      <c r="BG899" t="s">
        <v>125</v>
      </c>
      <c r="BH899">
        <v>0</v>
      </c>
      <c r="BI899">
        <v>0.99637699999999996</v>
      </c>
      <c r="BJ899">
        <v>0.99236599999999997</v>
      </c>
      <c r="BK899">
        <v>1</v>
      </c>
      <c r="BL899">
        <v>0.99637699999999996</v>
      </c>
      <c r="BM899">
        <v>0.99236599999999997</v>
      </c>
      <c r="BN899">
        <v>1</v>
      </c>
      <c r="BO899">
        <v>0.99224800000000002</v>
      </c>
      <c r="BP899">
        <v>0.98333300000000001</v>
      </c>
      <c r="BQ899">
        <v>1</v>
      </c>
      <c r="BR899">
        <v>0.10545499999999999</v>
      </c>
      <c r="BS899">
        <v>38.909090999999997</v>
      </c>
      <c r="BT899">
        <v>50</v>
      </c>
      <c r="BU899">
        <v>0.17557300000000001</v>
      </c>
      <c r="BV899">
        <v>24.885496</v>
      </c>
      <c r="BW899">
        <v>50</v>
      </c>
      <c r="BX899" t="s">
        <v>125</v>
      </c>
      <c r="BY899" t="s">
        <v>125</v>
      </c>
      <c r="BZ899" t="s">
        <v>125</v>
      </c>
      <c r="CA899" t="s">
        <v>125</v>
      </c>
      <c r="CB899" t="s">
        <v>125</v>
      </c>
      <c r="CC899" t="s">
        <v>125</v>
      </c>
      <c r="CD899">
        <v>0.96969700000000003</v>
      </c>
      <c r="CE899">
        <v>50</v>
      </c>
      <c r="CF899">
        <v>50</v>
      </c>
      <c r="CG899" t="s">
        <v>125</v>
      </c>
      <c r="CH899" t="s">
        <v>125</v>
      </c>
      <c r="CI899" t="s">
        <v>125</v>
      </c>
      <c r="CJ899" t="s">
        <v>125</v>
      </c>
      <c r="CK899" t="s">
        <v>125</v>
      </c>
      <c r="CL899" t="s">
        <v>125</v>
      </c>
      <c r="CM899" t="s">
        <v>125</v>
      </c>
      <c r="CN899" t="s">
        <v>125</v>
      </c>
      <c r="CO899" t="s">
        <v>125</v>
      </c>
      <c r="CP899" t="s">
        <v>125</v>
      </c>
      <c r="CQ899">
        <v>0.65925900000000004</v>
      </c>
      <c r="CR899">
        <v>0.97122299999999995</v>
      </c>
      <c r="CS899">
        <v>43.950617000000001</v>
      </c>
      <c r="CT899">
        <v>50</v>
      </c>
      <c r="CU899" t="s">
        <v>125</v>
      </c>
      <c r="CV899" t="s">
        <v>125</v>
      </c>
      <c r="CW899" t="s">
        <v>125</v>
      </c>
      <c r="CX899" t="s">
        <v>125</v>
      </c>
      <c r="CY899" t="s">
        <v>125</v>
      </c>
      <c r="CZ899" t="s">
        <v>125</v>
      </c>
      <c r="DA899">
        <v>15.314097</v>
      </c>
      <c r="DB899">
        <v>17.400950000000002</v>
      </c>
      <c r="DC899">
        <v>16.332519999999999</v>
      </c>
      <c r="DD899" t="s">
        <v>125</v>
      </c>
      <c r="DE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Q899" t="s">
        <v>126</v>
      </c>
    </row>
    <row r="900" spans="1:121" x14ac:dyDescent="0.15">
      <c r="A900">
        <v>2018</v>
      </c>
      <c r="B900" t="s">
        <v>310</v>
      </c>
      <c r="C900" t="str">
        <f t="shared" si="39"/>
        <v>1370011</v>
      </c>
      <c r="D900" t="s">
        <v>1052</v>
      </c>
      <c r="E900" t="str">
        <f>"1376111"</f>
        <v>1376111</v>
      </c>
      <c r="F900" t="s">
        <v>328</v>
      </c>
      <c r="G900">
        <v>9</v>
      </c>
      <c r="H900">
        <v>12</v>
      </c>
      <c r="I900" t="s">
        <v>336</v>
      </c>
      <c r="J900" t="s">
        <v>331</v>
      </c>
      <c r="K900">
        <v>1218.2806410000001</v>
      </c>
      <c r="L900">
        <v>1450</v>
      </c>
      <c r="M900">
        <v>84.019355000000004</v>
      </c>
      <c r="N900">
        <v>2</v>
      </c>
      <c r="O900">
        <v>0</v>
      </c>
      <c r="P900">
        <v>65.199366999999995</v>
      </c>
      <c r="Q900">
        <v>130.39873399999999</v>
      </c>
      <c r="R900">
        <v>150</v>
      </c>
      <c r="S900">
        <v>56.833333000000003</v>
      </c>
      <c r="T900">
        <v>68.530973000000003</v>
      </c>
      <c r="U900">
        <v>113.666667</v>
      </c>
      <c r="V900">
        <v>150</v>
      </c>
      <c r="W900">
        <v>61.327706999999997</v>
      </c>
      <c r="X900">
        <v>122.655415</v>
      </c>
      <c r="Y900">
        <v>150</v>
      </c>
      <c r="Z900">
        <v>64.442477999999994</v>
      </c>
      <c r="AA900">
        <v>53.506172999999997</v>
      </c>
      <c r="AB900">
        <v>107.01234599999999</v>
      </c>
      <c r="AC900">
        <v>150</v>
      </c>
      <c r="AD900">
        <v>66.945356000000004</v>
      </c>
      <c r="AE900">
        <v>89.260475</v>
      </c>
      <c r="AF900">
        <v>100</v>
      </c>
      <c r="AG900">
        <v>57.792755</v>
      </c>
      <c r="AH900">
        <v>70.590197000000003</v>
      </c>
      <c r="AI900">
        <v>77.057006999999999</v>
      </c>
      <c r="AJ900">
        <v>100</v>
      </c>
      <c r="AK900">
        <v>11.69</v>
      </c>
      <c r="AL900">
        <v>10.93</v>
      </c>
      <c r="AM900">
        <v>12.79</v>
      </c>
      <c r="AN900" t="s">
        <v>125</v>
      </c>
      <c r="AO900" t="s">
        <v>125</v>
      </c>
      <c r="AP900" t="s">
        <v>125</v>
      </c>
      <c r="AQ900" t="s">
        <v>125</v>
      </c>
      <c r="AR900" t="s">
        <v>125</v>
      </c>
      <c r="AS900" t="s">
        <v>125</v>
      </c>
      <c r="AT900" t="s">
        <v>125</v>
      </c>
      <c r="AU900" t="s">
        <v>125</v>
      </c>
      <c r="AV900" t="s">
        <v>125</v>
      </c>
      <c r="AW900" t="s">
        <v>125</v>
      </c>
      <c r="AX900" t="s">
        <v>125</v>
      </c>
      <c r="AY900" t="s">
        <v>125</v>
      </c>
      <c r="AZ900" t="s">
        <v>125</v>
      </c>
      <c r="BA900" t="s">
        <v>125</v>
      </c>
      <c r="BB900" t="s">
        <v>125</v>
      </c>
      <c r="BC900" t="s">
        <v>125</v>
      </c>
      <c r="BD900" t="s">
        <v>125</v>
      </c>
      <c r="BE900" t="s">
        <v>125</v>
      </c>
      <c r="BF900" t="s">
        <v>125</v>
      </c>
      <c r="BG900" t="s">
        <v>125</v>
      </c>
      <c r="BH900">
        <v>0</v>
      </c>
      <c r="BI900">
        <v>0.99390199999999995</v>
      </c>
      <c r="BJ900">
        <v>0.97959200000000002</v>
      </c>
      <c r="BK900">
        <v>1</v>
      </c>
      <c r="BL900">
        <v>0.99390199999999995</v>
      </c>
      <c r="BM900">
        <v>0.97959200000000002</v>
      </c>
      <c r="BN900">
        <v>1</v>
      </c>
      <c r="BO900">
        <v>0.99390199999999995</v>
      </c>
      <c r="BP900">
        <v>0.97959200000000002</v>
      </c>
      <c r="BQ900">
        <v>1</v>
      </c>
      <c r="BR900">
        <v>0.12917899999999999</v>
      </c>
      <c r="BS900">
        <v>34.164133999999997</v>
      </c>
      <c r="BT900">
        <v>50</v>
      </c>
      <c r="BU900">
        <v>0.22459899999999999</v>
      </c>
      <c r="BV900">
        <v>15.080214</v>
      </c>
      <c r="BW900">
        <v>50</v>
      </c>
      <c r="BX900">
        <v>0.81039799999999995</v>
      </c>
      <c r="BY900">
        <v>50</v>
      </c>
      <c r="BZ900">
        <v>50</v>
      </c>
      <c r="CA900">
        <v>0.60244600000000004</v>
      </c>
      <c r="CB900">
        <v>40.163099000000003</v>
      </c>
      <c r="CC900">
        <v>50</v>
      </c>
      <c r="CD900">
        <v>0.99378900000000003</v>
      </c>
      <c r="CE900">
        <v>50</v>
      </c>
      <c r="CF900">
        <v>50</v>
      </c>
      <c r="CG900">
        <v>0.953488</v>
      </c>
      <c r="CH900">
        <v>100</v>
      </c>
      <c r="CI900">
        <v>100</v>
      </c>
      <c r="CJ900">
        <v>0</v>
      </c>
      <c r="CK900">
        <v>0.87755099999999997</v>
      </c>
      <c r="CL900">
        <v>93.356492000000003</v>
      </c>
      <c r="CM900">
        <v>100</v>
      </c>
      <c r="CN900">
        <v>0.79518100000000003</v>
      </c>
      <c r="CO900">
        <v>100</v>
      </c>
      <c r="CP900">
        <v>100</v>
      </c>
      <c r="CQ900">
        <v>0.80487799999999998</v>
      </c>
      <c r="CR900">
        <v>0.95906400000000003</v>
      </c>
      <c r="CS900">
        <v>50</v>
      </c>
      <c r="CT900">
        <v>50</v>
      </c>
      <c r="CU900">
        <v>0.54559299999999999</v>
      </c>
      <c r="CV900">
        <v>45.466059000000001</v>
      </c>
      <c r="CW900">
        <v>50</v>
      </c>
      <c r="CX900">
        <v>0.87755099999999997</v>
      </c>
      <c r="CY900">
        <v>0.94</v>
      </c>
      <c r="CZ900">
        <v>6.2448999999999998E-2</v>
      </c>
      <c r="DA900">
        <v>15.314097</v>
      </c>
      <c r="DB900">
        <v>17.400950000000002</v>
      </c>
      <c r="DC900">
        <v>16.332519999999999</v>
      </c>
      <c r="DD900">
        <v>7.9891730000000001</v>
      </c>
      <c r="DE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Q900" t="s">
        <v>126</v>
      </c>
    </row>
    <row r="901" spans="1:121" x14ac:dyDescent="0.15">
      <c r="A901">
        <v>2018</v>
      </c>
      <c r="B901" t="s">
        <v>310</v>
      </c>
      <c r="C901" t="str">
        <f t="shared" si="39"/>
        <v>1370011</v>
      </c>
      <c r="D901" t="s">
        <v>1053</v>
      </c>
      <c r="E901" t="str">
        <f>"1375211"</f>
        <v>1375211</v>
      </c>
      <c r="F901" t="s">
        <v>328</v>
      </c>
      <c r="G901">
        <v>5</v>
      </c>
      <c r="H901">
        <v>8</v>
      </c>
      <c r="J901" t="s">
        <v>331</v>
      </c>
      <c r="K901">
        <v>716.20292800000004</v>
      </c>
      <c r="L901">
        <v>900</v>
      </c>
      <c r="M901">
        <v>79.578102999999999</v>
      </c>
      <c r="N901">
        <v>2</v>
      </c>
      <c r="O901">
        <v>0</v>
      </c>
      <c r="P901">
        <v>79.961118999999997</v>
      </c>
      <c r="Q901">
        <v>50</v>
      </c>
      <c r="R901">
        <v>50</v>
      </c>
      <c r="S901">
        <v>66.557158999999999</v>
      </c>
      <c r="T901">
        <v>75</v>
      </c>
      <c r="U901">
        <v>44.371439000000002</v>
      </c>
      <c r="V901">
        <v>50</v>
      </c>
      <c r="W901">
        <v>73.638007000000002</v>
      </c>
      <c r="X901">
        <v>49.092005</v>
      </c>
      <c r="Y901">
        <v>50</v>
      </c>
      <c r="Z901">
        <v>75</v>
      </c>
      <c r="AA901">
        <v>59.522388999999997</v>
      </c>
      <c r="AB901">
        <v>39.681592999999999</v>
      </c>
      <c r="AC901">
        <v>50</v>
      </c>
      <c r="AD901">
        <v>74.743590999999995</v>
      </c>
      <c r="AE901">
        <v>49.829061000000003</v>
      </c>
      <c r="AF901">
        <v>50</v>
      </c>
      <c r="AG901">
        <v>64.297697999999997</v>
      </c>
      <c r="AH901">
        <v>75</v>
      </c>
      <c r="AI901">
        <v>42.865132000000003</v>
      </c>
      <c r="AJ901">
        <v>50</v>
      </c>
      <c r="AK901">
        <v>8.44</v>
      </c>
      <c r="AL901">
        <v>15.47</v>
      </c>
      <c r="AM901">
        <v>10.7</v>
      </c>
      <c r="AN901">
        <v>0.69218900000000005</v>
      </c>
      <c r="AO901">
        <v>69.218850000000003</v>
      </c>
      <c r="AP901">
        <v>100</v>
      </c>
      <c r="AQ901">
        <v>0.65942800000000001</v>
      </c>
      <c r="AR901">
        <v>65.942819999999998</v>
      </c>
      <c r="AS901">
        <v>100</v>
      </c>
      <c r="AT901">
        <v>0.59562899999999996</v>
      </c>
      <c r="AU901">
        <v>0.73057000000000005</v>
      </c>
      <c r="AV901">
        <v>59.562894</v>
      </c>
      <c r="AW901">
        <v>100</v>
      </c>
      <c r="AX901">
        <v>0.62072300000000002</v>
      </c>
      <c r="AY901">
        <v>0.674813</v>
      </c>
      <c r="AZ901">
        <v>62.072310999999999</v>
      </c>
      <c r="BA901">
        <v>100</v>
      </c>
      <c r="BB901" t="s">
        <v>125</v>
      </c>
      <c r="BC901" t="s">
        <v>125</v>
      </c>
      <c r="BD901" t="s">
        <v>125</v>
      </c>
      <c r="BE901" t="s">
        <v>125</v>
      </c>
      <c r="BF901" t="s">
        <v>125</v>
      </c>
      <c r="BG901" t="s">
        <v>125</v>
      </c>
      <c r="BH901">
        <v>0</v>
      </c>
      <c r="BI901">
        <v>0.99716700000000003</v>
      </c>
      <c r="BJ901">
        <v>0.99056599999999995</v>
      </c>
      <c r="BK901">
        <v>1</v>
      </c>
      <c r="BL901">
        <v>0.99716700000000003</v>
      </c>
      <c r="BM901">
        <v>0.99056599999999995</v>
      </c>
      <c r="BN901">
        <v>1</v>
      </c>
      <c r="BO901">
        <v>1</v>
      </c>
      <c r="BP901">
        <v>1</v>
      </c>
      <c r="BQ901">
        <v>1</v>
      </c>
      <c r="BR901">
        <v>5.3823999999999997E-2</v>
      </c>
      <c r="BS901">
        <v>49.235126999999999</v>
      </c>
      <c r="BT901">
        <v>50</v>
      </c>
      <c r="BU901">
        <v>7.6923000000000005E-2</v>
      </c>
      <c r="BV901">
        <v>44.615385000000003</v>
      </c>
      <c r="BW901">
        <v>50</v>
      </c>
      <c r="BX901" t="s">
        <v>125</v>
      </c>
      <c r="BY901" t="s">
        <v>125</v>
      </c>
      <c r="BZ901" t="s">
        <v>125</v>
      </c>
      <c r="CA901" t="s">
        <v>125</v>
      </c>
      <c r="CB901" t="s">
        <v>125</v>
      </c>
      <c r="CC901" t="s">
        <v>125</v>
      </c>
      <c r="CD901">
        <v>1</v>
      </c>
      <c r="CE901">
        <v>50</v>
      </c>
      <c r="CF901">
        <v>50</v>
      </c>
      <c r="CG901" t="s">
        <v>125</v>
      </c>
      <c r="CH901" t="s">
        <v>125</v>
      </c>
      <c r="CI901" t="s">
        <v>125</v>
      </c>
      <c r="CJ901" t="s">
        <v>125</v>
      </c>
      <c r="CK901" t="s">
        <v>125</v>
      </c>
      <c r="CL901" t="s">
        <v>125</v>
      </c>
      <c r="CM901" t="s">
        <v>125</v>
      </c>
      <c r="CN901" t="s">
        <v>125</v>
      </c>
      <c r="CO901" t="s">
        <v>125</v>
      </c>
      <c r="CP901" t="s">
        <v>125</v>
      </c>
      <c r="CQ901">
        <v>0.59574499999999997</v>
      </c>
      <c r="CR901">
        <v>0.96907200000000004</v>
      </c>
      <c r="CS901">
        <v>39.716312000000002</v>
      </c>
      <c r="CT901">
        <v>50</v>
      </c>
      <c r="CU901" t="s">
        <v>125</v>
      </c>
      <c r="CV901" t="s">
        <v>125</v>
      </c>
      <c r="CW901" t="s">
        <v>125</v>
      </c>
      <c r="CX901" t="s">
        <v>125</v>
      </c>
      <c r="CY901" t="s">
        <v>125</v>
      </c>
      <c r="CZ901" t="s">
        <v>125</v>
      </c>
      <c r="DA901">
        <v>15.314097</v>
      </c>
      <c r="DB901">
        <v>17.400950000000002</v>
      </c>
      <c r="DC901">
        <v>16.332519999999999</v>
      </c>
      <c r="DD901" t="s">
        <v>125</v>
      </c>
      <c r="DE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Q901" t="s">
        <v>126</v>
      </c>
    </row>
    <row r="902" spans="1:121" x14ac:dyDescent="0.15">
      <c r="A902">
        <v>2018</v>
      </c>
      <c r="B902" t="s">
        <v>310</v>
      </c>
      <c r="C902" t="str">
        <f t="shared" si="39"/>
        <v>1370011</v>
      </c>
      <c r="D902" t="s">
        <v>1054</v>
      </c>
      <c r="E902" t="str">
        <f>"1370411"</f>
        <v>1370411</v>
      </c>
      <c r="F902" t="s">
        <v>328</v>
      </c>
      <c r="G902">
        <v>3</v>
      </c>
      <c r="H902">
        <v>4</v>
      </c>
      <c r="I902" t="s">
        <v>336</v>
      </c>
      <c r="J902" t="s">
        <v>331</v>
      </c>
      <c r="K902">
        <v>519.79373399999997</v>
      </c>
      <c r="L902">
        <v>750</v>
      </c>
      <c r="M902">
        <v>69.305830999999998</v>
      </c>
      <c r="N902">
        <v>3</v>
      </c>
      <c r="O902">
        <v>0</v>
      </c>
      <c r="P902">
        <v>82.243320999999995</v>
      </c>
      <c r="Q902">
        <v>50</v>
      </c>
      <c r="R902">
        <v>50</v>
      </c>
      <c r="S902">
        <v>75.576436999999999</v>
      </c>
      <c r="T902">
        <v>75</v>
      </c>
      <c r="U902">
        <v>50</v>
      </c>
      <c r="V902">
        <v>50</v>
      </c>
      <c r="W902">
        <v>75.575140000000005</v>
      </c>
      <c r="X902">
        <v>50</v>
      </c>
      <c r="Y902">
        <v>50</v>
      </c>
      <c r="Z902">
        <v>75</v>
      </c>
      <c r="AA902">
        <v>67.948299000000006</v>
      </c>
      <c r="AB902">
        <v>45.298865999999997</v>
      </c>
      <c r="AC902">
        <v>50</v>
      </c>
      <c r="AD902" t="s">
        <v>125</v>
      </c>
      <c r="AE902" t="s">
        <v>125</v>
      </c>
      <c r="AF902" t="s">
        <v>125</v>
      </c>
      <c r="AG902" t="s">
        <v>125</v>
      </c>
      <c r="AH902" t="s">
        <v>125</v>
      </c>
      <c r="AI902" t="s">
        <v>125</v>
      </c>
      <c r="AJ902" t="s">
        <v>125</v>
      </c>
      <c r="AK902">
        <v>-0.56999999999999995</v>
      </c>
      <c r="AL902">
        <v>7.05</v>
      </c>
      <c r="AM902" t="s">
        <v>125</v>
      </c>
      <c r="AN902">
        <v>0.61510299999999996</v>
      </c>
      <c r="AO902">
        <v>61.510342000000001</v>
      </c>
      <c r="AP902">
        <v>100</v>
      </c>
      <c r="AQ902">
        <v>0.68668300000000004</v>
      </c>
      <c r="AR902">
        <v>68.668262999999996</v>
      </c>
      <c r="AS902">
        <v>100</v>
      </c>
      <c r="AT902">
        <v>0.56901500000000005</v>
      </c>
      <c r="AU902">
        <v>0.65948499999999999</v>
      </c>
      <c r="AV902">
        <v>56.901519</v>
      </c>
      <c r="AW902">
        <v>100</v>
      </c>
      <c r="AX902">
        <v>0.57359800000000005</v>
      </c>
      <c r="AY902">
        <v>0.79557900000000004</v>
      </c>
      <c r="AZ902">
        <v>57.359772999999997</v>
      </c>
      <c r="BA902">
        <v>100</v>
      </c>
      <c r="BB902" t="s">
        <v>125</v>
      </c>
      <c r="BC902" t="s">
        <v>125</v>
      </c>
      <c r="BD902" t="s">
        <v>125</v>
      </c>
      <c r="BE902" t="s">
        <v>125</v>
      </c>
      <c r="BF902" t="s">
        <v>125</v>
      </c>
      <c r="BG902" t="s">
        <v>125</v>
      </c>
      <c r="BH902">
        <v>0</v>
      </c>
      <c r="BI902">
        <v>1</v>
      </c>
      <c r="BJ902">
        <v>1</v>
      </c>
      <c r="BK902">
        <v>1</v>
      </c>
      <c r="BL902">
        <v>0.99107100000000004</v>
      </c>
      <c r="BM902">
        <v>0.98305100000000001</v>
      </c>
      <c r="BN902">
        <v>1</v>
      </c>
      <c r="BO902" t="s">
        <v>125</v>
      </c>
      <c r="BP902" t="s">
        <v>125</v>
      </c>
      <c r="BQ902" t="s">
        <v>125</v>
      </c>
      <c r="BR902">
        <v>8.1081E-2</v>
      </c>
      <c r="BS902">
        <v>43.783783999999997</v>
      </c>
      <c r="BT902">
        <v>50</v>
      </c>
      <c r="BU902">
        <v>0.118644</v>
      </c>
      <c r="BV902">
        <v>36.271186</v>
      </c>
      <c r="BW902">
        <v>50</v>
      </c>
      <c r="BX902" t="s">
        <v>125</v>
      </c>
      <c r="BY902" t="s">
        <v>125</v>
      </c>
      <c r="BZ902" t="s">
        <v>125</v>
      </c>
      <c r="CA902" t="s">
        <v>125</v>
      </c>
      <c r="CB902" t="s">
        <v>125</v>
      </c>
      <c r="CC902" t="s">
        <v>125</v>
      </c>
      <c r="CD902" t="s">
        <v>125</v>
      </c>
      <c r="CE902" t="s">
        <v>125</v>
      </c>
      <c r="CF902" t="s">
        <v>125</v>
      </c>
      <c r="CG902" t="s">
        <v>125</v>
      </c>
      <c r="CH902" t="s">
        <v>125</v>
      </c>
      <c r="CI902" t="s">
        <v>125</v>
      </c>
      <c r="CJ902" t="s">
        <v>125</v>
      </c>
      <c r="CK902" t="s">
        <v>125</v>
      </c>
      <c r="CL902" t="s">
        <v>125</v>
      </c>
      <c r="CM902" t="s">
        <v>125</v>
      </c>
      <c r="CN902" t="s">
        <v>125</v>
      </c>
      <c r="CO902" t="s">
        <v>125</v>
      </c>
      <c r="CP902" t="s">
        <v>125</v>
      </c>
      <c r="CQ902" t="s">
        <v>125</v>
      </c>
      <c r="CR902" t="s">
        <v>125</v>
      </c>
      <c r="CS902">
        <v>0</v>
      </c>
      <c r="CT902">
        <v>50</v>
      </c>
      <c r="CU902" t="s">
        <v>125</v>
      </c>
      <c r="CV902" t="s">
        <v>125</v>
      </c>
      <c r="CW902" t="s">
        <v>125</v>
      </c>
      <c r="CX902" t="s">
        <v>125</v>
      </c>
      <c r="CY902" t="s">
        <v>125</v>
      </c>
      <c r="CZ902" t="s">
        <v>125</v>
      </c>
      <c r="DA902">
        <v>15.314097</v>
      </c>
      <c r="DB902">
        <v>17.400950000000002</v>
      </c>
      <c r="DC902">
        <v>16.332519999999999</v>
      </c>
      <c r="DD902" t="s">
        <v>125</v>
      </c>
      <c r="DE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Q902" t="s">
        <v>126</v>
      </c>
    </row>
    <row r="903" spans="1:121" x14ac:dyDescent="0.15">
      <c r="A903">
        <v>2018</v>
      </c>
      <c r="B903" t="s">
        <v>310</v>
      </c>
      <c r="C903" t="str">
        <f t="shared" si="39"/>
        <v>1370011</v>
      </c>
      <c r="D903" t="s">
        <v>1055</v>
      </c>
      <c r="E903" t="str">
        <f>"1370611"</f>
        <v>1370611</v>
      </c>
      <c r="F903" t="s">
        <v>328</v>
      </c>
      <c r="G903" t="s">
        <v>339</v>
      </c>
      <c r="H903">
        <v>3</v>
      </c>
      <c r="I903" t="s">
        <v>336</v>
      </c>
      <c r="J903" t="s">
        <v>331</v>
      </c>
      <c r="K903">
        <v>55.821747999999999</v>
      </c>
      <c r="L903">
        <v>100</v>
      </c>
      <c r="M903">
        <v>55.821747999999999</v>
      </c>
      <c r="N903" t="s">
        <v>125</v>
      </c>
      <c r="O903" t="s">
        <v>125</v>
      </c>
      <c r="P903" t="s">
        <v>125</v>
      </c>
      <c r="Q903" t="s">
        <v>125</v>
      </c>
      <c r="R903" t="s">
        <v>125</v>
      </c>
      <c r="S903" t="s">
        <v>125</v>
      </c>
      <c r="T903" t="s">
        <v>125</v>
      </c>
      <c r="U903" t="s">
        <v>125</v>
      </c>
      <c r="V903" t="s">
        <v>125</v>
      </c>
      <c r="W903" t="s">
        <v>125</v>
      </c>
      <c r="X903" t="s">
        <v>125</v>
      </c>
      <c r="Y903" t="s">
        <v>125</v>
      </c>
      <c r="Z903" t="s">
        <v>125</v>
      </c>
      <c r="AA903" t="s">
        <v>125</v>
      </c>
      <c r="AB903" t="s">
        <v>125</v>
      </c>
      <c r="AC903" t="s">
        <v>125</v>
      </c>
      <c r="AD903" t="s">
        <v>125</v>
      </c>
      <c r="AE903" t="s">
        <v>125</v>
      </c>
      <c r="AF903" t="s">
        <v>125</v>
      </c>
      <c r="AG903" t="s">
        <v>125</v>
      </c>
      <c r="AH903" t="s">
        <v>125</v>
      </c>
      <c r="AI903" t="s">
        <v>125</v>
      </c>
      <c r="AJ903" t="s">
        <v>125</v>
      </c>
      <c r="AK903" t="s">
        <v>125</v>
      </c>
      <c r="AL903" t="s">
        <v>125</v>
      </c>
      <c r="AM903" t="s">
        <v>125</v>
      </c>
      <c r="AN903" t="s">
        <v>125</v>
      </c>
      <c r="AO903" t="s">
        <v>125</v>
      </c>
      <c r="AP903" t="s">
        <v>125</v>
      </c>
      <c r="AQ903" t="s">
        <v>125</v>
      </c>
      <c r="AR903" t="s">
        <v>125</v>
      </c>
      <c r="AS903" t="s">
        <v>125</v>
      </c>
      <c r="AT903" t="s">
        <v>125</v>
      </c>
      <c r="AU903" t="s">
        <v>125</v>
      </c>
      <c r="AV903" t="s">
        <v>125</v>
      </c>
      <c r="AW903" t="s">
        <v>125</v>
      </c>
      <c r="AX903" t="s">
        <v>125</v>
      </c>
      <c r="AY903" t="s">
        <v>125</v>
      </c>
      <c r="AZ903" t="s">
        <v>125</v>
      </c>
      <c r="BA903" t="s">
        <v>125</v>
      </c>
      <c r="BB903" t="s">
        <v>125</v>
      </c>
      <c r="BC903" t="s">
        <v>125</v>
      </c>
      <c r="BD903" t="s">
        <v>125</v>
      </c>
      <c r="BE903" t="s">
        <v>125</v>
      </c>
      <c r="BF903" t="s">
        <v>125</v>
      </c>
      <c r="BG903" t="s">
        <v>125</v>
      </c>
      <c r="BH903">
        <v>0</v>
      </c>
      <c r="BI903" t="s">
        <v>125</v>
      </c>
      <c r="BJ903" t="s">
        <v>125</v>
      </c>
      <c r="BK903" t="s">
        <v>125</v>
      </c>
      <c r="BL903" t="s">
        <v>125</v>
      </c>
      <c r="BM903" t="s">
        <v>125</v>
      </c>
      <c r="BN903" t="s">
        <v>125</v>
      </c>
      <c r="BO903" t="s">
        <v>125</v>
      </c>
      <c r="BP903" t="s">
        <v>125</v>
      </c>
      <c r="BQ903" t="s">
        <v>125</v>
      </c>
      <c r="BR903">
        <v>0.118644</v>
      </c>
      <c r="BS903">
        <v>36.271186</v>
      </c>
      <c r="BT903">
        <v>50</v>
      </c>
      <c r="BU903">
        <v>0.20224700000000001</v>
      </c>
      <c r="BV903">
        <v>19.550561999999999</v>
      </c>
      <c r="BW903">
        <v>50</v>
      </c>
      <c r="BX903" t="s">
        <v>125</v>
      </c>
      <c r="BY903" t="s">
        <v>125</v>
      </c>
      <c r="BZ903" t="s">
        <v>125</v>
      </c>
      <c r="CA903" t="s">
        <v>125</v>
      </c>
      <c r="CB903" t="s">
        <v>125</v>
      </c>
      <c r="CC903" t="s">
        <v>125</v>
      </c>
      <c r="CD903" t="s">
        <v>125</v>
      </c>
      <c r="CE903" t="s">
        <v>125</v>
      </c>
      <c r="CF903" t="s">
        <v>125</v>
      </c>
      <c r="CG903" t="s">
        <v>125</v>
      </c>
      <c r="CH903" t="s">
        <v>125</v>
      </c>
      <c r="CI903" t="s">
        <v>125</v>
      </c>
      <c r="CJ903" t="s">
        <v>125</v>
      </c>
      <c r="CK903" t="s">
        <v>125</v>
      </c>
      <c r="CL903" t="s">
        <v>125</v>
      </c>
      <c r="CM903" t="s">
        <v>125</v>
      </c>
      <c r="CN903" t="s">
        <v>125</v>
      </c>
      <c r="CO903" t="s">
        <v>125</v>
      </c>
      <c r="CP903" t="s">
        <v>125</v>
      </c>
      <c r="CQ903" t="s">
        <v>125</v>
      </c>
      <c r="CR903" t="s">
        <v>125</v>
      </c>
      <c r="CS903" t="s">
        <v>125</v>
      </c>
      <c r="CT903" t="s">
        <v>125</v>
      </c>
      <c r="CU903" t="s">
        <v>125</v>
      </c>
      <c r="CV903" t="s">
        <v>125</v>
      </c>
      <c r="CW903" t="s">
        <v>125</v>
      </c>
      <c r="CX903" t="s">
        <v>125</v>
      </c>
      <c r="CY903" t="s">
        <v>125</v>
      </c>
      <c r="CZ903" t="s">
        <v>125</v>
      </c>
      <c r="DA903" t="s">
        <v>125</v>
      </c>
      <c r="DB903" t="s">
        <v>125</v>
      </c>
      <c r="DC903" t="s">
        <v>125</v>
      </c>
      <c r="DD903" t="s">
        <v>125</v>
      </c>
      <c r="DE903" t="s">
        <v>125</v>
      </c>
      <c r="DJ903" t="s">
        <v>125</v>
      </c>
      <c r="DK903" t="s">
        <v>125</v>
      </c>
      <c r="DL903" t="s">
        <v>125</v>
      </c>
      <c r="DM903" t="s">
        <v>125</v>
      </c>
      <c r="DN903" t="s">
        <v>125</v>
      </c>
      <c r="DO903" t="s">
        <v>125</v>
      </c>
      <c r="DQ903" t="s">
        <v>126</v>
      </c>
    </row>
    <row r="904" spans="1:121" x14ac:dyDescent="0.15">
      <c r="A904">
        <v>2018</v>
      </c>
      <c r="B904" t="s">
        <v>227</v>
      </c>
      <c r="C904" t="str">
        <f t="shared" ref="C904:C916" si="40">"1380011"</f>
        <v>1380011</v>
      </c>
      <c r="D904" t="s">
        <v>1056</v>
      </c>
      <c r="E904" t="str">
        <f>"1386211"</f>
        <v>1386211</v>
      </c>
      <c r="F904" t="s">
        <v>328</v>
      </c>
      <c r="G904">
        <v>9</v>
      </c>
      <c r="H904">
        <v>12</v>
      </c>
      <c r="J904" t="s">
        <v>331</v>
      </c>
      <c r="K904">
        <v>1056.7204899999999</v>
      </c>
      <c r="L904">
        <v>1450</v>
      </c>
      <c r="M904">
        <v>72.877274999999997</v>
      </c>
      <c r="N904">
        <v>2</v>
      </c>
      <c r="O904">
        <v>0</v>
      </c>
      <c r="P904">
        <v>53.201304999999998</v>
      </c>
      <c r="Q904">
        <v>106.402609</v>
      </c>
      <c r="R904">
        <v>150</v>
      </c>
      <c r="S904">
        <v>48.451627999999999</v>
      </c>
      <c r="T904">
        <v>57.407125000000001</v>
      </c>
      <c r="U904">
        <v>96.903256999999996</v>
      </c>
      <c r="V904">
        <v>150</v>
      </c>
      <c r="W904">
        <v>50.509447000000002</v>
      </c>
      <c r="X904">
        <v>101.01889300000001</v>
      </c>
      <c r="Y904">
        <v>150</v>
      </c>
      <c r="Z904">
        <v>53.978372</v>
      </c>
      <c r="AA904">
        <v>46.591954000000001</v>
      </c>
      <c r="AB904">
        <v>93.183908000000002</v>
      </c>
      <c r="AC904">
        <v>150</v>
      </c>
      <c r="AD904">
        <v>49.923561999999997</v>
      </c>
      <c r="AE904">
        <v>66.564750000000004</v>
      </c>
      <c r="AF904">
        <v>100</v>
      </c>
      <c r="AG904">
        <v>44.875861</v>
      </c>
      <c r="AH904">
        <v>54.470345999999999</v>
      </c>
      <c r="AI904">
        <v>59.834482000000001</v>
      </c>
      <c r="AJ904">
        <v>100</v>
      </c>
      <c r="AK904">
        <v>8.9499999999999993</v>
      </c>
      <c r="AL904">
        <v>7.38</v>
      </c>
      <c r="AM904">
        <v>9.59</v>
      </c>
      <c r="AN904" t="s">
        <v>125</v>
      </c>
      <c r="AO904" t="s">
        <v>125</v>
      </c>
      <c r="AP904" t="s">
        <v>125</v>
      </c>
      <c r="AQ904" t="s">
        <v>125</v>
      </c>
      <c r="AR904" t="s">
        <v>125</v>
      </c>
      <c r="AS904" t="s">
        <v>125</v>
      </c>
      <c r="AT904" t="s">
        <v>125</v>
      </c>
      <c r="AU904" t="s">
        <v>125</v>
      </c>
      <c r="AV904" t="s">
        <v>125</v>
      </c>
      <c r="AW904" t="s">
        <v>125</v>
      </c>
      <c r="AX904" t="s">
        <v>125</v>
      </c>
      <c r="AY904" t="s">
        <v>125</v>
      </c>
      <c r="AZ904" t="s">
        <v>125</v>
      </c>
      <c r="BA904" t="s">
        <v>125</v>
      </c>
      <c r="BB904" t="s">
        <v>125</v>
      </c>
      <c r="BC904" t="s">
        <v>125</v>
      </c>
      <c r="BD904" t="s">
        <v>125</v>
      </c>
      <c r="BE904" t="s">
        <v>125</v>
      </c>
      <c r="BF904" t="s">
        <v>125</v>
      </c>
      <c r="BG904" t="s">
        <v>125</v>
      </c>
      <c r="BH904">
        <v>0</v>
      </c>
      <c r="BI904">
        <v>0.99601600000000001</v>
      </c>
      <c r="BJ904">
        <v>0.99159699999999995</v>
      </c>
      <c r="BK904">
        <v>1</v>
      </c>
      <c r="BL904">
        <v>0.99601600000000001</v>
      </c>
      <c r="BM904">
        <v>0.99159699999999995</v>
      </c>
      <c r="BN904">
        <v>1</v>
      </c>
      <c r="BO904">
        <v>1</v>
      </c>
      <c r="BP904">
        <v>1</v>
      </c>
      <c r="BQ904">
        <v>1</v>
      </c>
      <c r="BR904">
        <v>0.152363</v>
      </c>
      <c r="BS904">
        <v>29.527483</v>
      </c>
      <c r="BT904">
        <v>50</v>
      </c>
      <c r="BU904">
        <v>0.21643299999999999</v>
      </c>
      <c r="BV904">
        <v>16.713426999999999</v>
      </c>
      <c r="BW904">
        <v>50</v>
      </c>
      <c r="BX904">
        <v>0.92038799999999998</v>
      </c>
      <c r="BY904">
        <v>50</v>
      </c>
      <c r="BZ904">
        <v>50</v>
      </c>
      <c r="CA904">
        <v>0.31844699999999998</v>
      </c>
      <c r="CB904">
        <v>21.229773000000002</v>
      </c>
      <c r="CC904">
        <v>50</v>
      </c>
      <c r="CD904">
        <v>0.85559600000000002</v>
      </c>
      <c r="CE904">
        <v>45.510407999999998</v>
      </c>
      <c r="CF904">
        <v>50</v>
      </c>
      <c r="CG904">
        <v>0.98062000000000005</v>
      </c>
      <c r="CH904">
        <v>100</v>
      </c>
      <c r="CI904">
        <v>100</v>
      </c>
      <c r="CJ904">
        <v>0</v>
      </c>
      <c r="CK904">
        <v>0.96774199999999999</v>
      </c>
      <c r="CL904">
        <v>100</v>
      </c>
      <c r="CM904">
        <v>100</v>
      </c>
      <c r="CN904">
        <v>0.74409400000000003</v>
      </c>
      <c r="CO904">
        <v>99.212598</v>
      </c>
      <c r="CP904">
        <v>100</v>
      </c>
      <c r="CQ904">
        <v>0.57471300000000003</v>
      </c>
      <c r="CR904">
        <v>1.0653060000000001</v>
      </c>
      <c r="CS904">
        <v>38.314176000000003</v>
      </c>
      <c r="CT904">
        <v>50</v>
      </c>
      <c r="CU904">
        <v>0.38765699999999997</v>
      </c>
      <c r="CV904">
        <v>32.304724999999998</v>
      </c>
      <c r="CW904">
        <v>50</v>
      </c>
      <c r="CX904">
        <v>0.96774199999999999</v>
      </c>
      <c r="CY904">
        <v>0.94</v>
      </c>
      <c r="CZ904">
        <v>-2.7741999999999999E-2</v>
      </c>
      <c r="DA904">
        <v>15.314097</v>
      </c>
      <c r="DB904">
        <v>17.400950000000002</v>
      </c>
      <c r="DC904">
        <v>16.332519999999999</v>
      </c>
      <c r="DD904">
        <v>7.9891730000000001</v>
      </c>
      <c r="DE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Q904" t="s">
        <v>126</v>
      </c>
    </row>
    <row r="905" spans="1:121" x14ac:dyDescent="0.15">
      <c r="A905">
        <v>2018</v>
      </c>
      <c r="B905" t="s">
        <v>227</v>
      </c>
      <c r="C905" t="str">
        <f t="shared" si="40"/>
        <v>1380011</v>
      </c>
      <c r="D905" t="s">
        <v>1057</v>
      </c>
      <c r="E905" t="str">
        <f>"1380311"</f>
        <v>1380311</v>
      </c>
      <c r="F905" t="s">
        <v>328</v>
      </c>
      <c r="G905" t="s">
        <v>339</v>
      </c>
      <c r="H905">
        <v>6</v>
      </c>
      <c r="J905" t="s">
        <v>331</v>
      </c>
      <c r="K905">
        <v>691.59267699999998</v>
      </c>
      <c r="L905">
        <v>850</v>
      </c>
      <c r="M905">
        <v>81.363844</v>
      </c>
      <c r="N905">
        <v>2</v>
      </c>
      <c r="O905">
        <v>0</v>
      </c>
      <c r="P905">
        <v>73.133645999999999</v>
      </c>
      <c r="Q905">
        <v>48.755763999999999</v>
      </c>
      <c r="R905">
        <v>50</v>
      </c>
      <c r="S905">
        <v>64.435158000000001</v>
      </c>
      <c r="T905">
        <v>75</v>
      </c>
      <c r="U905">
        <v>42.956772000000001</v>
      </c>
      <c r="V905">
        <v>50</v>
      </c>
      <c r="W905">
        <v>70.071830000000006</v>
      </c>
      <c r="X905">
        <v>46.714554</v>
      </c>
      <c r="Y905">
        <v>50</v>
      </c>
      <c r="Z905">
        <v>75</v>
      </c>
      <c r="AA905">
        <v>61.682197000000002</v>
      </c>
      <c r="AB905">
        <v>41.121464000000003</v>
      </c>
      <c r="AC905">
        <v>50</v>
      </c>
      <c r="AD905">
        <v>74.171727000000004</v>
      </c>
      <c r="AE905">
        <v>49.447817999999998</v>
      </c>
      <c r="AF905">
        <v>50</v>
      </c>
      <c r="AG905">
        <v>63.309139999999999</v>
      </c>
      <c r="AH905">
        <v>75</v>
      </c>
      <c r="AI905">
        <v>42.206093000000003</v>
      </c>
      <c r="AJ905">
        <v>50</v>
      </c>
      <c r="AK905">
        <v>10.56</v>
      </c>
      <c r="AL905">
        <v>13.31</v>
      </c>
      <c r="AM905">
        <v>11.69</v>
      </c>
      <c r="AN905">
        <v>0.67705899999999997</v>
      </c>
      <c r="AO905">
        <v>67.705867999999995</v>
      </c>
      <c r="AP905">
        <v>100</v>
      </c>
      <c r="AQ905">
        <v>0.82982400000000001</v>
      </c>
      <c r="AR905">
        <v>82.982373999999993</v>
      </c>
      <c r="AS905">
        <v>100</v>
      </c>
      <c r="AT905">
        <v>0.59296300000000002</v>
      </c>
      <c r="AU905">
        <v>0.73932200000000003</v>
      </c>
      <c r="AV905">
        <v>59.296317999999999</v>
      </c>
      <c r="AW905">
        <v>100</v>
      </c>
      <c r="AX905">
        <v>0.78872500000000001</v>
      </c>
      <c r="AY905">
        <v>0.86025300000000005</v>
      </c>
      <c r="AZ905">
        <v>78.872497999999993</v>
      </c>
      <c r="BA905">
        <v>100</v>
      </c>
      <c r="BB905" t="s">
        <v>125</v>
      </c>
      <c r="BC905" t="s">
        <v>125</v>
      </c>
      <c r="BD905" t="s">
        <v>125</v>
      </c>
      <c r="BE905" t="s">
        <v>125</v>
      </c>
      <c r="BF905" t="s">
        <v>125</v>
      </c>
      <c r="BG905" t="s">
        <v>125</v>
      </c>
      <c r="BH905">
        <v>0</v>
      </c>
      <c r="BI905">
        <v>0.995726</v>
      </c>
      <c r="BJ905">
        <v>1</v>
      </c>
      <c r="BK905">
        <v>0.99224800000000002</v>
      </c>
      <c r="BL905">
        <v>0.995726</v>
      </c>
      <c r="BM905">
        <v>1</v>
      </c>
      <c r="BN905">
        <v>0.99224800000000002</v>
      </c>
      <c r="BO905">
        <v>0.98611099999999996</v>
      </c>
      <c r="BP905">
        <v>1</v>
      </c>
      <c r="BQ905">
        <v>0.97777800000000004</v>
      </c>
      <c r="BR905">
        <v>6.2873999999999999E-2</v>
      </c>
      <c r="BS905">
        <v>47.425150000000002</v>
      </c>
      <c r="BT905">
        <v>50</v>
      </c>
      <c r="BU905">
        <v>9.8039000000000001E-2</v>
      </c>
      <c r="BV905">
        <v>40.392156999999997</v>
      </c>
      <c r="BW905">
        <v>50</v>
      </c>
      <c r="BX905" t="s">
        <v>125</v>
      </c>
      <c r="BY905" t="s">
        <v>125</v>
      </c>
      <c r="BZ905" t="s">
        <v>125</v>
      </c>
      <c r="CA905" t="s">
        <v>125</v>
      </c>
      <c r="CB905" t="s">
        <v>125</v>
      </c>
      <c r="CC905" t="s">
        <v>125</v>
      </c>
      <c r="CD905" t="s">
        <v>125</v>
      </c>
      <c r="CE905" t="s">
        <v>125</v>
      </c>
      <c r="CF905" t="s">
        <v>125</v>
      </c>
      <c r="CG905" t="s">
        <v>125</v>
      </c>
      <c r="CH905" t="s">
        <v>125</v>
      </c>
      <c r="CI905" t="s">
        <v>125</v>
      </c>
      <c r="CJ905" t="s">
        <v>125</v>
      </c>
      <c r="CK905" t="s">
        <v>125</v>
      </c>
      <c r="CL905" t="s">
        <v>125</v>
      </c>
      <c r="CM905" t="s">
        <v>125</v>
      </c>
      <c r="CN905" t="s">
        <v>125</v>
      </c>
      <c r="CO905" t="s">
        <v>125</v>
      </c>
      <c r="CP905" t="s">
        <v>125</v>
      </c>
      <c r="CQ905">
        <v>0.65573800000000004</v>
      </c>
      <c r="CR905">
        <v>1.042735</v>
      </c>
      <c r="CS905">
        <v>43.715846999999997</v>
      </c>
      <c r="CT905">
        <v>50</v>
      </c>
      <c r="CU905" t="s">
        <v>125</v>
      </c>
      <c r="CV905" t="s">
        <v>125</v>
      </c>
      <c r="CW905" t="s">
        <v>125</v>
      </c>
      <c r="CX905" t="s">
        <v>125</v>
      </c>
      <c r="CY905" t="s">
        <v>125</v>
      </c>
      <c r="CZ905" t="s">
        <v>125</v>
      </c>
      <c r="DA905">
        <v>15.314097</v>
      </c>
      <c r="DB905">
        <v>17.400950000000002</v>
      </c>
      <c r="DC905">
        <v>16.332519999999999</v>
      </c>
      <c r="DD905" t="s">
        <v>125</v>
      </c>
      <c r="DE905">
        <v>0</v>
      </c>
      <c r="DH905" t="s">
        <v>332</v>
      </c>
      <c r="DI905" t="s">
        <v>432</v>
      </c>
      <c r="DJ905">
        <v>0</v>
      </c>
      <c r="DK905">
        <v>0</v>
      </c>
      <c r="DL905">
        <v>0</v>
      </c>
      <c r="DM905">
        <v>0</v>
      </c>
      <c r="DN905">
        <v>1</v>
      </c>
      <c r="DO905">
        <v>0</v>
      </c>
      <c r="DQ905" t="s">
        <v>126</v>
      </c>
    </row>
    <row r="906" spans="1:121" x14ac:dyDescent="0.15">
      <c r="A906">
        <v>2018</v>
      </c>
      <c r="B906" t="s">
        <v>227</v>
      </c>
      <c r="C906" t="str">
        <f t="shared" si="40"/>
        <v>1380011</v>
      </c>
      <c r="D906" t="s">
        <v>1058</v>
      </c>
      <c r="E906" t="str">
        <f>"1385211"</f>
        <v>1385211</v>
      </c>
      <c r="F906" t="s">
        <v>328</v>
      </c>
      <c r="G906">
        <v>7</v>
      </c>
      <c r="H906">
        <v>8</v>
      </c>
      <c r="J906" t="s">
        <v>331</v>
      </c>
      <c r="K906">
        <v>573.45606999999995</v>
      </c>
      <c r="L906">
        <v>900</v>
      </c>
      <c r="M906">
        <v>63.717340999999998</v>
      </c>
      <c r="N906">
        <v>3</v>
      </c>
      <c r="O906">
        <v>0</v>
      </c>
      <c r="P906">
        <v>65.769576000000001</v>
      </c>
      <c r="Q906">
        <v>43.846384</v>
      </c>
      <c r="R906">
        <v>50</v>
      </c>
      <c r="S906">
        <v>60.365426999999997</v>
      </c>
      <c r="T906">
        <v>72.400868000000003</v>
      </c>
      <c r="U906">
        <v>40.243617999999998</v>
      </c>
      <c r="V906">
        <v>50</v>
      </c>
      <c r="W906">
        <v>52.978746000000001</v>
      </c>
      <c r="X906">
        <v>35.319164000000001</v>
      </c>
      <c r="Y906">
        <v>50</v>
      </c>
      <c r="Z906">
        <v>59.223585</v>
      </c>
      <c r="AA906">
        <v>47.889536</v>
      </c>
      <c r="AB906">
        <v>31.926356999999999</v>
      </c>
      <c r="AC906">
        <v>50</v>
      </c>
      <c r="AD906">
        <v>59.474190999999998</v>
      </c>
      <c r="AE906">
        <v>39.649461000000002</v>
      </c>
      <c r="AF906">
        <v>50</v>
      </c>
      <c r="AG906">
        <v>54.706682000000001</v>
      </c>
      <c r="AH906">
        <v>65.195201999999995</v>
      </c>
      <c r="AI906">
        <v>36.471122000000001</v>
      </c>
      <c r="AJ906">
        <v>50</v>
      </c>
      <c r="AK906">
        <v>12.03</v>
      </c>
      <c r="AL906">
        <v>11.33</v>
      </c>
      <c r="AM906">
        <v>10.48</v>
      </c>
      <c r="AN906">
        <v>0.52617499999999995</v>
      </c>
      <c r="AO906">
        <v>52.617533999999999</v>
      </c>
      <c r="AP906">
        <v>100</v>
      </c>
      <c r="AQ906">
        <v>0.421124</v>
      </c>
      <c r="AR906">
        <v>42.112369000000001</v>
      </c>
      <c r="AS906">
        <v>100</v>
      </c>
      <c r="AT906">
        <v>0.52543799999999996</v>
      </c>
      <c r="AU906">
        <v>0.52704700000000004</v>
      </c>
      <c r="AV906">
        <v>52.543795000000003</v>
      </c>
      <c r="AW906">
        <v>100</v>
      </c>
      <c r="AX906">
        <v>0.42331000000000002</v>
      </c>
      <c r="AY906">
        <v>0.41853899999999999</v>
      </c>
      <c r="AZ906">
        <v>42.331023999999999</v>
      </c>
      <c r="BA906">
        <v>100</v>
      </c>
      <c r="BB906" t="s">
        <v>125</v>
      </c>
      <c r="BC906" t="s">
        <v>125</v>
      </c>
      <c r="BD906" t="s">
        <v>125</v>
      </c>
      <c r="BE906" t="s">
        <v>125</v>
      </c>
      <c r="BF906" t="s">
        <v>125</v>
      </c>
      <c r="BG906" t="s">
        <v>125</v>
      </c>
      <c r="BH906">
        <v>0</v>
      </c>
      <c r="BI906">
        <v>0.99813399999999997</v>
      </c>
      <c r="BJ906">
        <v>1</v>
      </c>
      <c r="BK906">
        <v>0.99581600000000003</v>
      </c>
      <c r="BL906">
        <v>0.99813399999999997</v>
      </c>
      <c r="BM906">
        <v>1</v>
      </c>
      <c r="BN906">
        <v>0.99581600000000003</v>
      </c>
      <c r="BO906">
        <v>1</v>
      </c>
      <c r="BP906">
        <v>1</v>
      </c>
      <c r="BQ906">
        <v>1</v>
      </c>
      <c r="BR906">
        <v>8.2089999999999996E-2</v>
      </c>
      <c r="BS906">
        <v>43.582090000000001</v>
      </c>
      <c r="BT906">
        <v>50</v>
      </c>
      <c r="BU906">
        <v>0.11705699999999999</v>
      </c>
      <c r="BV906">
        <v>36.588628999999997</v>
      </c>
      <c r="BW906">
        <v>50</v>
      </c>
      <c r="BX906" t="s">
        <v>125</v>
      </c>
      <c r="BY906" t="s">
        <v>125</v>
      </c>
      <c r="BZ906" t="s">
        <v>125</v>
      </c>
      <c r="CA906" t="s">
        <v>125</v>
      </c>
      <c r="CB906" t="s">
        <v>125</v>
      </c>
      <c r="CC906" t="s">
        <v>125</v>
      </c>
      <c r="CD906">
        <v>0.92975200000000002</v>
      </c>
      <c r="CE906">
        <v>49.454897000000003</v>
      </c>
      <c r="CF906">
        <v>50</v>
      </c>
      <c r="CG906" t="s">
        <v>125</v>
      </c>
      <c r="CH906" t="s">
        <v>125</v>
      </c>
      <c r="CI906" t="s">
        <v>125</v>
      </c>
      <c r="CJ906" t="s">
        <v>125</v>
      </c>
      <c r="CK906" t="s">
        <v>125</v>
      </c>
      <c r="CL906" t="s">
        <v>125</v>
      </c>
      <c r="CM906" t="s">
        <v>125</v>
      </c>
      <c r="CN906" t="s">
        <v>125</v>
      </c>
      <c r="CO906" t="s">
        <v>125</v>
      </c>
      <c r="CP906" t="s">
        <v>125</v>
      </c>
      <c r="CQ906">
        <v>0.40154400000000001</v>
      </c>
      <c r="CR906">
        <v>0.98479099999999997</v>
      </c>
      <c r="CS906">
        <v>26.769627</v>
      </c>
      <c r="CT906">
        <v>50</v>
      </c>
      <c r="CU906" t="s">
        <v>125</v>
      </c>
      <c r="CV906" t="s">
        <v>125</v>
      </c>
      <c r="CW906" t="s">
        <v>125</v>
      </c>
      <c r="CX906" t="s">
        <v>125</v>
      </c>
      <c r="CY906" t="s">
        <v>125</v>
      </c>
      <c r="CZ906" t="s">
        <v>125</v>
      </c>
      <c r="DA906">
        <v>15.314097</v>
      </c>
      <c r="DB906">
        <v>17.400950000000002</v>
      </c>
      <c r="DC906">
        <v>16.332519999999999</v>
      </c>
      <c r="DD906" t="s">
        <v>125</v>
      </c>
      <c r="DE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Q906" t="s">
        <v>126</v>
      </c>
    </row>
    <row r="907" spans="1:121" x14ac:dyDescent="0.15">
      <c r="A907">
        <v>2018</v>
      </c>
      <c r="B907" t="s">
        <v>227</v>
      </c>
      <c r="C907" t="str">
        <f t="shared" si="40"/>
        <v>1380011</v>
      </c>
      <c r="D907" t="s">
        <v>558</v>
      </c>
      <c r="E907" t="str">
        <f>"1381311"</f>
        <v>1381311</v>
      </c>
      <c r="F907" t="s">
        <v>328</v>
      </c>
      <c r="G907" t="s">
        <v>339</v>
      </c>
      <c r="H907">
        <v>6</v>
      </c>
      <c r="J907" t="s">
        <v>331</v>
      </c>
      <c r="K907">
        <v>628.12461399999995</v>
      </c>
      <c r="L907">
        <v>850</v>
      </c>
      <c r="M907">
        <v>73.897013000000001</v>
      </c>
      <c r="N907">
        <v>2</v>
      </c>
      <c r="O907">
        <v>0</v>
      </c>
      <c r="P907">
        <v>69.932652000000004</v>
      </c>
      <c r="Q907">
        <v>46.621768000000003</v>
      </c>
      <c r="R907">
        <v>50</v>
      </c>
      <c r="S907">
        <v>64.083641</v>
      </c>
      <c r="T907">
        <v>75</v>
      </c>
      <c r="U907">
        <v>42.722428000000001</v>
      </c>
      <c r="V907">
        <v>50</v>
      </c>
      <c r="W907">
        <v>65.945905999999994</v>
      </c>
      <c r="X907">
        <v>43.963937000000001</v>
      </c>
      <c r="Y907">
        <v>50</v>
      </c>
      <c r="Z907">
        <v>71.961344999999994</v>
      </c>
      <c r="AA907">
        <v>60.011212</v>
      </c>
      <c r="AB907">
        <v>40.007474999999999</v>
      </c>
      <c r="AC907">
        <v>50</v>
      </c>
      <c r="AD907">
        <v>61.036751000000002</v>
      </c>
      <c r="AE907">
        <v>40.691167</v>
      </c>
      <c r="AF907">
        <v>50</v>
      </c>
      <c r="AG907">
        <v>55.908808999999998</v>
      </c>
      <c r="AH907">
        <v>67.488033000000001</v>
      </c>
      <c r="AI907">
        <v>37.272539000000002</v>
      </c>
      <c r="AJ907">
        <v>50</v>
      </c>
      <c r="AK907">
        <v>10.91</v>
      </c>
      <c r="AL907">
        <v>11.95</v>
      </c>
      <c r="AM907">
        <v>11.57</v>
      </c>
      <c r="AN907">
        <v>0.59222300000000005</v>
      </c>
      <c r="AO907">
        <v>59.222349000000001</v>
      </c>
      <c r="AP907">
        <v>100</v>
      </c>
      <c r="AQ907">
        <v>0.63479399999999997</v>
      </c>
      <c r="AR907">
        <v>63.479438000000002</v>
      </c>
      <c r="AS907">
        <v>100</v>
      </c>
      <c r="AT907">
        <v>0.52514700000000003</v>
      </c>
      <c r="AU907">
        <v>0.66646399999999995</v>
      </c>
      <c r="AV907">
        <v>52.514664000000003</v>
      </c>
      <c r="AW907">
        <v>100</v>
      </c>
      <c r="AX907">
        <v>0.60648100000000005</v>
      </c>
      <c r="AY907">
        <v>0.66640699999999997</v>
      </c>
      <c r="AZ907">
        <v>60.648071000000002</v>
      </c>
      <c r="BA907">
        <v>100</v>
      </c>
      <c r="BB907" t="s">
        <v>125</v>
      </c>
      <c r="BC907" t="s">
        <v>125</v>
      </c>
      <c r="BD907" t="s">
        <v>125</v>
      </c>
      <c r="BE907" t="s">
        <v>125</v>
      </c>
      <c r="BF907" t="s">
        <v>125</v>
      </c>
      <c r="BG907" t="s">
        <v>125</v>
      </c>
      <c r="BH907">
        <v>0</v>
      </c>
      <c r="BI907">
        <v>0.99673199999999995</v>
      </c>
      <c r="BJ907">
        <v>0.99363100000000004</v>
      </c>
      <c r="BK907">
        <v>1</v>
      </c>
      <c r="BL907">
        <v>0.99673199999999995</v>
      </c>
      <c r="BM907">
        <v>0.99363100000000004</v>
      </c>
      <c r="BN907">
        <v>1</v>
      </c>
      <c r="BO907">
        <v>1</v>
      </c>
      <c r="BP907">
        <v>1</v>
      </c>
      <c r="BQ907">
        <v>1</v>
      </c>
      <c r="BR907">
        <v>4.0777000000000001E-2</v>
      </c>
      <c r="BS907">
        <v>50</v>
      </c>
      <c r="BT907">
        <v>50</v>
      </c>
      <c r="BU907">
        <v>6.8000000000000005E-2</v>
      </c>
      <c r="BV907">
        <v>46.4</v>
      </c>
      <c r="BW907">
        <v>50</v>
      </c>
      <c r="BX907" t="s">
        <v>125</v>
      </c>
      <c r="BY907" t="s">
        <v>125</v>
      </c>
      <c r="BZ907" t="s">
        <v>125</v>
      </c>
      <c r="CA907" t="s">
        <v>125</v>
      </c>
      <c r="CB907" t="s">
        <v>125</v>
      </c>
      <c r="CC907" t="s">
        <v>125</v>
      </c>
      <c r="CD907" t="s">
        <v>125</v>
      </c>
      <c r="CE907" t="s">
        <v>125</v>
      </c>
      <c r="CF907" t="s">
        <v>125</v>
      </c>
      <c r="CG907" t="s">
        <v>125</v>
      </c>
      <c r="CH907" t="s">
        <v>125</v>
      </c>
      <c r="CI907" t="s">
        <v>125</v>
      </c>
      <c r="CJ907" t="s">
        <v>125</v>
      </c>
      <c r="CK907" t="s">
        <v>125</v>
      </c>
      <c r="CL907" t="s">
        <v>125</v>
      </c>
      <c r="CM907" t="s">
        <v>125</v>
      </c>
      <c r="CN907" t="s">
        <v>125</v>
      </c>
      <c r="CO907" t="s">
        <v>125</v>
      </c>
      <c r="CP907" t="s">
        <v>125</v>
      </c>
      <c r="CQ907">
        <v>0.66871199999999997</v>
      </c>
      <c r="CR907">
        <v>1</v>
      </c>
      <c r="CS907">
        <v>44.580776999999998</v>
      </c>
      <c r="CT907">
        <v>50</v>
      </c>
      <c r="CU907" t="s">
        <v>125</v>
      </c>
      <c r="CV907" t="s">
        <v>125</v>
      </c>
      <c r="CW907" t="s">
        <v>125</v>
      </c>
      <c r="CX907" t="s">
        <v>125</v>
      </c>
      <c r="CY907" t="s">
        <v>125</v>
      </c>
      <c r="CZ907" t="s">
        <v>125</v>
      </c>
      <c r="DA907">
        <v>15.314097</v>
      </c>
      <c r="DB907">
        <v>17.400950000000002</v>
      </c>
      <c r="DC907">
        <v>16.332519999999999</v>
      </c>
      <c r="DD907" t="s">
        <v>125</v>
      </c>
      <c r="DE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Q907" t="s">
        <v>126</v>
      </c>
    </row>
    <row r="908" spans="1:121" x14ac:dyDescent="0.15">
      <c r="A908">
        <v>2018</v>
      </c>
      <c r="B908" t="s">
        <v>227</v>
      </c>
      <c r="C908" t="str">
        <f t="shared" si="40"/>
        <v>1380011</v>
      </c>
      <c r="D908" t="s">
        <v>1059</v>
      </c>
      <c r="E908" t="str">
        <f>"1380411"</f>
        <v>1380411</v>
      </c>
      <c r="F908" t="s">
        <v>328</v>
      </c>
      <c r="G908" t="s">
        <v>329</v>
      </c>
      <c r="H908">
        <v>6</v>
      </c>
      <c r="I908" t="s">
        <v>336</v>
      </c>
      <c r="J908" t="s">
        <v>331</v>
      </c>
      <c r="K908">
        <v>777.23540300000002</v>
      </c>
      <c r="L908">
        <v>950</v>
      </c>
      <c r="M908">
        <v>81.814252999999994</v>
      </c>
      <c r="N908">
        <v>2</v>
      </c>
      <c r="O908">
        <v>0</v>
      </c>
      <c r="P908">
        <v>68.707836999999998</v>
      </c>
      <c r="Q908">
        <v>45.805225</v>
      </c>
      <c r="R908">
        <v>50</v>
      </c>
      <c r="S908">
        <v>66.990277000000006</v>
      </c>
      <c r="T908">
        <v>75</v>
      </c>
      <c r="U908">
        <v>44.660184999999998</v>
      </c>
      <c r="V908">
        <v>50</v>
      </c>
      <c r="W908">
        <v>62.088059999999999</v>
      </c>
      <c r="X908">
        <v>41.392040000000001</v>
      </c>
      <c r="Y908">
        <v>50</v>
      </c>
      <c r="Z908">
        <v>70.211872</v>
      </c>
      <c r="AA908">
        <v>60.011296000000002</v>
      </c>
      <c r="AB908">
        <v>40.007531</v>
      </c>
      <c r="AC908">
        <v>50</v>
      </c>
      <c r="AD908">
        <v>67.327359999999999</v>
      </c>
      <c r="AE908">
        <v>44.884906000000001</v>
      </c>
      <c r="AF908">
        <v>50</v>
      </c>
      <c r="AG908">
        <v>66.841710000000006</v>
      </c>
      <c r="AH908" t="s">
        <v>125</v>
      </c>
      <c r="AI908">
        <v>44.561140000000002</v>
      </c>
      <c r="AJ908">
        <v>50</v>
      </c>
      <c r="AK908">
        <v>8</v>
      </c>
      <c r="AL908">
        <v>10.199999999999999</v>
      </c>
      <c r="AM908" t="s">
        <v>125</v>
      </c>
      <c r="AN908">
        <v>0.71622600000000003</v>
      </c>
      <c r="AO908">
        <v>71.622601000000003</v>
      </c>
      <c r="AP908">
        <v>100</v>
      </c>
      <c r="AQ908">
        <v>0.81481700000000001</v>
      </c>
      <c r="AR908">
        <v>81.481711000000004</v>
      </c>
      <c r="AS908">
        <v>100</v>
      </c>
      <c r="AT908">
        <v>0.70950899999999995</v>
      </c>
      <c r="AU908">
        <v>0.74180100000000004</v>
      </c>
      <c r="AV908">
        <v>70.950926999999993</v>
      </c>
      <c r="AW908">
        <v>100</v>
      </c>
      <c r="AX908">
        <v>0.80242599999999997</v>
      </c>
      <c r="AY908">
        <v>0.86152300000000004</v>
      </c>
      <c r="AZ908">
        <v>80.242566999999994</v>
      </c>
      <c r="BA908">
        <v>100</v>
      </c>
      <c r="BB908">
        <v>0.897123</v>
      </c>
      <c r="BC908">
        <v>44.856138000000001</v>
      </c>
      <c r="BD908">
        <v>50</v>
      </c>
      <c r="BE908">
        <v>0.704959</v>
      </c>
      <c r="BF908">
        <v>35.247950000000003</v>
      </c>
      <c r="BG908">
        <v>50</v>
      </c>
      <c r="BH908">
        <v>0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 t="s">
        <v>125</v>
      </c>
      <c r="BR908">
        <v>5.5350999999999997E-2</v>
      </c>
      <c r="BS908">
        <v>48.929889000000003</v>
      </c>
      <c r="BT908">
        <v>50</v>
      </c>
      <c r="BU908">
        <v>6.4814999999999998E-2</v>
      </c>
      <c r="BV908">
        <v>47.037036999999998</v>
      </c>
      <c r="BW908">
        <v>50</v>
      </c>
      <c r="BX908" t="s">
        <v>125</v>
      </c>
      <c r="BY908" t="s">
        <v>125</v>
      </c>
      <c r="BZ908" t="s">
        <v>125</v>
      </c>
      <c r="CA908" t="s">
        <v>125</v>
      </c>
      <c r="CB908" t="s">
        <v>125</v>
      </c>
      <c r="CC908" t="s">
        <v>125</v>
      </c>
      <c r="CD908" t="s">
        <v>125</v>
      </c>
      <c r="CE908" t="s">
        <v>125</v>
      </c>
      <c r="CF908" t="s">
        <v>125</v>
      </c>
      <c r="CG908" t="s">
        <v>125</v>
      </c>
      <c r="CH908" t="s">
        <v>125</v>
      </c>
      <c r="CI908" t="s">
        <v>125</v>
      </c>
      <c r="CJ908" t="s">
        <v>125</v>
      </c>
      <c r="CK908" t="s">
        <v>125</v>
      </c>
      <c r="CL908" t="s">
        <v>125</v>
      </c>
      <c r="CM908" t="s">
        <v>125</v>
      </c>
      <c r="CN908" t="s">
        <v>125</v>
      </c>
      <c r="CO908" t="s">
        <v>125</v>
      </c>
      <c r="CP908" t="s">
        <v>125</v>
      </c>
      <c r="CQ908">
        <v>0.53333299999999995</v>
      </c>
      <c r="CR908">
        <v>1</v>
      </c>
      <c r="CS908">
        <v>35.555556000000003</v>
      </c>
      <c r="CT908">
        <v>50</v>
      </c>
      <c r="CU908" t="s">
        <v>125</v>
      </c>
      <c r="CV908" t="s">
        <v>125</v>
      </c>
      <c r="CW908" t="s">
        <v>125</v>
      </c>
      <c r="CX908" t="s">
        <v>125</v>
      </c>
      <c r="CY908" t="s">
        <v>125</v>
      </c>
      <c r="CZ908" t="s">
        <v>125</v>
      </c>
      <c r="DA908">
        <v>15.314097</v>
      </c>
      <c r="DB908">
        <v>17.400950000000002</v>
      </c>
      <c r="DC908">
        <v>16.332519999999999</v>
      </c>
      <c r="DD908" t="s">
        <v>125</v>
      </c>
      <c r="DE908">
        <v>0</v>
      </c>
      <c r="DH908" t="s">
        <v>332</v>
      </c>
      <c r="DI908" t="s">
        <v>432</v>
      </c>
      <c r="DJ908">
        <v>0</v>
      </c>
      <c r="DK908">
        <v>0</v>
      </c>
      <c r="DL908">
        <v>0</v>
      </c>
      <c r="DM908">
        <v>0</v>
      </c>
      <c r="DN908">
        <v>1</v>
      </c>
      <c r="DO908">
        <v>0</v>
      </c>
      <c r="DQ908" t="s">
        <v>126</v>
      </c>
    </row>
    <row r="909" spans="1:121" x14ac:dyDescent="0.15">
      <c r="A909">
        <v>2018</v>
      </c>
      <c r="B909" t="s">
        <v>227</v>
      </c>
      <c r="C909" t="str">
        <f t="shared" si="40"/>
        <v>1380011</v>
      </c>
      <c r="D909" t="s">
        <v>1060</v>
      </c>
      <c r="E909" t="str">
        <f>"1385311"</f>
        <v>1385311</v>
      </c>
      <c r="F909" t="s">
        <v>328</v>
      </c>
      <c r="G909">
        <v>7</v>
      </c>
      <c r="H909">
        <v>8</v>
      </c>
      <c r="J909" t="s">
        <v>331</v>
      </c>
      <c r="K909">
        <v>631.13279399999999</v>
      </c>
      <c r="L909">
        <v>1000</v>
      </c>
      <c r="M909">
        <v>63.113278999999999</v>
      </c>
      <c r="N909">
        <v>3</v>
      </c>
      <c r="O909">
        <v>0</v>
      </c>
      <c r="P909">
        <v>64.249385000000004</v>
      </c>
      <c r="Q909">
        <v>42.832923000000001</v>
      </c>
      <c r="R909">
        <v>50</v>
      </c>
      <c r="S909">
        <v>59.290500999999999</v>
      </c>
      <c r="T909">
        <v>71.510606999999993</v>
      </c>
      <c r="U909">
        <v>39.527000999999998</v>
      </c>
      <c r="V909">
        <v>50</v>
      </c>
      <c r="W909">
        <v>53.805650999999997</v>
      </c>
      <c r="X909">
        <v>35.870434000000003</v>
      </c>
      <c r="Y909">
        <v>50</v>
      </c>
      <c r="Z909">
        <v>62.589467999999997</v>
      </c>
      <c r="AA909">
        <v>47.806947000000001</v>
      </c>
      <c r="AB909">
        <v>31.871297999999999</v>
      </c>
      <c r="AC909">
        <v>50</v>
      </c>
      <c r="AD909">
        <v>55.872742000000002</v>
      </c>
      <c r="AE909">
        <v>37.248494999999998</v>
      </c>
      <c r="AF909">
        <v>50</v>
      </c>
      <c r="AG909">
        <v>51.551529000000002</v>
      </c>
      <c r="AH909">
        <v>61.537525000000002</v>
      </c>
      <c r="AI909">
        <v>34.367685999999999</v>
      </c>
      <c r="AJ909">
        <v>50</v>
      </c>
      <c r="AK909">
        <v>12.22</v>
      </c>
      <c r="AL909">
        <v>14.78</v>
      </c>
      <c r="AM909">
        <v>9.98</v>
      </c>
      <c r="AN909">
        <v>0.52832100000000004</v>
      </c>
      <c r="AO909">
        <v>52.832082999999997</v>
      </c>
      <c r="AP909">
        <v>100</v>
      </c>
      <c r="AQ909">
        <v>0.50824899999999995</v>
      </c>
      <c r="AR909">
        <v>50.824854999999999</v>
      </c>
      <c r="AS909">
        <v>100</v>
      </c>
      <c r="AT909">
        <v>0.54560399999999998</v>
      </c>
      <c r="AU909">
        <v>0.50557200000000002</v>
      </c>
      <c r="AV909">
        <v>54.560425000000002</v>
      </c>
      <c r="AW909">
        <v>100</v>
      </c>
      <c r="AX909">
        <v>0.46919100000000002</v>
      </c>
      <c r="AY909">
        <v>0.55971099999999996</v>
      </c>
      <c r="AZ909">
        <v>46.919057000000002</v>
      </c>
      <c r="BA909">
        <v>100</v>
      </c>
      <c r="BB909">
        <v>0.68149899999999997</v>
      </c>
      <c r="BC909">
        <v>34.074942</v>
      </c>
      <c r="BD909">
        <v>50</v>
      </c>
      <c r="BE909">
        <v>0.47333999999999998</v>
      </c>
      <c r="BF909">
        <v>23.666986999999999</v>
      </c>
      <c r="BG909">
        <v>50</v>
      </c>
      <c r="BH909">
        <v>0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9.8073999999999995E-2</v>
      </c>
      <c r="BS909">
        <v>40.385289</v>
      </c>
      <c r="BT909">
        <v>50</v>
      </c>
      <c r="BU909">
        <v>0.12912899999999999</v>
      </c>
      <c r="BV909">
        <v>34.174174000000001</v>
      </c>
      <c r="BW909">
        <v>50</v>
      </c>
      <c r="BX909" t="s">
        <v>125</v>
      </c>
      <c r="BY909" t="s">
        <v>125</v>
      </c>
      <c r="BZ909" t="s">
        <v>125</v>
      </c>
      <c r="CA909" t="s">
        <v>125</v>
      </c>
      <c r="CB909" t="s">
        <v>125</v>
      </c>
      <c r="CC909" t="s">
        <v>125</v>
      </c>
      <c r="CD909">
        <v>0.90493000000000001</v>
      </c>
      <c r="CE909">
        <v>48.134551999999999</v>
      </c>
      <c r="CF909">
        <v>50</v>
      </c>
      <c r="CG909" t="s">
        <v>125</v>
      </c>
      <c r="CH909" t="s">
        <v>125</v>
      </c>
      <c r="CI909" t="s">
        <v>125</v>
      </c>
      <c r="CJ909" t="s">
        <v>125</v>
      </c>
      <c r="CK909" t="s">
        <v>125</v>
      </c>
      <c r="CL909" t="s">
        <v>125</v>
      </c>
      <c r="CM909" t="s">
        <v>125</v>
      </c>
      <c r="CN909" t="s">
        <v>125</v>
      </c>
      <c r="CO909" t="s">
        <v>125</v>
      </c>
      <c r="CP909" t="s">
        <v>125</v>
      </c>
      <c r="CQ909">
        <v>0.35763899999999998</v>
      </c>
      <c r="CR909">
        <v>1.0140849999999999</v>
      </c>
      <c r="CS909">
        <v>23.842593000000001</v>
      </c>
      <c r="CT909">
        <v>50</v>
      </c>
      <c r="CU909" t="s">
        <v>125</v>
      </c>
      <c r="CV909" t="s">
        <v>125</v>
      </c>
      <c r="CW909" t="s">
        <v>125</v>
      </c>
      <c r="CX909" t="s">
        <v>125</v>
      </c>
      <c r="CY909" t="s">
        <v>125</v>
      </c>
      <c r="CZ909" t="s">
        <v>125</v>
      </c>
      <c r="DA909">
        <v>15.314097</v>
      </c>
      <c r="DB909">
        <v>17.400950000000002</v>
      </c>
      <c r="DC909">
        <v>16.332519999999999</v>
      </c>
      <c r="DD909" t="s">
        <v>125</v>
      </c>
      <c r="DE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Q909" t="s">
        <v>126</v>
      </c>
    </row>
    <row r="910" spans="1:121" x14ac:dyDescent="0.15">
      <c r="A910">
        <v>2018</v>
      </c>
      <c r="B910" t="s">
        <v>227</v>
      </c>
      <c r="C910" t="str">
        <f t="shared" si="40"/>
        <v>1380011</v>
      </c>
      <c r="D910" t="s">
        <v>1061</v>
      </c>
      <c r="E910" t="str">
        <f>"1380811"</f>
        <v>1380811</v>
      </c>
      <c r="F910" t="s">
        <v>328</v>
      </c>
      <c r="G910" t="s">
        <v>339</v>
      </c>
      <c r="H910">
        <v>6</v>
      </c>
      <c r="J910" t="s">
        <v>331</v>
      </c>
      <c r="K910">
        <v>574.965869</v>
      </c>
      <c r="L910">
        <v>850</v>
      </c>
      <c r="M910">
        <v>67.643043000000006</v>
      </c>
      <c r="N910">
        <v>3</v>
      </c>
      <c r="O910">
        <v>0</v>
      </c>
      <c r="P910">
        <v>66.074827999999997</v>
      </c>
      <c r="Q910">
        <v>44.049885000000003</v>
      </c>
      <c r="R910">
        <v>50</v>
      </c>
      <c r="S910">
        <v>61.798422000000002</v>
      </c>
      <c r="T910">
        <v>75</v>
      </c>
      <c r="U910">
        <v>41.198948000000001</v>
      </c>
      <c r="V910">
        <v>50</v>
      </c>
      <c r="W910">
        <v>61.184674999999999</v>
      </c>
      <c r="X910">
        <v>40.789783</v>
      </c>
      <c r="Y910">
        <v>50</v>
      </c>
      <c r="Z910">
        <v>69.587153999999998</v>
      </c>
      <c r="AA910">
        <v>57.190052999999999</v>
      </c>
      <c r="AB910">
        <v>38.126702000000002</v>
      </c>
      <c r="AC910">
        <v>50</v>
      </c>
      <c r="AD910">
        <v>63.116934999999998</v>
      </c>
      <c r="AE910">
        <v>42.077956999999998</v>
      </c>
      <c r="AF910">
        <v>50</v>
      </c>
      <c r="AG910">
        <v>58.570565000000002</v>
      </c>
      <c r="AH910" t="s">
        <v>125</v>
      </c>
      <c r="AI910">
        <v>39.047043000000002</v>
      </c>
      <c r="AJ910">
        <v>50</v>
      </c>
      <c r="AK910">
        <v>13.2</v>
      </c>
      <c r="AL910">
        <v>12.39</v>
      </c>
      <c r="AM910" t="s">
        <v>125</v>
      </c>
      <c r="AN910">
        <v>0.53549500000000005</v>
      </c>
      <c r="AO910">
        <v>53.549546999999997</v>
      </c>
      <c r="AP910">
        <v>100</v>
      </c>
      <c r="AQ910">
        <v>0.61713399999999996</v>
      </c>
      <c r="AR910">
        <v>61.713383</v>
      </c>
      <c r="AS910">
        <v>100</v>
      </c>
      <c r="AT910">
        <v>0.48605900000000002</v>
      </c>
      <c r="AU910">
        <v>0.66732499999999995</v>
      </c>
      <c r="AV910">
        <v>48.60595</v>
      </c>
      <c r="AW910">
        <v>100</v>
      </c>
      <c r="AX910">
        <v>0.59626900000000005</v>
      </c>
      <c r="AY910">
        <v>0.67277500000000001</v>
      </c>
      <c r="AZ910">
        <v>59.626854000000002</v>
      </c>
      <c r="BA910">
        <v>100</v>
      </c>
      <c r="BB910" t="s">
        <v>125</v>
      </c>
      <c r="BC910" t="s">
        <v>125</v>
      </c>
      <c r="BD910" t="s">
        <v>125</v>
      </c>
      <c r="BE910" t="s">
        <v>125</v>
      </c>
      <c r="BF910" t="s">
        <v>125</v>
      </c>
      <c r="BG910" t="s">
        <v>125</v>
      </c>
      <c r="BH910">
        <v>0</v>
      </c>
      <c r="BI910">
        <v>0.99492400000000003</v>
      </c>
      <c r="BJ910">
        <v>0.99275400000000003</v>
      </c>
      <c r="BK910">
        <v>1</v>
      </c>
      <c r="BL910">
        <v>0.99492400000000003</v>
      </c>
      <c r="BM910">
        <v>0.99275400000000003</v>
      </c>
      <c r="BN910">
        <v>1</v>
      </c>
      <c r="BO910">
        <v>1</v>
      </c>
      <c r="BP910">
        <v>1</v>
      </c>
      <c r="BQ910" t="s">
        <v>125</v>
      </c>
      <c r="BR910">
        <v>0.11419799999999999</v>
      </c>
      <c r="BS910">
        <v>37.160494</v>
      </c>
      <c r="BT910">
        <v>50</v>
      </c>
      <c r="BU910">
        <v>0.11981600000000001</v>
      </c>
      <c r="BV910">
        <v>36.036866000000003</v>
      </c>
      <c r="BW910">
        <v>50</v>
      </c>
      <c r="BX910" t="s">
        <v>125</v>
      </c>
      <c r="BY910" t="s">
        <v>125</v>
      </c>
      <c r="BZ910" t="s">
        <v>125</v>
      </c>
      <c r="CA910" t="s">
        <v>125</v>
      </c>
      <c r="CB910" t="s">
        <v>125</v>
      </c>
      <c r="CC910" t="s">
        <v>125</v>
      </c>
      <c r="CD910" t="s">
        <v>125</v>
      </c>
      <c r="CE910" t="s">
        <v>125</v>
      </c>
      <c r="CF910" t="s">
        <v>125</v>
      </c>
      <c r="CG910" t="s">
        <v>125</v>
      </c>
      <c r="CH910" t="s">
        <v>125</v>
      </c>
      <c r="CI910" t="s">
        <v>125</v>
      </c>
      <c r="CJ910" t="s">
        <v>125</v>
      </c>
      <c r="CK910" t="s">
        <v>125</v>
      </c>
      <c r="CL910" t="s">
        <v>125</v>
      </c>
      <c r="CM910" t="s">
        <v>125</v>
      </c>
      <c r="CN910" t="s">
        <v>125</v>
      </c>
      <c r="CO910" t="s">
        <v>125</v>
      </c>
      <c r="CP910" t="s">
        <v>125</v>
      </c>
      <c r="CQ910">
        <v>0.49473699999999998</v>
      </c>
      <c r="CR910">
        <v>0.98958299999999999</v>
      </c>
      <c r="CS910">
        <v>32.982455999999999</v>
      </c>
      <c r="CT910">
        <v>50</v>
      </c>
      <c r="CU910" t="s">
        <v>125</v>
      </c>
      <c r="CV910" t="s">
        <v>125</v>
      </c>
      <c r="CW910" t="s">
        <v>125</v>
      </c>
      <c r="CX910" t="s">
        <v>125</v>
      </c>
      <c r="CY910" t="s">
        <v>125</v>
      </c>
      <c r="CZ910" t="s">
        <v>125</v>
      </c>
      <c r="DA910">
        <v>15.314097</v>
      </c>
      <c r="DB910">
        <v>17.400950000000002</v>
      </c>
      <c r="DC910">
        <v>16.332519999999999</v>
      </c>
      <c r="DD910" t="s">
        <v>125</v>
      </c>
      <c r="DE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Q910" t="s">
        <v>126</v>
      </c>
    </row>
    <row r="911" spans="1:121" x14ac:dyDescent="0.15">
      <c r="A911">
        <v>2018</v>
      </c>
      <c r="B911" t="s">
        <v>227</v>
      </c>
      <c r="C911" t="str">
        <f t="shared" si="40"/>
        <v>1380011</v>
      </c>
      <c r="D911" t="s">
        <v>1062</v>
      </c>
      <c r="E911" t="str">
        <f>"1380911"</f>
        <v>1380911</v>
      </c>
      <c r="F911" t="s">
        <v>328</v>
      </c>
      <c r="G911" t="s">
        <v>339</v>
      </c>
      <c r="H911">
        <v>6</v>
      </c>
      <c r="I911" t="s">
        <v>336</v>
      </c>
      <c r="J911" t="s">
        <v>331</v>
      </c>
      <c r="K911">
        <v>676.274629</v>
      </c>
      <c r="L911">
        <v>950</v>
      </c>
      <c r="M911">
        <v>71.186802999999998</v>
      </c>
      <c r="N911">
        <v>2</v>
      </c>
      <c r="O911">
        <v>0</v>
      </c>
      <c r="P911">
        <v>63.990423999999997</v>
      </c>
      <c r="Q911">
        <v>42.660283</v>
      </c>
      <c r="R911">
        <v>50</v>
      </c>
      <c r="S911">
        <v>60.110858999999998</v>
      </c>
      <c r="T911">
        <v>70.790091000000004</v>
      </c>
      <c r="U911">
        <v>40.073906000000001</v>
      </c>
      <c r="V911">
        <v>50</v>
      </c>
      <c r="W911">
        <v>59.812165</v>
      </c>
      <c r="X911">
        <v>39.874777000000002</v>
      </c>
      <c r="Y911">
        <v>50</v>
      </c>
      <c r="Z911">
        <v>67.378737000000001</v>
      </c>
      <c r="AA911">
        <v>55.495041999999998</v>
      </c>
      <c r="AB911">
        <v>36.996695000000003</v>
      </c>
      <c r="AC911">
        <v>50</v>
      </c>
      <c r="AD911">
        <v>63.987903000000003</v>
      </c>
      <c r="AE911">
        <v>42.658602000000002</v>
      </c>
      <c r="AF911">
        <v>50</v>
      </c>
      <c r="AG911">
        <v>61.529102000000002</v>
      </c>
      <c r="AH911">
        <v>69.129031999999995</v>
      </c>
      <c r="AI911">
        <v>41.019401999999999</v>
      </c>
      <c r="AJ911">
        <v>50</v>
      </c>
      <c r="AK911">
        <v>10.67</v>
      </c>
      <c r="AL911">
        <v>11.88</v>
      </c>
      <c r="AM911">
        <v>7.59</v>
      </c>
      <c r="AN911">
        <v>0.57037400000000005</v>
      </c>
      <c r="AO911">
        <v>57.037351000000001</v>
      </c>
      <c r="AP911">
        <v>100</v>
      </c>
      <c r="AQ911">
        <v>0.59853500000000004</v>
      </c>
      <c r="AR911">
        <v>59.853482999999997</v>
      </c>
      <c r="AS911">
        <v>100</v>
      </c>
      <c r="AT911">
        <v>0.57947499999999996</v>
      </c>
      <c r="AU911">
        <v>0.55555100000000002</v>
      </c>
      <c r="AV911">
        <v>57.947526000000003</v>
      </c>
      <c r="AW911">
        <v>100</v>
      </c>
      <c r="AX911">
        <v>0.61186200000000002</v>
      </c>
      <c r="AY911">
        <v>0.57683099999999998</v>
      </c>
      <c r="AZ911">
        <v>61.186166999999998</v>
      </c>
      <c r="BA911">
        <v>100</v>
      </c>
      <c r="BB911">
        <v>0.82843599999999995</v>
      </c>
      <c r="BC911">
        <v>41.421785</v>
      </c>
      <c r="BD911">
        <v>50</v>
      </c>
      <c r="BE911">
        <v>0.74563199999999996</v>
      </c>
      <c r="BF911">
        <v>37.281602999999997</v>
      </c>
      <c r="BG911">
        <v>50</v>
      </c>
      <c r="BH911">
        <v>0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7.0064000000000001E-2</v>
      </c>
      <c r="BS911">
        <v>45.987260999999997</v>
      </c>
      <c r="BT911">
        <v>50</v>
      </c>
      <c r="BU911">
        <v>9.1503000000000001E-2</v>
      </c>
      <c r="BV911">
        <v>41.699345999999998</v>
      </c>
      <c r="BW911">
        <v>50</v>
      </c>
      <c r="BX911" t="s">
        <v>125</v>
      </c>
      <c r="BY911" t="s">
        <v>125</v>
      </c>
      <c r="BZ911" t="s">
        <v>125</v>
      </c>
      <c r="CA911" t="s">
        <v>125</v>
      </c>
      <c r="CB911" t="s">
        <v>125</v>
      </c>
      <c r="CC911" t="s">
        <v>125</v>
      </c>
      <c r="CD911" t="s">
        <v>125</v>
      </c>
      <c r="CE911" t="s">
        <v>125</v>
      </c>
      <c r="CF911" t="s">
        <v>125</v>
      </c>
      <c r="CG911" t="s">
        <v>125</v>
      </c>
      <c r="CH911" t="s">
        <v>125</v>
      </c>
      <c r="CI911" t="s">
        <v>125</v>
      </c>
      <c r="CJ911" t="s">
        <v>125</v>
      </c>
      <c r="CK911" t="s">
        <v>125</v>
      </c>
      <c r="CL911" t="s">
        <v>125</v>
      </c>
      <c r="CM911" t="s">
        <v>125</v>
      </c>
      <c r="CN911" t="s">
        <v>125</v>
      </c>
      <c r="CO911" t="s">
        <v>125</v>
      </c>
      <c r="CP911" t="s">
        <v>125</v>
      </c>
      <c r="CQ911">
        <v>0.45864700000000003</v>
      </c>
      <c r="CR911">
        <v>0.992537</v>
      </c>
      <c r="CS911">
        <v>30.576440999999999</v>
      </c>
      <c r="CT911">
        <v>50</v>
      </c>
      <c r="CU911" t="s">
        <v>125</v>
      </c>
      <c r="CV911" t="s">
        <v>125</v>
      </c>
      <c r="CW911" t="s">
        <v>125</v>
      </c>
      <c r="CX911" t="s">
        <v>125</v>
      </c>
      <c r="CY911" t="s">
        <v>125</v>
      </c>
      <c r="CZ911" t="s">
        <v>125</v>
      </c>
      <c r="DA911">
        <v>15.314097</v>
      </c>
      <c r="DB911">
        <v>17.400950000000002</v>
      </c>
      <c r="DC911">
        <v>16.332519999999999</v>
      </c>
      <c r="DD911" t="s">
        <v>125</v>
      </c>
      <c r="DE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Q911" t="s">
        <v>126</v>
      </c>
    </row>
    <row r="912" spans="1:121" x14ac:dyDescent="0.15">
      <c r="A912">
        <v>2018</v>
      </c>
      <c r="B912" t="s">
        <v>227</v>
      </c>
      <c r="C912" t="str">
        <f t="shared" si="40"/>
        <v>1380011</v>
      </c>
      <c r="D912" t="s">
        <v>1063</v>
      </c>
      <c r="E912" t="str">
        <f>"1381011"</f>
        <v>1381011</v>
      </c>
      <c r="F912" t="s">
        <v>328</v>
      </c>
      <c r="G912" t="s">
        <v>329</v>
      </c>
      <c r="H912">
        <v>6</v>
      </c>
      <c r="J912" t="s">
        <v>331</v>
      </c>
      <c r="K912">
        <v>703.69189700000004</v>
      </c>
      <c r="L912">
        <v>950</v>
      </c>
      <c r="M912">
        <v>74.072830999999994</v>
      </c>
      <c r="N912">
        <v>2</v>
      </c>
      <c r="O912">
        <v>0</v>
      </c>
      <c r="P912">
        <v>68.986780999999993</v>
      </c>
      <c r="Q912">
        <v>45.991186999999996</v>
      </c>
      <c r="R912">
        <v>50</v>
      </c>
      <c r="S912">
        <v>65.783063999999996</v>
      </c>
      <c r="T912">
        <v>73.601658999999998</v>
      </c>
      <c r="U912">
        <v>43.855376</v>
      </c>
      <c r="V912">
        <v>50</v>
      </c>
      <c r="W912">
        <v>66.451345000000003</v>
      </c>
      <c r="X912">
        <v>44.300896999999999</v>
      </c>
      <c r="Y912">
        <v>50</v>
      </c>
      <c r="Z912">
        <v>72.340369999999993</v>
      </c>
      <c r="AA912">
        <v>62.363097000000003</v>
      </c>
      <c r="AB912">
        <v>41.575398</v>
      </c>
      <c r="AC912">
        <v>50</v>
      </c>
      <c r="AD912">
        <v>61.783681000000001</v>
      </c>
      <c r="AE912">
        <v>41.189121</v>
      </c>
      <c r="AF912">
        <v>50</v>
      </c>
      <c r="AG912">
        <v>61.054434999999998</v>
      </c>
      <c r="AH912" t="s">
        <v>125</v>
      </c>
      <c r="AI912">
        <v>40.702956999999998</v>
      </c>
      <c r="AJ912">
        <v>50</v>
      </c>
      <c r="AK912">
        <v>7.81</v>
      </c>
      <c r="AL912">
        <v>9.9700000000000006</v>
      </c>
      <c r="AM912" t="s">
        <v>125</v>
      </c>
      <c r="AN912">
        <v>0.54233200000000004</v>
      </c>
      <c r="AO912">
        <v>54.233231000000004</v>
      </c>
      <c r="AP912">
        <v>100</v>
      </c>
      <c r="AQ912">
        <v>0.78122899999999995</v>
      </c>
      <c r="AR912">
        <v>78.122910000000005</v>
      </c>
      <c r="AS912">
        <v>100</v>
      </c>
      <c r="AT912">
        <v>0.51518699999999995</v>
      </c>
      <c r="AU912">
        <v>0.57644700000000004</v>
      </c>
      <c r="AV912">
        <v>51.518698000000001</v>
      </c>
      <c r="AW912">
        <v>100</v>
      </c>
      <c r="AX912">
        <v>0.73714100000000005</v>
      </c>
      <c r="AY912">
        <v>0.83663699999999996</v>
      </c>
      <c r="AZ912">
        <v>73.714121000000006</v>
      </c>
      <c r="BA912">
        <v>100</v>
      </c>
      <c r="BB912">
        <v>0.62616300000000003</v>
      </c>
      <c r="BC912">
        <v>31.308147999999999</v>
      </c>
      <c r="BD912">
        <v>50</v>
      </c>
      <c r="BE912">
        <v>0.57694599999999996</v>
      </c>
      <c r="BF912">
        <v>28.847299</v>
      </c>
      <c r="BG912">
        <v>50</v>
      </c>
      <c r="BH912">
        <v>0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 t="s">
        <v>125</v>
      </c>
      <c r="BR912">
        <v>8.7855000000000003E-2</v>
      </c>
      <c r="BS912">
        <v>42.428941000000002</v>
      </c>
      <c r="BT912">
        <v>50</v>
      </c>
      <c r="BU912">
        <v>0.12048200000000001</v>
      </c>
      <c r="BV912">
        <v>35.903613999999997</v>
      </c>
      <c r="BW912">
        <v>50</v>
      </c>
      <c r="BX912" t="s">
        <v>125</v>
      </c>
      <c r="BY912" t="s">
        <v>125</v>
      </c>
      <c r="BZ912" t="s">
        <v>125</v>
      </c>
      <c r="CA912" t="s">
        <v>125</v>
      </c>
      <c r="CB912" t="s">
        <v>125</v>
      </c>
      <c r="CC912" t="s">
        <v>125</v>
      </c>
      <c r="CD912" t="s">
        <v>125</v>
      </c>
      <c r="CE912" t="s">
        <v>125</v>
      </c>
      <c r="CF912" t="s">
        <v>125</v>
      </c>
      <c r="CG912" t="s">
        <v>125</v>
      </c>
      <c r="CH912" t="s">
        <v>125</v>
      </c>
      <c r="CI912" t="s">
        <v>125</v>
      </c>
      <c r="CJ912" t="s">
        <v>125</v>
      </c>
      <c r="CK912" t="s">
        <v>125</v>
      </c>
      <c r="CL912" t="s">
        <v>125</v>
      </c>
      <c r="CM912" t="s">
        <v>125</v>
      </c>
      <c r="CN912" t="s">
        <v>125</v>
      </c>
      <c r="CO912" t="s">
        <v>125</v>
      </c>
      <c r="CP912" t="s">
        <v>125</v>
      </c>
      <c r="CQ912">
        <v>0.75206600000000001</v>
      </c>
      <c r="CR912">
        <v>0.95275600000000005</v>
      </c>
      <c r="CS912">
        <v>50</v>
      </c>
      <c r="CT912">
        <v>50</v>
      </c>
      <c r="CU912" t="s">
        <v>125</v>
      </c>
      <c r="CV912" t="s">
        <v>125</v>
      </c>
      <c r="CW912" t="s">
        <v>125</v>
      </c>
      <c r="CX912" t="s">
        <v>125</v>
      </c>
      <c r="CY912" t="s">
        <v>125</v>
      </c>
      <c r="CZ912" t="s">
        <v>125</v>
      </c>
      <c r="DA912">
        <v>15.314097</v>
      </c>
      <c r="DB912">
        <v>17.400950000000002</v>
      </c>
      <c r="DC912">
        <v>16.332519999999999</v>
      </c>
      <c r="DD912" t="s">
        <v>125</v>
      </c>
      <c r="DE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Q912" t="s">
        <v>126</v>
      </c>
    </row>
    <row r="913" spans="1:121" x14ac:dyDescent="0.15">
      <c r="A913">
        <v>2018</v>
      </c>
      <c r="B913" t="s">
        <v>227</v>
      </c>
      <c r="C913" t="str">
        <f t="shared" si="40"/>
        <v>1380011</v>
      </c>
      <c r="D913" t="s">
        <v>1064</v>
      </c>
      <c r="E913" t="str">
        <f>"1381511"</f>
        <v>1381511</v>
      </c>
      <c r="F913" t="s">
        <v>328</v>
      </c>
      <c r="G913">
        <v>2</v>
      </c>
      <c r="H913">
        <v>6</v>
      </c>
      <c r="I913" t="s">
        <v>336</v>
      </c>
      <c r="J913" t="s">
        <v>331</v>
      </c>
      <c r="K913">
        <v>614.81542999999999</v>
      </c>
      <c r="L913">
        <v>950</v>
      </c>
      <c r="M913">
        <v>64.717414000000005</v>
      </c>
      <c r="N913">
        <v>3</v>
      </c>
      <c r="O913">
        <v>0</v>
      </c>
      <c r="P913">
        <v>60.529350000000001</v>
      </c>
      <c r="Q913">
        <v>40.352899999999998</v>
      </c>
      <c r="R913">
        <v>50</v>
      </c>
      <c r="S913">
        <v>56.974015000000001</v>
      </c>
      <c r="T913">
        <v>70.813059999999993</v>
      </c>
      <c r="U913">
        <v>37.982675999999998</v>
      </c>
      <c r="V913">
        <v>50</v>
      </c>
      <c r="W913">
        <v>54.975732000000001</v>
      </c>
      <c r="X913">
        <v>36.650488000000003</v>
      </c>
      <c r="Y913">
        <v>50</v>
      </c>
      <c r="Z913">
        <v>64.766014999999996</v>
      </c>
      <c r="AA913">
        <v>51.590986999999998</v>
      </c>
      <c r="AB913">
        <v>34.393991</v>
      </c>
      <c r="AC913">
        <v>50</v>
      </c>
      <c r="AD913">
        <v>60.443455</v>
      </c>
      <c r="AE913">
        <v>40.295636000000002</v>
      </c>
      <c r="AF913">
        <v>50</v>
      </c>
      <c r="AG913">
        <v>57.363624999999999</v>
      </c>
      <c r="AH913" t="s">
        <v>125</v>
      </c>
      <c r="AI913">
        <v>38.242417000000003</v>
      </c>
      <c r="AJ913">
        <v>50</v>
      </c>
      <c r="AK913">
        <v>13.83</v>
      </c>
      <c r="AL913">
        <v>13.17</v>
      </c>
      <c r="AM913" t="s">
        <v>125</v>
      </c>
      <c r="AN913">
        <v>0.52763400000000005</v>
      </c>
      <c r="AO913">
        <v>52.763362999999998</v>
      </c>
      <c r="AP913">
        <v>100</v>
      </c>
      <c r="AQ913">
        <v>0.57185299999999994</v>
      </c>
      <c r="AR913">
        <v>57.185322999999997</v>
      </c>
      <c r="AS913">
        <v>100</v>
      </c>
      <c r="AT913">
        <v>0.49834000000000001</v>
      </c>
      <c r="AU913">
        <v>0.60646699999999998</v>
      </c>
      <c r="AV913">
        <v>49.834032999999998</v>
      </c>
      <c r="AW913">
        <v>100</v>
      </c>
      <c r="AX913">
        <v>0.52623900000000001</v>
      </c>
      <c r="AY913">
        <v>0.694608</v>
      </c>
      <c r="AZ913">
        <v>52.623930000000001</v>
      </c>
      <c r="BA913">
        <v>100</v>
      </c>
      <c r="BB913">
        <v>0.75680000000000003</v>
      </c>
      <c r="BC913">
        <v>37.840001999999998</v>
      </c>
      <c r="BD913">
        <v>50</v>
      </c>
      <c r="BE913">
        <v>0.42396499999999998</v>
      </c>
      <c r="BF913">
        <v>21.198233999999999</v>
      </c>
      <c r="BG913">
        <v>50</v>
      </c>
      <c r="BH913">
        <v>0</v>
      </c>
      <c r="BI913">
        <v>0.99728300000000003</v>
      </c>
      <c r="BJ913">
        <v>1</v>
      </c>
      <c r="BK913">
        <v>0.98936199999999996</v>
      </c>
      <c r="BL913">
        <v>0.99728300000000003</v>
      </c>
      <c r="BM913">
        <v>1</v>
      </c>
      <c r="BN913">
        <v>0.98936199999999996</v>
      </c>
      <c r="BO913">
        <v>1</v>
      </c>
      <c r="BP913">
        <v>1</v>
      </c>
      <c r="BQ913" t="s">
        <v>125</v>
      </c>
      <c r="BR913">
        <v>5.6769E-2</v>
      </c>
      <c r="BS913">
        <v>48.646287999999998</v>
      </c>
      <c r="BT913">
        <v>50</v>
      </c>
      <c r="BU913">
        <v>6.8966E-2</v>
      </c>
      <c r="BV913">
        <v>46.206896999999998</v>
      </c>
      <c r="BW913">
        <v>50</v>
      </c>
      <c r="BX913" t="s">
        <v>125</v>
      </c>
      <c r="BY913" t="s">
        <v>125</v>
      </c>
      <c r="BZ913" t="s">
        <v>125</v>
      </c>
      <c r="CA913" t="s">
        <v>125</v>
      </c>
      <c r="CB913" t="s">
        <v>125</v>
      </c>
      <c r="CC913" t="s">
        <v>125</v>
      </c>
      <c r="CD913" t="s">
        <v>125</v>
      </c>
      <c r="CE913" t="s">
        <v>125</v>
      </c>
      <c r="CF913" t="s">
        <v>125</v>
      </c>
      <c r="CG913" t="s">
        <v>125</v>
      </c>
      <c r="CH913" t="s">
        <v>125</v>
      </c>
      <c r="CI913" t="s">
        <v>125</v>
      </c>
      <c r="CJ913" t="s">
        <v>125</v>
      </c>
      <c r="CK913" t="s">
        <v>125</v>
      </c>
      <c r="CL913" t="s">
        <v>125</v>
      </c>
      <c r="CM913" t="s">
        <v>125</v>
      </c>
      <c r="CN913" t="s">
        <v>125</v>
      </c>
      <c r="CO913" t="s">
        <v>125</v>
      </c>
      <c r="CP913" t="s">
        <v>125</v>
      </c>
      <c r="CQ913">
        <v>0.30898900000000001</v>
      </c>
      <c r="CR913">
        <v>0.98888900000000002</v>
      </c>
      <c r="CS913">
        <v>20.599250999999999</v>
      </c>
      <c r="CT913">
        <v>50</v>
      </c>
      <c r="CU913" t="s">
        <v>125</v>
      </c>
      <c r="CV913" t="s">
        <v>125</v>
      </c>
      <c r="CW913" t="s">
        <v>125</v>
      </c>
      <c r="CX913" t="s">
        <v>125</v>
      </c>
      <c r="CY913" t="s">
        <v>125</v>
      </c>
      <c r="CZ913" t="s">
        <v>125</v>
      </c>
      <c r="DA913">
        <v>15.314097</v>
      </c>
      <c r="DB913">
        <v>17.400950000000002</v>
      </c>
      <c r="DC913">
        <v>16.332519999999999</v>
      </c>
      <c r="DD913" t="s">
        <v>125</v>
      </c>
      <c r="DE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Q913" t="s">
        <v>126</v>
      </c>
    </row>
    <row r="914" spans="1:121" x14ac:dyDescent="0.15">
      <c r="A914">
        <v>2018</v>
      </c>
      <c r="B914" t="s">
        <v>227</v>
      </c>
      <c r="C914" t="str">
        <f t="shared" si="40"/>
        <v>1380011</v>
      </c>
      <c r="D914" t="s">
        <v>1065</v>
      </c>
      <c r="E914" t="str">
        <f>"1382211"</f>
        <v>1382211</v>
      </c>
      <c r="F914" t="s">
        <v>328</v>
      </c>
      <c r="G914" t="s">
        <v>329</v>
      </c>
      <c r="H914">
        <v>1</v>
      </c>
      <c r="I914" t="s">
        <v>336</v>
      </c>
      <c r="J914" t="s">
        <v>331</v>
      </c>
      <c r="K914">
        <v>60.606060999999997</v>
      </c>
      <c r="L914">
        <v>100</v>
      </c>
      <c r="M914">
        <v>60.606060999999997</v>
      </c>
      <c r="N914" t="s">
        <v>125</v>
      </c>
      <c r="O914" t="s">
        <v>125</v>
      </c>
      <c r="P914" t="s">
        <v>125</v>
      </c>
      <c r="Q914" t="s">
        <v>125</v>
      </c>
      <c r="R914" t="s">
        <v>125</v>
      </c>
      <c r="S914" t="s">
        <v>125</v>
      </c>
      <c r="T914" t="s">
        <v>125</v>
      </c>
      <c r="U914" t="s">
        <v>125</v>
      </c>
      <c r="V914" t="s">
        <v>125</v>
      </c>
      <c r="W914" t="s">
        <v>125</v>
      </c>
      <c r="X914" t="s">
        <v>125</v>
      </c>
      <c r="Y914" t="s">
        <v>125</v>
      </c>
      <c r="Z914" t="s">
        <v>125</v>
      </c>
      <c r="AA914" t="s">
        <v>125</v>
      </c>
      <c r="AB914" t="s">
        <v>125</v>
      </c>
      <c r="AC914" t="s">
        <v>125</v>
      </c>
      <c r="AD914" t="s">
        <v>125</v>
      </c>
      <c r="AE914" t="s">
        <v>125</v>
      </c>
      <c r="AF914" t="s">
        <v>125</v>
      </c>
      <c r="AG914" t="s">
        <v>125</v>
      </c>
      <c r="AH914" t="s">
        <v>125</v>
      </c>
      <c r="AI914" t="s">
        <v>125</v>
      </c>
      <c r="AJ914" t="s">
        <v>125</v>
      </c>
      <c r="AK914" t="s">
        <v>125</v>
      </c>
      <c r="AL914" t="s">
        <v>125</v>
      </c>
      <c r="AM914" t="s">
        <v>125</v>
      </c>
      <c r="AN914" t="s">
        <v>125</v>
      </c>
      <c r="AO914" t="s">
        <v>125</v>
      </c>
      <c r="AP914" t="s">
        <v>125</v>
      </c>
      <c r="AQ914" t="s">
        <v>125</v>
      </c>
      <c r="AR914" t="s">
        <v>125</v>
      </c>
      <c r="AS914" t="s">
        <v>125</v>
      </c>
      <c r="AT914" t="s">
        <v>125</v>
      </c>
      <c r="AU914" t="s">
        <v>125</v>
      </c>
      <c r="AV914" t="s">
        <v>125</v>
      </c>
      <c r="AW914" t="s">
        <v>125</v>
      </c>
      <c r="AX914" t="s">
        <v>125</v>
      </c>
      <c r="AY914" t="s">
        <v>125</v>
      </c>
      <c r="AZ914" t="s">
        <v>125</v>
      </c>
      <c r="BA914" t="s">
        <v>125</v>
      </c>
      <c r="BB914" t="s">
        <v>125</v>
      </c>
      <c r="BC914" t="s">
        <v>125</v>
      </c>
      <c r="BD914" t="s">
        <v>125</v>
      </c>
      <c r="BE914" t="s">
        <v>125</v>
      </c>
      <c r="BF914" t="s">
        <v>125</v>
      </c>
      <c r="BG914" t="s">
        <v>125</v>
      </c>
      <c r="BH914" t="s">
        <v>125</v>
      </c>
      <c r="BI914" t="s">
        <v>125</v>
      </c>
      <c r="BJ914" t="s">
        <v>125</v>
      </c>
      <c r="BK914" t="s">
        <v>125</v>
      </c>
      <c r="BL914" t="s">
        <v>125</v>
      </c>
      <c r="BM914" t="s">
        <v>125</v>
      </c>
      <c r="BN914" t="s">
        <v>125</v>
      </c>
      <c r="BO914" t="s">
        <v>125</v>
      </c>
      <c r="BP914" t="s">
        <v>125</v>
      </c>
      <c r="BQ914" t="s">
        <v>125</v>
      </c>
      <c r="BR914">
        <v>0.127273</v>
      </c>
      <c r="BS914">
        <v>34.545454999999997</v>
      </c>
      <c r="BT914">
        <v>50</v>
      </c>
      <c r="BU914">
        <v>0.16969699999999999</v>
      </c>
      <c r="BV914">
        <v>26.060606</v>
      </c>
      <c r="BW914">
        <v>50</v>
      </c>
      <c r="BX914" t="s">
        <v>125</v>
      </c>
      <c r="BY914" t="s">
        <v>125</v>
      </c>
      <c r="BZ914" t="s">
        <v>125</v>
      </c>
      <c r="CA914" t="s">
        <v>125</v>
      </c>
      <c r="CB914" t="s">
        <v>125</v>
      </c>
      <c r="CC914" t="s">
        <v>125</v>
      </c>
      <c r="CD914" t="s">
        <v>125</v>
      </c>
      <c r="CE914" t="s">
        <v>125</v>
      </c>
      <c r="CF914" t="s">
        <v>125</v>
      </c>
      <c r="CG914" t="s">
        <v>125</v>
      </c>
      <c r="CH914" t="s">
        <v>125</v>
      </c>
      <c r="CI914" t="s">
        <v>125</v>
      </c>
      <c r="CJ914" t="s">
        <v>125</v>
      </c>
      <c r="CK914" t="s">
        <v>125</v>
      </c>
      <c r="CL914" t="s">
        <v>125</v>
      </c>
      <c r="CM914" t="s">
        <v>125</v>
      </c>
      <c r="CN914" t="s">
        <v>125</v>
      </c>
      <c r="CO914" t="s">
        <v>125</v>
      </c>
      <c r="CP914" t="s">
        <v>125</v>
      </c>
      <c r="CQ914" t="s">
        <v>125</v>
      </c>
      <c r="CR914" t="s">
        <v>125</v>
      </c>
      <c r="CS914" t="s">
        <v>125</v>
      </c>
      <c r="CT914" t="s">
        <v>125</v>
      </c>
      <c r="CU914" t="s">
        <v>125</v>
      </c>
      <c r="CV914" t="s">
        <v>125</v>
      </c>
      <c r="CW914" t="s">
        <v>125</v>
      </c>
      <c r="CX914" t="s">
        <v>125</v>
      </c>
      <c r="CY914" t="s">
        <v>125</v>
      </c>
      <c r="CZ914" t="s">
        <v>125</v>
      </c>
      <c r="DA914" t="s">
        <v>125</v>
      </c>
      <c r="DB914" t="s">
        <v>125</v>
      </c>
      <c r="DC914" t="s">
        <v>125</v>
      </c>
      <c r="DD914" t="s">
        <v>125</v>
      </c>
      <c r="DE914" t="s">
        <v>125</v>
      </c>
      <c r="DJ914" t="s">
        <v>125</v>
      </c>
      <c r="DK914" t="s">
        <v>125</v>
      </c>
      <c r="DL914" t="s">
        <v>125</v>
      </c>
      <c r="DM914" t="s">
        <v>125</v>
      </c>
      <c r="DN914" t="s">
        <v>125</v>
      </c>
      <c r="DO914" t="s">
        <v>125</v>
      </c>
      <c r="DQ914" t="s">
        <v>126</v>
      </c>
    </row>
    <row r="915" spans="1:121" x14ac:dyDescent="0.15">
      <c r="A915">
        <v>2018</v>
      </c>
      <c r="B915" t="s">
        <v>227</v>
      </c>
      <c r="C915" t="str">
        <f t="shared" si="40"/>
        <v>1380011</v>
      </c>
      <c r="D915" t="s">
        <v>1066</v>
      </c>
      <c r="E915" t="str">
        <f>"1386111"</f>
        <v>1386111</v>
      </c>
      <c r="F915" t="s">
        <v>328</v>
      </c>
      <c r="G915">
        <v>9</v>
      </c>
      <c r="H915">
        <v>12</v>
      </c>
      <c r="J915" t="s">
        <v>331</v>
      </c>
      <c r="K915">
        <v>1070.6227260000001</v>
      </c>
      <c r="L915">
        <v>1550</v>
      </c>
      <c r="M915">
        <v>69.072434000000001</v>
      </c>
      <c r="N915">
        <v>3</v>
      </c>
      <c r="O915">
        <v>0</v>
      </c>
      <c r="P915">
        <v>52.423802000000002</v>
      </c>
      <c r="Q915">
        <v>104.847604</v>
      </c>
      <c r="R915">
        <v>150</v>
      </c>
      <c r="S915">
        <v>46.774250000000002</v>
      </c>
      <c r="T915">
        <v>60.161231999999998</v>
      </c>
      <c r="U915">
        <v>93.548501000000002</v>
      </c>
      <c r="V915">
        <v>150</v>
      </c>
      <c r="W915">
        <v>46.803261999999997</v>
      </c>
      <c r="X915">
        <v>93.606523999999993</v>
      </c>
      <c r="Y915">
        <v>150</v>
      </c>
      <c r="Z915">
        <v>52.528986000000003</v>
      </c>
      <c r="AA915">
        <v>42.622574999999998</v>
      </c>
      <c r="AB915">
        <v>85.245149999999995</v>
      </c>
      <c r="AC915">
        <v>150</v>
      </c>
      <c r="AD915">
        <v>55.529386000000002</v>
      </c>
      <c r="AE915">
        <v>74.039180999999999</v>
      </c>
      <c r="AF915">
        <v>100</v>
      </c>
      <c r="AG915">
        <v>49.787320000000001</v>
      </c>
      <c r="AH915">
        <v>63.47054</v>
      </c>
      <c r="AI915">
        <v>66.383094</v>
      </c>
      <c r="AJ915">
        <v>100</v>
      </c>
      <c r="AK915">
        <v>13.38</v>
      </c>
      <c r="AL915">
        <v>9.9</v>
      </c>
      <c r="AM915">
        <v>13.68</v>
      </c>
      <c r="AN915" t="s">
        <v>125</v>
      </c>
      <c r="AO915" t="s">
        <v>125</v>
      </c>
      <c r="AP915" t="s">
        <v>125</v>
      </c>
      <c r="AQ915" t="s">
        <v>125</v>
      </c>
      <c r="AR915" t="s">
        <v>125</v>
      </c>
      <c r="AS915" t="s">
        <v>125</v>
      </c>
      <c r="AT915" t="s">
        <v>125</v>
      </c>
      <c r="AU915" t="s">
        <v>125</v>
      </c>
      <c r="AV915" t="s">
        <v>125</v>
      </c>
      <c r="AW915" t="s">
        <v>125</v>
      </c>
      <c r="AX915" t="s">
        <v>125</v>
      </c>
      <c r="AY915" t="s">
        <v>125</v>
      </c>
      <c r="AZ915" t="s">
        <v>125</v>
      </c>
      <c r="BA915" t="s">
        <v>125</v>
      </c>
      <c r="BB915">
        <v>0.633413</v>
      </c>
      <c r="BC915">
        <v>31.670652</v>
      </c>
      <c r="BD915">
        <v>50</v>
      </c>
      <c r="BE915">
        <v>0.68273399999999995</v>
      </c>
      <c r="BF915">
        <v>34.136704999999999</v>
      </c>
      <c r="BG915">
        <v>50</v>
      </c>
      <c r="BH915">
        <v>0</v>
      </c>
      <c r="BI915">
        <v>0.98333300000000001</v>
      </c>
      <c r="BJ915">
        <v>0.97931000000000001</v>
      </c>
      <c r="BK915">
        <v>0.98947399999999996</v>
      </c>
      <c r="BL915">
        <v>0.98333300000000001</v>
      </c>
      <c r="BM915">
        <v>0.97931000000000001</v>
      </c>
      <c r="BN915">
        <v>0.98947399999999996</v>
      </c>
      <c r="BO915">
        <v>0.99581600000000003</v>
      </c>
      <c r="BP915">
        <v>0.99305600000000005</v>
      </c>
      <c r="BQ915">
        <v>1</v>
      </c>
      <c r="BR915">
        <v>0.23705999999999999</v>
      </c>
      <c r="BS915">
        <v>12.587992</v>
      </c>
      <c r="BT915">
        <v>50</v>
      </c>
      <c r="BU915">
        <v>0.31066199999999999</v>
      </c>
      <c r="BV915">
        <v>0</v>
      </c>
      <c r="BW915">
        <v>50</v>
      </c>
      <c r="BX915">
        <v>0.83870999999999996</v>
      </c>
      <c r="BY915">
        <v>50</v>
      </c>
      <c r="BZ915">
        <v>50</v>
      </c>
      <c r="CA915">
        <v>0.26021499999999997</v>
      </c>
      <c r="CB915">
        <v>17.347670000000001</v>
      </c>
      <c r="CC915">
        <v>50</v>
      </c>
      <c r="CD915">
        <v>0.87704899999999997</v>
      </c>
      <c r="CE915">
        <v>46.651552000000002</v>
      </c>
      <c r="CF915">
        <v>50</v>
      </c>
      <c r="CG915">
        <v>0.93951600000000002</v>
      </c>
      <c r="CH915">
        <v>99.948524000000006</v>
      </c>
      <c r="CI915">
        <v>100</v>
      </c>
      <c r="CJ915">
        <v>0</v>
      </c>
      <c r="CK915">
        <v>0.94244600000000001</v>
      </c>
      <c r="CL915">
        <v>100</v>
      </c>
      <c r="CM915">
        <v>100</v>
      </c>
      <c r="CN915">
        <v>0.72916700000000001</v>
      </c>
      <c r="CO915">
        <v>97.222222000000002</v>
      </c>
      <c r="CP915">
        <v>100</v>
      </c>
      <c r="CQ915">
        <v>0.400862</v>
      </c>
      <c r="CR915">
        <v>0.90272399999999997</v>
      </c>
      <c r="CS915">
        <v>26.724138</v>
      </c>
      <c r="CT915">
        <v>50</v>
      </c>
      <c r="CU915">
        <v>0.43995899999999999</v>
      </c>
      <c r="CV915">
        <v>36.663215999999998</v>
      </c>
      <c r="CW915">
        <v>50</v>
      </c>
      <c r="CX915">
        <v>0.94244600000000001</v>
      </c>
      <c r="CY915">
        <v>0.94</v>
      </c>
      <c r="CZ915">
        <v>-2.4459999999999998E-3</v>
      </c>
      <c r="DA915">
        <v>15.314097</v>
      </c>
      <c r="DB915">
        <v>17.400950000000002</v>
      </c>
      <c r="DC915">
        <v>16.332519999999999</v>
      </c>
      <c r="DD915">
        <v>7.9891730000000001</v>
      </c>
      <c r="DE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Q915" t="s">
        <v>126</v>
      </c>
    </row>
    <row r="916" spans="1:121" x14ac:dyDescent="0.15">
      <c r="A916">
        <v>2018</v>
      </c>
      <c r="B916" t="s">
        <v>227</v>
      </c>
      <c r="C916" t="str">
        <f t="shared" si="40"/>
        <v>1380011</v>
      </c>
      <c r="D916" t="s">
        <v>1067</v>
      </c>
      <c r="E916" t="str">
        <f>"1381411"</f>
        <v>1381411</v>
      </c>
      <c r="F916" t="s">
        <v>328</v>
      </c>
      <c r="G916" t="s">
        <v>339</v>
      </c>
      <c r="H916">
        <v>6</v>
      </c>
      <c r="J916" t="s">
        <v>331</v>
      </c>
      <c r="K916">
        <v>652.71861799999999</v>
      </c>
      <c r="L916">
        <v>850</v>
      </c>
      <c r="M916">
        <v>76.790425999999997</v>
      </c>
      <c r="N916">
        <v>2</v>
      </c>
      <c r="O916">
        <v>0</v>
      </c>
      <c r="P916">
        <v>69.032135999999994</v>
      </c>
      <c r="Q916">
        <v>46.021424000000003</v>
      </c>
      <c r="R916">
        <v>50</v>
      </c>
      <c r="S916">
        <v>60.968811000000002</v>
      </c>
      <c r="T916">
        <v>75</v>
      </c>
      <c r="U916">
        <v>40.645873999999999</v>
      </c>
      <c r="V916">
        <v>50</v>
      </c>
      <c r="W916">
        <v>62.960794</v>
      </c>
      <c r="X916">
        <v>41.973863000000001</v>
      </c>
      <c r="Y916">
        <v>50</v>
      </c>
      <c r="Z916">
        <v>70.288651999999999</v>
      </c>
      <c r="AA916">
        <v>55.290512</v>
      </c>
      <c r="AB916">
        <v>36.860342000000003</v>
      </c>
      <c r="AC916">
        <v>50</v>
      </c>
      <c r="AD916">
        <v>65.326408000000001</v>
      </c>
      <c r="AE916">
        <v>43.550939</v>
      </c>
      <c r="AF916">
        <v>50</v>
      </c>
      <c r="AG916">
        <v>57.320098999999999</v>
      </c>
      <c r="AH916">
        <v>71.634409000000005</v>
      </c>
      <c r="AI916">
        <v>38.2134</v>
      </c>
      <c r="AJ916">
        <v>50</v>
      </c>
      <c r="AK916">
        <v>14.03</v>
      </c>
      <c r="AL916">
        <v>14.99</v>
      </c>
      <c r="AM916">
        <v>14.31</v>
      </c>
      <c r="AN916">
        <v>0.69335899999999995</v>
      </c>
      <c r="AO916">
        <v>69.335851000000005</v>
      </c>
      <c r="AP916">
        <v>100</v>
      </c>
      <c r="AQ916">
        <v>0.63478100000000004</v>
      </c>
      <c r="AR916">
        <v>63.478057</v>
      </c>
      <c r="AS916">
        <v>100</v>
      </c>
      <c r="AT916">
        <v>0.650088</v>
      </c>
      <c r="AU916">
        <v>0.732047</v>
      </c>
      <c r="AV916">
        <v>65.008842999999999</v>
      </c>
      <c r="AW916">
        <v>100</v>
      </c>
      <c r="AX916">
        <v>0.64535699999999996</v>
      </c>
      <c r="AY916">
        <v>0.62532399999999999</v>
      </c>
      <c r="AZ916">
        <v>64.535719999999998</v>
      </c>
      <c r="BA916">
        <v>100</v>
      </c>
      <c r="BB916" t="s">
        <v>125</v>
      </c>
      <c r="BC916" t="s">
        <v>125</v>
      </c>
      <c r="BD916" t="s">
        <v>125</v>
      </c>
      <c r="BE916" t="s">
        <v>125</v>
      </c>
      <c r="BF916" t="s">
        <v>125</v>
      </c>
      <c r="BG916" t="s">
        <v>125</v>
      </c>
      <c r="BH916">
        <v>0</v>
      </c>
      <c r="BI916">
        <v>0.99145300000000003</v>
      </c>
      <c r="BJ916">
        <v>0.99166699999999997</v>
      </c>
      <c r="BK916">
        <v>0.991228</v>
      </c>
      <c r="BL916">
        <v>0.99145300000000003</v>
      </c>
      <c r="BM916">
        <v>0.99166699999999997</v>
      </c>
      <c r="BN916">
        <v>0.991228</v>
      </c>
      <c r="BO916">
        <v>0.98360700000000001</v>
      </c>
      <c r="BP916">
        <v>1</v>
      </c>
      <c r="BQ916">
        <v>0.97058800000000001</v>
      </c>
      <c r="BR916">
        <v>3.3591999999999997E-2</v>
      </c>
      <c r="BS916">
        <v>50</v>
      </c>
      <c r="BT916">
        <v>50</v>
      </c>
      <c r="BU916">
        <v>5.7692E-2</v>
      </c>
      <c r="BV916">
        <v>48.461537999999997</v>
      </c>
      <c r="BW916">
        <v>50</v>
      </c>
      <c r="BX916" t="s">
        <v>125</v>
      </c>
      <c r="BY916" t="s">
        <v>125</v>
      </c>
      <c r="BZ916" t="s">
        <v>125</v>
      </c>
      <c r="CA916" t="s">
        <v>125</v>
      </c>
      <c r="CB916" t="s">
        <v>125</v>
      </c>
      <c r="CC916" t="s">
        <v>125</v>
      </c>
      <c r="CD916" t="s">
        <v>125</v>
      </c>
      <c r="CE916" t="s">
        <v>125</v>
      </c>
      <c r="CF916" t="s">
        <v>125</v>
      </c>
      <c r="CG916" t="s">
        <v>125</v>
      </c>
      <c r="CH916" t="s">
        <v>125</v>
      </c>
      <c r="CI916" t="s">
        <v>125</v>
      </c>
      <c r="CJ916" t="s">
        <v>125</v>
      </c>
      <c r="CK916" t="s">
        <v>125</v>
      </c>
      <c r="CL916" t="s">
        <v>125</v>
      </c>
      <c r="CM916" t="s">
        <v>125</v>
      </c>
      <c r="CN916" t="s">
        <v>125</v>
      </c>
      <c r="CO916" t="s">
        <v>125</v>
      </c>
      <c r="CP916" t="s">
        <v>125</v>
      </c>
      <c r="CQ916">
        <v>0.66949199999999998</v>
      </c>
      <c r="CR916">
        <v>1.0172410000000001</v>
      </c>
      <c r="CS916">
        <v>44.632767999999999</v>
      </c>
      <c r="CT916">
        <v>50</v>
      </c>
      <c r="CU916" t="s">
        <v>125</v>
      </c>
      <c r="CV916" t="s">
        <v>125</v>
      </c>
      <c r="CW916" t="s">
        <v>125</v>
      </c>
      <c r="CX916" t="s">
        <v>125</v>
      </c>
      <c r="CY916" t="s">
        <v>125</v>
      </c>
      <c r="CZ916" t="s">
        <v>125</v>
      </c>
      <c r="DA916">
        <v>15.314097</v>
      </c>
      <c r="DB916">
        <v>17.400950000000002</v>
      </c>
      <c r="DC916">
        <v>16.332519999999999</v>
      </c>
      <c r="DD916" t="s">
        <v>125</v>
      </c>
      <c r="DE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Q916" t="s">
        <v>126</v>
      </c>
    </row>
    <row r="917" spans="1:121" x14ac:dyDescent="0.15">
      <c r="A917">
        <v>2018</v>
      </c>
      <c r="B917" t="s">
        <v>202</v>
      </c>
      <c r="C917" t="str">
        <f>"1390011"</f>
        <v>1390011</v>
      </c>
      <c r="D917" t="s">
        <v>1068</v>
      </c>
      <c r="E917" t="str">
        <f>"1390411"</f>
        <v>1390411</v>
      </c>
      <c r="F917" t="s">
        <v>328</v>
      </c>
      <c r="G917" t="s">
        <v>329</v>
      </c>
      <c r="H917">
        <v>2</v>
      </c>
      <c r="I917" t="s">
        <v>330</v>
      </c>
      <c r="J917" t="s">
        <v>331</v>
      </c>
      <c r="K917">
        <v>85.851910000000004</v>
      </c>
      <c r="L917">
        <v>100</v>
      </c>
      <c r="M917">
        <v>85.851910000000004</v>
      </c>
      <c r="N917" t="s">
        <v>125</v>
      </c>
      <c r="O917" t="s">
        <v>125</v>
      </c>
      <c r="P917" t="s">
        <v>125</v>
      </c>
      <c r="Q917" t="s">
        <v>125</v>
      </c>
      <c r="R917" t="s">
        <v>125</v>
      </c>
      <c r="S917" t="s">
        <v>125</v>
      </c>
      <c r="T917" t="s">
        <v>125</v>
      </c>
      <c r="U917" t="s">
        <v>125</v>
      </c>
      <c r="V917" t="s">
        <v>125</v>
      </c>
      <c r="W917" t="s">
        <v>125</v>
      </c>
      <c r="X917" t="s">
        <v>125</v>
      </c>
      <c r="Y917" t="s">
        <v>125</v>
      </c>
      <c r="Z917" t="s">
        <v>125</v>
      </c>
      <c r="AA917" t="s">
        <v>125</v>
      </c>
      <c r="AB917" t="s">
        <v>125</v>
      </c>
      <c r="AC917" t="s">
        <v>125</v>
      </c>
      <c r="AD917" t="s">
        <v>125</v>
      </c>
      <c r="AE917" t="s">
        <v>125</v>
      </c>
      <c r="AF917" t="s">
        <v>125</v>
      </c>
      <c r="AG917" t="s">
        <v>125</v>
      </c>
      <c r="AH917" t="s">
        <v>125</v>
      </c>
      <c r="AI917" t="s">
        <v>125</v>
      </c>
      <c r="AJ917" t="s">
        <v>125</v>
      </c>
      <c r="AK917" t="s">
        <v>125</v>
      </c>
      <c r="AL917" t="s">
        <v>125</v>
      </c>
      <c r="AM917" t="s">
        <v>125</v>
      </c>
      <c r="AN917" t="s">
        <v>125</v>
      </c>
      <c r="AO917" t="s">
        <v>125</v>
      </c>
      <c r="AP917" t="s">
        <v>125</v>
      </c>
      <c r="AQ917" t="s">
        <v>125</v>
      </c>
      <c r="AR917" t="s">
        <v>125</v>
      </c>
      <c r="AS917" t="s">
        <v>125</v>
      </c>
      <c r="AT917" t="s">
        <v>125</v>
      </c>
      <c r="AU917" t="s">
        <v>125</v>
      </c>
      <c r="AV917" t="s">
        <v>125</v>
      </c>
      <c r="AW917" t="s">
        <v>125</v>
      </c>
      <c r="AX917" t="s">
        <v>125</v>
      </c>
      <c r="AY917" t="s">
        <v>125</v>
      </c>
      <c r="AZ917" t="s">
        <v>125</v>
      </c>
      <c r="BA917" t="s">
        <v>125</v>
      </c>
      <c r="BB917" t="s">
        <v>125</v>
      </c>
      <c r="BC917" t="s">
        <v>125</v>
      </c>
      <c r="BD917" t="s">
        <v>125</v>
      </c>
      <c r="BE917" t="s">
        <v>125</v>
      </c>
      <c r="BF917" t="s">
        <v>125</v>
      </c>
      <c r="BG917" t="s">
        <v>125</v>
      </c>
      <c r="BH917" t="s">
        <v>125</v>
      </c>
      <c r="BI917" t="s">
        <v>125</v>
      </c>
      <c r="BJ917" t="s">
        <v>125</v>
      </c>
      <c r="BK917" t="s">
        <v>125</v>
      </c>
      <c r="BL917" t="s">
        <v>125</v>
      </c>
      <c r="BM917" t="s">
        <v>125</v>
      </c>
      <c r="BN917" t="s">
        <v>125</v>
      </c>
      <c r="BO917" t="s">
        <v>125</v>
      </c>
      <c r="BP917" t="s">
        <v>125</v>
      </c>
      <c r="BQ917" t="s">
        <v>125</v>
      </c>
      <c r="BR917">
        <v>5.5696000000000002E-2</v>
      </c>
      <c r="BS917">
        <v>48.860759000000002</v>
      </c>
      <c r="BT917">
        <v>50</v>
      </c>
      <c r="BU917">
        <v>0.11504399999999999</v>
      </c>
      <c r="BV917">
        <v>36.991149999999998</v>
      </c>
      <c r="BW917">
        <v>50</v>
      </c>
      <c r="BX917" t="s">
        <v>125</v>
      </c>
      <c r="BY917" t="s">
        <v>125</v>
      </c>
      <c r="BZ917" t="s">
        <v>125</v>
      </c>
      <c r="CA917" t="s">
        <v>125</v>
      </c>
      <c r="CB917" t="s">
        <v>125</v>
      </c>
      <c r="CC917" t="s">
        <v>125</v>
      </c>
      <c r="CD917" t="s">
        <v>125</v>
      </c>
      <c r="CE917" t="s">
        <v>125</v>
      </c>
      <c r="CF917" t="s">
        <v>125</v>
      </c>
      <c r="CG917" t="s">
        <v>125</v>
      </c>
      <c r="CH917" t="s">
        <v>125</v>
      </c>
      <c r="CI917" t="s">
        <v>125</v>
      </c>
      <c r="CJ917" t="s">
        <v>125</v>
      </c>
      <c r="CK917" t="s">
        <v>125</v>
      </c>
      <c r="CL917" t="s">
        <v>125</v>
      </c>
      <c r="CM917" t="s">
        <v>125</v>
      </c>
      <c r="CN917" t="s">
        <v>125</v>
      </c>
      <c r="CO917" t="s">
        <v>125</v>
      </c>
      <c r="CP917" t="s">
        <v>125</v>
      </c>
      <c r="CQ917" t="s">
        <v>125</v>
      </c>
      <c r="CR917" t="s">
        <v>125</v>
      </c>
      <c r="CS917" t="s">
        <v>125</v>
      </c>
      <c r="CT917" t="s">
        <v>125</v>
      </c>
      <c r="CU917" t="s">
        <v>125</v>
      </c>
      <c r="CV917" t="s">
        <v>125</v>
      </c>
      <c r="CW917" t="s">
        <v>125</v>
      </c>
      <c r="CX917" t="s">
        <v>125</v>
      </c>
      <c r="CY917" t="s">
        <v>125</v>
      </c>
      <c r="CZ917" t="s">
        <v>125</v>
      </c>
      <c r="DA917" t="s">
        <v>125</v>
      </c>
      <c r="DB917" t="s">
        <v>125</v>
      </c>
      <c r="DC917" t="s">
        <v>125</v>
      </c>
      <c r="DD917" t="s">
        <v>125</v>
      </c>
      <c r="DE917" t="s">
        <v>125</v>
      </c>
      <c r="DJ917" t="s">
        <v>125</v>
      </c>
      <c r="DK917" t="s">
        <v>125</v>
      </c>
      <c r="DL917" t="s">
        <v>125</v>
      </c>
      <c r="DM917" t="s">
        <v>125</v>
      </c>
      <c r="DN917" t="s">
        <v>125</v>
      </c>
      <c r="DO917" t="s">
        <v>125</v>
      </c>
      <c r="DQ917" t="s">
        <v>126</v>
      </c>
    </row>
    <row r="918" spans="1:121" x14ac:dyDescent="0.15">
      <c r="A918">
        <v>2018</v>
      </c>
      <c r="B918" t="s">
        <v>202</v>
      </c>
      <c r="C918" t="str">
        <f>"1390011"</f>
        <v>1390011</v>
      </c>
      <c r="D918" t="s">
        <v>1069</v>
      </c>
      <c r="E918" t="str">
        <f>"1390311"</f>
        <v>1390311</v>
      </c>
      <c r="F918" t="s">
        <v>328</v>
      </c>
      <c r="G918">
        <v>3</v>
      </c>
      <c r="H918">
        <v>5</v>
      </c>
      <c r="I918" t="s">
        <v>330</v>
      </c>
      <c r="J918" t="s">
        <v>331</v>
      </c>
      <c r="K918">
        <v>648.53058299999998</v>
      </c>
      <c r="L918">
        <v>850</v>
      </c>
      <c r="M918">
        <v>76.297715999999994</v>
      </c>
      <c r="N918">
        <v>3</v>
      </c>
      <c r="O918">
        <v>1</v>
      </c>
      <c r="P918">
        <v>74.131440999999995</v>
      </c>
      <c r="Q918">
        <v>49.420960999999998</v>
      </c>
      <c r="R918">
        <v>50</v>
      </c>
      <c r="S918">
        <v>64.446625999999995</v>
      </c>
      <c r="T918">
        <v>75</v>
      </c>
      <c r="U918">
        <v>42.964418000000002</v>
      </c>
      <c r="V918">
        <v>50</v>
      </c>
      <c r="W918">
        <v>69.292293000000001</v>
      </c>
      <c r="X918">
        <v>46.194862000000001</v>
      </c>
      <c r="Y918">
        <v>50</v>
      </c>
      <c r="Z918">
        <v>74.789807999999994</v>
      </c>
      <c r="AA918">
        <v>56.418945999999998</v>
      </c>
      <c r="AB918">
        <v>37.612631</v>
      </c>
      <c r="AC918">
        <v>50</v>
      </c>
      <c r="AD918">
        <v>74.741202000000001</v>
      </c>
      <c r="AE918">
        <v>49.827468000000003</v>
      </c>
      <c r="AF918">
        <v>50</v>
      </c>
      <c r="AG918">
        <v>64.900293000000005</v>
      </c>
      <c r="AH918">
        <v>75</v>
      </c>
      <c r="AI918">
        <v>43.266862000000003</v>
      </c>
      <c r="AJ918">
        <v>50</v>
      </c>
      <c r="AK918">
        <v>10.55</v>
      </c>
      <c r="AL918">
        <v>18.37</v>
      </c>
      <c r="AM918">
        <v>10.09</v>
      </c>
      <c r="AN918">
        <v>0.65027000000000001</v>
      </c>
      <c r="AO918">
        <v>65.026983999999999</v>
      </c>
      <c r="AP918">
        <v>100</v>
      </c>
      <c r="AQ918">
        <v>0.70291400000000004</v>
      </c>
      <c r="AR918">
        <v>70.291371999999996</v>
      </c>
      <c r="AS918">
        <v>100</v>
      </c>
      <c r="AT918">
        <v>0.57573300000000005</v>
      </c>
      <c r="AU918">
        <v>0.675369</v>
      </c>
      <c r="AV918">
        <v>57.573259999999998</v>
      </c>
      <c r="AW918">
        <v>100</v>
      </c>
      <c r="AX918">
        <v>0.65808699999999998</v>
      </c>
      <c r="AY918">
        <v>0.71823700000000001</v>
      </c>
      <c r="AZ918">
        <v>65.808717000000001</v>
      </c>
      <c r="BA918">
        <v>100</v>
      </c>
      <c r="BB918" t="s">
        <v>125</v>
      </c>
      <c r="BC918" t="s">
        <v>125</v>
      </c>
      <c r="BD918" t="s">
        <v>125</v>
      </c>
      <c r="BE918" t="s">
        <v>125</v>
      </c>
      <c r="BF918" t="s">
        <v>125</v>
      </c>
      <c r="BG918" t="s">
        <v>125</v>
      </c>
      <c r="BH918">
        <v>1</v>
      </c>
      <c r="BI918">
        <v>0.98801000000000005</v>
      </c>
      <c r="BJ918">
        <v>0.97709900000000005</v>
      </c>
      <c r="BK918">
        <v>0.99300699999999997</v>
      </c>
      <c r="BL918">
        <v>0.98803799999999997</v>
      </c>
      <c r="BM918">
        <v>0.97727299999999995</v>
      </c>
      <c r="BN918">
        <v>0.99300699999999997</v>
      </c>
      <c r="BO918">
        <v>0.97122299999999995</v>
      </c>
      <c r="BP918">
        <v>0.94444399999999995</v>
      </c>
      <c r="BQ918">
        <v>0.98058299999999998</v>
      </c>
      <c r="BR918">
        <v>2.6315999999999999E-2</v>
      </c>
      <c r="BS918">
        <v>50</v>
      </c>
      <c r="BT918">
        <v>50</v>
      </c>
      <c r="BU918">
        <v>7.8740000000000004E-2</v>
      </c>
      <c r="BV918">
        <v>44.251969000000003</v>
      </c>
      <c r="BW918">
        <v>50</v>
      </c>
      <c r="BX918" t="s">
        <v>125</v>
      </c>
      <c r="BY918" t="s">
        <v>125</v>
      </c>
      <c r="BZ918" t="s">
        <v>125</v>
      </c>
      <c r="CA918" t="s">
        <v>125</v>
      </c>
      <c r="CB918" t="s">
        <v>125</v>
      </c>
      <c r="CC918" t="s">
        <v>125</v>
      </c>
      <c r="CD918" t="s">
        <v>125</v>
      </c>
      <c r="CE918" t="s">
        <v>125</v>
      </c>
      <c r="CF918" t="s">
        <v>125</v>
      </c>
      <c r="CG918" t="s">
        <v>125</v>
      </c>
      <c r="CH918" t="s">
        <v>125</v>
      </c>
      <c r="CI918" t="s">
        <v>125</v>
      </c>
      <c r="CJ918" t="s">
        <v>125</v>
      </c>
      <c r="CK918" t="s">
        <v>125</v>
      </c>
      <c r="CL918" t="s">
        <v>125</v>
      </c>
      <c r="CM918" t="s">
        <v>125</v>
      </c>
      <c r="CN918" t="s">
        <v>125</v>
      </c>
      <c r="CO918" t="s">
        <v>125</v>
      </c>
      <c r="CP918" t="s">
        <v>125</v>
      </c>
      <c r="CQ918">
        <v>0.39436599999999999</v>
      </c>
      <c r="CR918">
        <v>0.98611099999999996</v>
      </c>
      <c r="CS918">
        <v>26.291080000000001</v>
      </c>
      <c r="CT918">
        <v>50</v>
      </c>
      <c r="CU918" t="s">
        <v>125</v>
      </c>
      <c r="CV918" t="s">
        <v>125</v>
      </c>
      <c r="CW918" t="s">
        <v>125</v>
      </c>
      <c r="CX918" t="s">
        <v>125</v>
      </c>
      <c r="CY918" t="s">
        <v>125</v>
      </c>
      <c r="CZ918" t="s">
        <v>125</v>
      </c>
      <c r="DA918">
        <v>15.314097</v>
      </c>
      <c r="DB918">
        <v>17.400950000000002</v>
      </c>
      <c r="DC918">
        <v>16.332519999999999</v>
      </c>
      <c r="DD918" t="s">
        <v>125</v>
      </c>
      <c r="DE918">
        <v>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Q918" t="s">
        <v>126</v>
      </c>
    </row>
    <row r="919" spans="1:121" x14ac:dyDescent="0.15">
      <c r="A919">
        <v>2018</v>
      </c>
      <c r="B919" t="s">
        <v>202</v>
      </c>
      <c r="C919" t="str">
        <f>"1390011"</f>
        <v>1390011</v>
      </c>
      <c r="D919" t="s">
        <v>1070</v>
      </c>
      <c r="E919" t="str">
        <f>"1396111"</f>
        <v>1396111</v>
      </c>
      <c r="F919" t="s">
        <v>328</v>
      </c>
      <c r="G919">
        <v>9</v>
      </c>
      <c r="H919">
        <v>12</v>
      </c>
      <c r="J919" t="s">
        <v>331</v>
      </c>
      <c r="K919">
        <v>1187.9268950000001</v>
      </c>
      <c r="L919">
        <v>1450</v>
      </c>
      <c r="M919">
        <v>81.925993000000005</v>
      </c>
      <c r="N919">
        <v>2</v>
      </c>
      <c r="O919">
        <v>0</v>
      </c>
      <c r="P919">
        <v>64.467157999999998</v>
      </c>
      <c r="Q919">
        <v>128.934316</v>
      </c>
      <c r="R919">
        <v>150</v>
      </c>
      <c r="S919">
        <v>53.391812999999999</v>
      </c>
      <c r="T919">
        <v>67.410256000000004</v>
      </c>
      <c r="U919">
        <v>106.783626</v>
      </c>
      <c r="V919">
        <v>150</v>
      </c>
      <c r="W919">
        <v>59.848373000000002</v>
      </c>
      <c r="X919">
        <v>119.696746</v>
      </c>
      <c r="Y919">
        <v>150</v>
      </c>
      <c r="Z919">
        <v>61.769230999999998</v>
      </c>
      <c r="AA919">
        <v>52.619883000000002</v>
      </c>
      <c r="AB919">
        <v>105.239766</v>
      </c>
      <c r="AC919">
        <v>150</v>
      </c>
      <c r="AD919">
        <v>74.505335000000002</v>
      </c>
      <c r="AE919">
        <v>99.340446999999998</v>
      </c>
      <c r="AF919">
        <v>100</v>
      </c>
      <c r="AG919">
        <v>60.193773</v>
      </c>
      <c r="AH919">
        <v>75</v>
      </c>
      <c r="AI919">
        <v>80.258364</v>
      </c>
      <c r="AJ919">
        <v>100</v>
      </c>
      <c r="AK919">
        <v>14.01</v>
      </c>
      <c r="AL919">
        <v>9.14</v>
      </c>
      <c r="AM919">
        <v>14.8</v>
      </c>
      <c r="AN919" t="s">
        <v>125</v>
      </c>
      <c r="AO919" t="s">
        <v>125</v>
      </c>
      <c r="AP919" t="s">
        <v>125</v>
      </c>
      <c r="AQ919" t="s">
        <v>125</v>
      </c>
      <c r="AR919" t="s">
        <v>125</v>
      </c>
      <c r="AS919" t="s">
        <v>125</v>
      </c>
      <c r="AT919" t="s">
        <v>125</v>
      </c>
      <c r="AU919" t="s">
        <v>125</v>
      </c>
      <c r="AV919" t="s">
        <v>125</v>
      </c>
      <c r="AW919" t="s">
        <v>125</v>
      </c>
      <c r="AX919" t="s">
        <v>125</v>
      </c>
      <c r="AY919" t="s">
        <v>125</v>
      </c>
      <c r="AZ919" t="s">
        <v>125</v>
      </c>
      <c r="BA919" t="s">
        <v>125</v>
      </c>
      <c r="BB919" t="s">
        <v>125</v>
      </c>
      <c r="BC919" t="s">
        <v>125</v>
      </c>
      <c r="BD919" t="s">
        <v>125</v>
      </c>
      <c r="BE919" t="s">
        <v>125</v>
      </c>
      <c r="BF919" t="s">
        <v>125</v>
      </c>
      <c r="BG919" t="s">
        <v>125</v>
      </c>
      <c r="BH919">
        <v>0</v>
      </c>
      <c r="BI919">
        <v>0.97860999999999998</v>
      </c>
      <c r="BJ919">
        <v>0.95238100000000003</v>
      </c>
      <c r="BK919">
        <v>0.98620699999999994</v>
      </c>
      <c r="BL919">
        <v>0.97860999999999998</v>
      </c>
      <c r="BM919">
        <v>0.95238100000000003</v>
      </c>
      <c r="BN919">
        <v>0.98620699999999994</v>
      </c>
      <c r="BO919">
        <v>0.98930499999999999</v>
      </c>
      <c r="BP919">
        <v>0.97619</v>
      </c>
      <c r="BQ919">
        <v>0.99310299999999996</v>
      </c>
      <c r="BR919">
        <v>7.7969999999999998E-2</v>
      </c>
      <c r="BS919">
        <v>44.405940999999999</v>
      </c>
      <c r="BT919">
        <v>50</v>
      </c>
      <c r="BU919">
        <v>0.205128</v>
      </c>
      <c r="BV919">
        <v>18.974359</v>
      </c>
      <c r="BW919">
        <v>50</v>
      </c>
      <c r="BX919">
        <v>0.98205100000000001</v>
      </c>
      <c r="BY919">
        <v>50</v>
      </c>
      <c r="BZ919">
        <v>50</v>
      </c>
      <c r="CA919">
        <v>0.59230799999999995</v>
      </c>
      <c r="CB919">
        <v>39.487178999999998</v>
      </c>
      <c r="CC919">
        <v>50</v>
      </c>
      <c r="CD919">
        <v>0.96261699999999994</v>
      </c>
      <c r="CE919">
        <v>50</v>
      </c>
      <c r="CF919">
        <v>50</v>
      </c>
      <c r="CG919">
        <v>0.97326199999999996</v>
      </c>
      <c r="CH919">
        <v>100</v>
      </c>
      <c r="CI919">
        <v>100</v>
      </c>
      <c r="CJ919">
        <v>0</v>
      </c>
      <c r="CK919">
        <v>0.86666699999999997</v>
      </c>
      <c r="CL919">
        <v>92.198582000000002</v>
      </c>
      <c r="CM919">
        <v>100</v>
      </c>
      <c r="CN919">
        <v>0.75956299999999999</v>
      </c>
      <c r="CO919">
        <v>100</v>
      </c>
      <c r="CP919">
        <v>100</v>
      </c>
      <c r="CQ919">
        <v>0.58503400000000005</v>
      </c>
      <c r="CR919">
        <v>0.72058800000000001</v>
      </c>
      <c r="CS919">
        <v>19.501134</v>
      </c>
      <c r="CT919">
        <v>50</v>
      </c>
      <c r="CU919">
        <v>0.39727699999999999</v>
      </c>
      <c r="CV919">
        <v>33.106436000000002</v>
      </c>
      <c r="CW919">
        <v>50</v>
      </c>
      <c r="CX919">
        <v>0.86666699999999997</v>
      </c>
      <c r="CY919">
        <v>0.94</v>
      </c>
      <c r="CZ919">
        <v>7.3332999999999995E-2</v>
      </c>
      <c r="DA919">
        <v>15.314097</v>
      </c>
      <c r="DB919">
        <v>17.400950000000002</v>
      </c>
      <c r="DC919">
        <v>16.332519999999999</v>
      </c>
      <c r="DD919">
        <v>7.9891730000000001</v>
      </c>
      <c r="DE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Q919" t="s">
        <v>126</v>
      </c>
    </row>
    <row r="920" spans="1:121" x14ac:dyDescent="0.15">
      <c r="A920">
        <v>2018</v>
      </c>
      <c r="B920" t="s">
        <v>202</v>
      </c>
      <c r="C920" t="str">
        <f>"1390011"</f>
        <v>1390011</v>
      </c>
      <c r="D920" t="s">
        <v>1071</v>
      </c>
      <c r="E920" t="str">
        <f>"1395111"</f>
        <v>1395111</v>
      </c>
      <c r="F920" t="s">
        <v>328</v>
      </c>
      <c r="G920">
        <v>6</v>
      </c>
      <c r="H920">
        <v>8</v>
      </c>
      <c r="J920" t="s">
        <v>331</v>
      </c>
      <c r="K920">
        <v>691.06428800000003</v>
      </c>
      <c r="L920">
        <v>900</v>
      </c>
      <c r="M920">
        <v>76.784920999999997</v>
      </c>
      <c r="N920">
        <v>3</v>
      </c>
      <c r="O920">
        <v>1</v>
      </c>
      <c r="P920">
        <v>77.125639000000007</v>
      </c>
      <c r="Q920">
        <v>50</v>
      </c>
      <c r="R920">
        <v>50</v>
      </c>
      <c r="S920">
        <v>64.031422000000006</v>
      </c>
      <c r="T920">
        <v>75</v>
      </c>
      <c r="U920">
        <v>42.687615000000001</v>
      </c>
      <c r="V920">
        <v>50</v>
      </c>
      <c r="W920">
        <v>71.832257999999996</v>
      </c>
      <c r="X920">
        <v>47.888171999999997</v>
      </c>
      <c r="Y920">
        <v>50</v>
      </c>
      <c r="Z920">
        <v>75</v>
      </c>
      <c r="AA920">
        <v>57.470298</v>
      </c>
      <c r="AB920">
        <v>38.313532000000002</v>
      </c>
      <c r="AC920">
        <v>50</v>
      </c>
      <c r="AD920">
        <v>71.969560000000001</v>
      </c>
      <c r="AE920">
        <v>47.979706999999998</v>
      </c>
      <c r="AF920">
        <v>50</v>
      </c>
      <c r="AG920">
        <v>56.774194000000001</v>
      </c>
      <c r="AH920">
        <v>75</v>
      </c>
      <c r="AI920">
        <v>37.849462000000003</v>
      </c>
      <c r="AJ920">
        <v>50</v>
      </c>
      <c r="AK920">
        <v>10.96</v>
      </c>
      <c r="AL920">
        <v>17.52</v>
      </c>
      <c r="AM920">
        <v>18.22</v>
      </c>
      <c r="AN920">
        <v>0.664466</v>
      </c>
      <c r="AO920">
        <v>66.446562999999998</v>
      </c>
      <c r="AP920">
        <v>100</v>
      </c>
      <c r="AQ920">
        <v>0.76559100000000002</v>
      </c>
      <c r="AR920">
        <v>76.559089</v>
      </c>
      <c r="AS920">
        <v>100</v>
      </c>
      <c r="AT920">
        <v>0.59213099999999996</v>
      </c>
      <c r="AU920">
        <v>0.68612399999999996</v>
      </c>
      <c r="AV920">
        <v>59.213051999999998</v>
      </c>
      <c r="AW920">
        <v>100</v>
      </c>
      <c r="AX920">
        <v>0.71849300000000005</v>
      </c>
      <c r="AY920">
        <v>0.77955600000000003</v>
      </c>
      <c r="AZ920">
        <v>71.849284999999995</v>
      </c>
      <c r="BA920">
        <v>100</v>
      </c>
      <c r="BB920" t="s">
        <v>125</v>
      </c>
      <c r="BC920" t="s">
        <v>125</v>
      </c>
      <c r="BD920" t="s">
        <v>125</v>
      </c>
      <c r="BE920" t="s">
        <v>125</v>
      </c>
      <c r="BF920" t="s">
        <v>125</v>
      </c>
      <c r="BG920" t="s">
        <v>125</v>
      </c>
      <c r="BH920">
        <v>1</v>
      </c>
      <c r="BI920">
        <v>0.97903600000000002</v>
      </c>
      <c r="BJ920">
        <v>0.94214900000000001</v>
      </c>
      <c r="BK920">
        <v>0.99157300000000004</v>
      </c>
      <c r="BL920">
        <v>0.97903600000000002</v>
      </c>
      <c r="BM920">
        <v>0.93388400000000005</v>
      </c>
      <c r="BN920">
        <v>0.99438199999999999</v>
      </c>
      <c r="BO920">
        <v>0.97368399999999999</v>
      </c>
      <c r="BP920">
        <v>0.93939399999999995</v>
      </c>
      <c r="BQ920">
        <v>0.98319299999999998</v>
      </c>
      <c r="BR920">
        <v>7.1129999999999999E-2</v>
      </c>
      <c r="BS920">
        <v>45.774059000000001</v>
      </c>
      <c r="BT920">
        <v>50</v>
      </c>
      <c r="BU920">
        <v>0.15126100000000001</v>
      </c>
      <c r="BV920">
        <v>29.747899</v>
      </c>
      <c r="BW920">
        <v>50</v>
      </c>
      <c r="BX920" t="s">
        <v>125</v>
      </c>
      <c r="BY920" t="s">
        <v>125</v>
      </c>
      <c r="BZ920" t="s">
        <v>125</v>
      </c>
      <c r="CA920" t="s">
        <v>125</v>
      </c>
      <c r="CB920" t="s">
        <v>125</v>
      </c>
      <c r="CC920" t="s">
        <v>125</v>
      </c>
      <c r="CD920">
        <v>0.96629200000000004</v>
      </c>
      <c r="CE920">
        <v>50</v>
      </c>
      <c r="CF920">
        <v>50</v>
      </c>
      <c r="CG920" t="s">
        <v>125</v>
      </c>
      <c r="CH920" t="s">
        <v>125</v>
      </c>
      <c r="CI920" t="s">
        <v>125</v>
      </c>
      <c r="CJ920" t="s">
        <v>125</v>
      </c>
      <c r="CK920" t="s">
        <v>125</v>
      </c>
      <c r="CL920" t="s">
        <v>125</v>
      </c>
      <c r="CM920" t="s">
        <v>125</v>
      </c>
      <c r="CN920" t="s">
        <v>125</v>
      </c>
      <c r="CO920" t="s">
        <v>125</v>
      </c>
      <c r="CP920" t="s">
        <v>125</v>
      </c>
      <c r="CQ920">
        <v>0.40133799999999997</v>
      </c>
      <c r="CR920">
        <v>0.96451600000000004</v>
      </c>
      <c r="CS920">
        <v>26.755852999999998</v>
      </c>
      <c r="CT920">
        <v>50</v>
      </c>
      <c r="CU920" t="s">
        <v>125</v>
      </c>
      <c r="CV920" t="s">
        <v>125</v>
      </c>
      <c r="CW920" t="s">
        <v>125</v>
      </c>
      <c r="CX920" t="s">
        <v>125</v>
      </c>
      <c r="CY920" t="s">
        <v>125</v>
      </c>
      <c r="CZ920" t="s">
        <v>125</v>
      </c>
      <c r="DA920">
        <v>15.314097</v>
      </c>
      <c r="DB920">
        <v>17.400950000000002</v>
      </c>
      <c r="DC920">
        <v>16.332519999999999</v>
      </c>
      <c r="DD920" t="s">
        <v>125</v>
      </c>
      <c r="DE920">
        <v>1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Q920" t="s">
        <v>126</v>
      </c>
    </row>
    <row r="921" spans="1:121" x14ac:dyDescent="0.15">
      <c r="A921">
        <v>2018</v>
      </c>
      <c r="B921" t="s">
        <v>215</v>
      </c>
      <c r="C921" t="str">
        <f>"1400011"</f>
        <v>1400011</v>
      </c>
      <c r="D921" t="s">
        <v>382</v>
      </c>
      <c r="E921" t="str">
        <f>"1400111"</f>
        <v>1400111</v>
      </c>
      <c r="F921" t="s">
        <v>328</v>
      </c>
      <c r="G921" t="s">
        <v>329</v>
      </c>
      <c r="H921">
        <v>3</v>
      </c>
      <c r="I921" t="s">
        <v>330</v>
      </c>
      <c r="J921" t="s">
        <v>331</v>
      </c>
      <c r="K921">
        <v>401.066464</v>
      </c>
      <c r="L921">
        <v>500</v>
      </c>
      <c r="M921">
        <v>80.213292999999993</v>
      </c>
      <c r="N921">
        <v>3</v>
      </c>
      <c r="O921">
        <v>1</v>
      </c>
      <c r="P921">
        <v>65.378595000000004</v>
      </c>
      <c r="Q921">
        <v>87.171459999999996</v>
      </c>
      <c r="R921">
        <v>100</v>
      </c>
      <c r="S921">
        <v>53.742632999999998</v>
      </c>
      <c r="T921">
        <v>71.942470999999998</v>
      </c>
      <c r="U921">
        <v>71.656842999999995</v>
      </c>
      <c r="V921">
        <v>100</v>
      </c>
      <c r="W921">
        <v>58.264268000000001</v>
      </c>
      <c r="X921">
        <v>77.685691000000006</v>
      </c>
      <c r="Y921">
        <v>100</v>
      </c>
      <c r="Z921">
        <v>63.820632000000003</v>
      </c>
      <c r="AA921">
        <v>48.414352000000001</v>
      </c>
      <c r="AB921">
        <v>64.552469000000002</v>
      </c>
      <c r="AC921">
        <v>100</v>
      </c>
      <c r="AD921" t="s">
        <v>125</v>
      </c>
      <c r="AE921" t="s">
        <v>125</v>
      </c>
      <c r="AF921" t="s">
        <v>125</v>
      </c>
      <c r="AG921" t="s">
        <v>125</v>
      </c>
      <c r="AH921" t="s">
        <v>125</v>
      </c>
      <c r="AI921" t="s">
        <v>125</v>
      </c>
      <c r="AJ921" t="s">
        <v>125</v>
      </c>
      <c r="AK921">
        <v>18.190000000000001</v>
      </c>
      <c r="AL921">
        <v>15.4</v>
      </c>
      <c r="AM921" t="s">
        <v>125</v>
      </c>
      <c r="AN921" t="s">
        <v>125</v>
      </c>
      <c r="AO921" t="s">
        <v>125</v>
      </c>
      <c r="AP921" t="s">
        <v>125</v>
      </c>
      <c r="AQ921" t="s">
        <v>125</v>
      </c>
      <c r="AR921" t="s">
        <v>125</v>
      </c>
      <c r="AS921" t="s">
        <v>125</v>
      </c>
      <c r="AT921" t="s">
        <v>125</v>
      </c>
      <c r="AU921" t="s">
        <v>125</v>
      </c>
      <c r="AV921" t="s">
        <v>125</v>
      </c>
      <c r="AW921" t="s">
        <v>125</v>
      </c>
      <c r="AX921" t="s">
        <v>125</v>
      </c>
      <c r="AY921" t="s">
        <v>125</v>
      </c>
      <c r="AZ921" t="s">
        <v>125</v>
      </c>
      <c r="BA921" t="s">
        <v>125</v>
      </c>
      <c r="BB921" t="s">
        <v>125</v>
      </c>
      <c r="BC921" t="s">
        <v>125</v>
      </c>
      <c r="BD921" t="s">
        <v>125</v>
      </c>
      <c r="BE921" t="s">
        <v>125</v>
      </c>
      <c r="BF921" t="s">
        <v>125</v>
      </c>
      <c r="BG921" t="s">
        <v>125</v>
      </c>
      <c r="BH921">
        <v>1</v>
      </c>
      <c r="BI921">
        <v>0.96923099999999995</v>
      </c>
      <c r="BJ921">
        <v>0.92</v>
      </c>
      <c r="BK921">
        <v>1</v>
      </c>
      <c r="BL921">
        <v>0.98461500000000002</v>
      </c>
      <c r="BM921">
        <v>0.96</v>
      </c>
      <c r="BN921">
        <v>1</v>
      </c>
      <c r="BO921" t="s">
        <v>125</v>
      </c>
      <c r="BP921" t="s">
        <v>125</v>
      </c>
      <c r="BQ921" t="s">
        <v>125</v>
      </c>
      <c r="BR921">
        <v>8.1300000000000001E-3</v>
      </c>
      <c r="BS921">
        <v>50</v>
      </c>
      <c r="BT921">
        <v>50</v>
      </c>
      <c r="BU921">
        <v>1.8692E-2</v>
      </c>
      <c r="BV921">
        <v>50</v>
      </c>
      <c r="BW921">
        <v>50</v>
      </c>
      <c r="BX921" t="s">
        <v>125</v>
      </c>
      <c r="BY921" t="s">
        <v>125</v>
      </c>
      <c r="BZ921" t="s">
        <v>125</v>
      </c>
      <c r="CA921" t="s">
        <v>125</v>
      </c>
      <c r="CB921" t="s">
        <v>125</v>
      </c>
      <c r="CC921" t="s">
        <v>125</v>
      </c>
      <c r="CD921" t="s">
        <v>125</v>
      </c>
      <c r="CE921" t="s">
        <v>125</v>
      </c>
      <c r="CF921" t="s">
        <v>125</v>
      </c>
      <c r="CG921" t="s">
        <v>125</v>
      </c>
      <c r="CH921" t="s">
        <v>125</v>
      </c>
      <c r="CI921" t="s">
        <v>125</v>
      </c>
      <c r="CJ921" t="s">
        <v>125</v>
      </c>
      <c r="CK921" t="s">
        <v>125</v>
      </c>
      <c r="CL921" t="s">
        <v>125</v>
      </c>
      <c r="CM921" t="s">
        <v>125</v>
      </c>
      <c r="CN921" t="s">
        <v>125</v>
      </c>
      <c r="CO921" t="s">
        <v>125</v>
      </c>
      <c r="CP921" t="s">
        <v>125</v>
      </c>
      <c r="CQ921" t="s">
        <v>125</v>
      </c>
      <c r="CR921" t="s">
        <v>125</v>
      </c>
      <c r="CS921" t="s">
        <v>125</v>
      </c>
      <c r="CT921" t="s">
        <v>125</v>
      </c>
      <c r="CU921" t="s">
        <v>125</v>
      </c>
      <c r="CV921" t="s">
        <v>125</v>
      </c>
      <c r="CW921" t="s">
        <v>125</v>
      </c>
      <c r="CX921" t="s">
        <v>125</v>
      </c>
      <c r="CY921" t="s">
        <v>125</v>
      </c>
      <c r="CZ921" t="s">
        <v>125</v>
      </c>
      <c r="DA921">
        <v>15.314097</v>
      </c>
      <c r="DB921">
        <v>17.400950000000002</v>
      </c>
      <c r="DC921">
        <v>16.332519999999999</v>
      </c>
      <c r="DD921" t="s">
        <v>125</v>
      </c>
      <c r="DE921">
        <v>1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Q921" t="s">
        <v>126</v>
      </c>
    </row>
    <row r="922" spans="1:121" x14ac:dyDescent="0.15">
      <c r="A922">
        <v>2018</v>
      </c>
      <c r="B922" t="s">
        <v>215</v>
      </c>
      <c r="C922" t="str">
        <f>"1400011"</f>
        <v>1400011</v>
      </c>
      <c r="D922" t="s">
        <v>1072</v>
      </c>
      <c r="E922" t="str">
        <f>"1400211"</f>
        <v>1400211</v>
      </c>
      <c r="F922" t="s">
        <v>328</v>
      </c>
      <c r="G922">
        <v>4</v>
      </c>
      <c r="H922">
        <v>6</v>
      </c>
      <c r="I922" t="s">
        <v>330</v>
      </c>
      <c r="J922" t="s">
        <v>331</v>
      </c>
      <c r="K922">
        <v>621.04172500000004</v>
      </c>
      <c r="L922">
        <v>850</v>
      </c>
      <c r="M922">
        <v>73.063732000000002</v>
      </c>
      <c r="N922">
        <v>2</v>
      </c>
      <c r="O922">
        <v>0</v>
      </c>
      <c r="P922">
        <v>70.321789999999993</v>
      </c>
      <c r="Q922">
        <v>46.881194000000001</v>
      </c>
      <c r="R922">
        <v>50</v>
      </c>
      <c r="S922">
        <v>60.517194000000003</v>
      </c>
      <c r="T922">
        <v>75</v>
      </c>
      <c r="U922">
        <v>40.344796000000002</v>
      </c>
      <c r="V922">
        <v>50</v>
      </c>
      <c r="W922">
        <v>63.878745000000002</v>
      </c>
      <c r="X922">
        <v>42.585830000000001</v>
      </c>
      <c r="Y922">
        <v>50</v>
      </c>
      <c r="Z922">
        <v>67.944416000000004</v>
      </c>
      <c r="AA922">
        <v>56.77899</v>
      </c>
      <c r="AB922">
        <v>37.85266</v>
      </c>
      <c r="AC922">
        <v>50</v>
      </c>
      <c r="AD922">
        <v>68.956988999999993</v>
      </c>
      <c r="AE922">
        <v>45.971325999999998</v>
      </c>
      <c r="AF922">
        <v>50</v>
      </c>
      <c r="AG922">
        <v>58.931612999999999</v>
      </c>
      <c r="AH922">
        <v>75</v>
      </c>
      <c r="AI922">
        <v>39.287742000000001</v>
      </c>
      <c r="AJ922">
        <v>50</v>
      </c>
      <c r="AK922">
        <v>14.48</v>
      </c>
      <c r="AL922">
        <v>11.16</v>
      </c>
      <c r="AM922">
        <v>16.059999999999999</v>
      </c>
      <c r="AN922">
        <v>0.65789600000000004</v>
      </c>
      <c r="AO922">
        <v>65.789552999999998</v>
      </c>
      <c r="AP922">
        <v>100</v>
      </c>
      <c r="AQ922">
        <v>0.67732899999999996</v>
      </c>
      <c r="AR922">
        <v>67.732938000000004</v>
      </c>
      <c r="AS922">
        <v>100</v>
      </c>
      <c r="AT922">
        <v>0.62615699999999996</v>
      </c>
      <c r="AU922">
        <v>0.67528299999999997</v>
      </c>
      <c r="AV922">
        <v>62.615689000000003</v>
      </c>
      <c r="AW922">
        <v>100</v>
      </c>
      <c r="AX922">
        <v>0.67995399999999995</v>
      </c>
      <c r="AY922">
        <v>0.67591400000000001</v>
      </c>
      <c r="AZ922">
        <v>67.995402999999996</v>
      </c>
      <c r="BA922">
        <v>100</v>
      </c>
      <c r="BB922" t="s">
        <v>125</v>
      </c>
      <c r="BC922" t="s">
        <v>125</v>
      </c>
      <c r="BD922" t="s">
        <v>125</v>
      </c>
      <c r="BE922" t="s">
        <v>125</v>
      </c>
      <c r="BF922" t="s">
        <v>125</v>
      </c>
      <c r="BG922" t="s">
        <v>125</v>
      </c>
      <c r="BH922">
        <v>0</v>
      </c>
      <c r="BI922">
        <v>0.98484799999999995</v>
      </c>
      <c r="BJ922">
        <v>1</v>
      </c>
      <c r="BK922">
        <v>0.97560999999999998</v>
      </c>
      <c r="BL922">
        <v>0.98484799999999995</v>
      </c>
      <c r="BM922">
        <v>1</v>
      </c>
      <c r="BN922">
        <v>0.97560999999999998</v>
      </c>
      <c r="BO922">
        <v>0.95</v>
      </c>
      <c r="BP922">
        <v>1</v>
      </c>
      <c r="BQ922">
        <v>0.90909099999999998</v>
      </c>
      <c r="BR922">
        <v>3.5533000000000002E-2</v>
      </c>
      <c r="BS922">
        <v>50</v>
      </c>
      <c r="BT922">
        <v>50</v>
      </c>
      <c r="BU922">
        <v>8.7499999999999994E-2</v>
      </c>
      <c r="BV922">
        <v>42.5</v>
      </c>
      <c r="BW922">
        <v>50</v>
      </c>
      <c r="BX922" t="s">
        <v>125</v>
      </c>
      <c r="BY922" t="s">
        <v>125</v>
      </c>
      <c r="BZ922" t="s">
        <v>125</v>
      </c>
      <c r="CA922" t="s">
        <v>125</v>
      </c>
      <c r="CB922" t="s">
        <v>125</v>
      </c>
      <c r="CC922" t="s">
        <v>125</v>
      </c>
      <c r="CD922" t="s">
        <v>125</v>
      </c>
      <c r="CE922" t="s">
        <v>125</v>
      </c>
      <c r="CF922" t="s">
        <v>125</v>
      </c>
      <c r="CG922" t="s">
        <v>125</v>
      </c>
      <c r="CH922" t="s">
        <v>125</v>
      </c>
      <c r="CI922" t="s">
        <v>125</v>
      </c>
      <c r="CJ922" t="s">
        <v>125</v>
      </c>
      <c r="CK922" t="s">
        <v>125</v>
      </c>
      <c r="CL922" t="s">
        <v>125</v>
      </c>
      <c r="CM922" t="s">
        <v>125</v>
      </c>
      <c r="CN922" t="s">
        <v>125</v>
      </c>
      <c r="CO922" t="s">
        <v>125</v>
      </c>
      <c r="CP922" t="s">
        <v>125</v>
      </c>
      <c r="CQ922">
        <v>0.34453800000000001</v>
      </c>
      <c r="CR922">
        <v>0.86861299999999997</v>
      </c>
      <c r="CS922">
        <v>11.484594</v>
      </c>
      <c r="CT922">
        <v>50</v>
      </c>
      <c r="CU922" t="s">
        <v>125</v>
      </c>
      <c r="CV922" t="s">
        <v>125</v>
      </c>
      <c r="CW922" t="s">
        <v>125</v>
      </c>
      <c r="CX922" t="s">
        <v>125</v>
      </c>
      <c r="CY922" t="s">
        <v>125</v>
      </c>
      <c r="CZ922" t="s">
        <v>125</v>
      </c>
      <c r="DA922">
        <v>15.314097</v>
      </c>
      <c r="DB922">
        <v>17.400950000000002</v>
      </c>
      <c r="DC922">
        <v>16.332519999999999</v>
      </c>
      <c r="DD922" t="s">
        <v>125</v>
      </c>
      <c r="DE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Q922" t="s">
        <v>126</v>
      </c>
    </row>
    <row r="923" spans="1:121" x14ac:dyDescent="0.15">
      <c r="A923">
        <v>2018</v>
      </c>
      <c r="B923" t="s">
        <v>215</v>
      </c>
      <c r="C923" t="str">
        <f>"1400011"</f>
        <v>1400011</v>
      </c>
      <c r="D923" t="s">
        <v>1073</v>
      </c>
      <c r="E923" t="str">
        <f>"1406211"</f>
        <v>1406211</v>
      </c>
      <c r="F923" t="s">
        <v>328</v>
      </c>
      <c r="G923">
        <v>7</v>
      </c>
      <c r="H923">
        <v>12</v>
      </c>
      <c r="J923" t="s">
        <v>331</v>
      </c>
      <c r="K923">
        <v>1033.6221849999999</v>
      </c>
      <c r="L923">
        <v>1350</v>
      </c>
      <c r="M923">
        <v>76.564605999999998</v>
      </c>
      <c r="N923">
        <v>3</v>
      </c>
      <c r="O923">
        <v>1</v>
      </c>
      <c r="P923">
        <v>67.788561999999999</v>
      </c>
      <c r="Q923">
        <v>45.192374000000001</v>
      </c>
      <c r="R923">
        <v>50</v>
      </c>
      <c r="S923">
        <v>55.198822</v>
      </c>
      <c r="T923">
        <v>75</v>
      </c>
      <c r="U923">
        <v>36.799214999999997</v>
      </c>
      <c r="V923">
        <v>50</v>
      </c>
      <c r="W923">
        <v>60.327790999999998</v>
      </c>
      <c r="X923">
        <v>40.218527000000002</v>
      </c>
      <c r="Y923">
        <v>50</v>
      </c>
      <c r="Z923">
        <v>65.725678000000002</v>
      </c>
      <c r="AA923">
        <v>51.707284000000001</v>
      </c>
      <c r="AB923">
        <v>34.471522999999998</v>
      </c>
      <c r="AC923">
        <v>50</v>
      </c>
      <c r="AD923">
        <v>64.909949999999995</v>
      </c>
      <c r="AE923">
        <v>43.273299999999999</v>
      </c>
      <c r="AF923">
        <v>50</v>
      </c>
      <c r="AG923">
        <v>51.497138</v>
      </c>
      <c r="AH923">
        <v>71.361682999999999</v>
      </c>
      <c r="AI923">
        <v>34.331425000000003</v>
      </c>
      <c r="AJ923">
        <v>50</v>
      </c>
      <c r="AK923">
        <v>19.8</v>
      </c>
      <c r="AL923">
        <v>14.01</v>
      </c>
      <c r="AM923">
        <v>19.86</v>
      </c>
      <c r="AN923">
        <v>0.52249100000000004</v>
      </c>
      <c r="AO923">
        <v>52.249099000000001</v>
      </c>
      <c r="AP923">
        <v>100</v>
      </c>
      <c r="AQ923">
        <v>0.63187199999999999</v>
      </c>
      <c r="AR923">
        <v>63.187179999999998</v>
      </c>
      <c r="AS923">
        <v>100</v>
      </c>
      <c r="AT923">
        <v>0.42905500000000002</v>
      </c>
      <c r="AU923">
        <v>0.58851900000000001</v>
      </c>
      <c r="AV923">
        <v>42.905459999999998</v>
      </c>
      <c r="AW923">
        <v>100</v>
      </c>
      <c r="AX923">
        <v>0.71320099999999997</v>
      </c>
      <c r="AY923">
        <v>0.57472199999999996</v>
      </c>
      <c r="AZ923">
        <v>71.320077999999995</v>
      </c>
      <c r="BA923">
        <v>100</v>
      </c>
      <c r="BB923" t="s">
        <v>125</v>
      </c>
      <c r="BC923" t="s">
        <v>125</v>
      </c>
      <c r="BD923" t="s">
        <v>125</v>
      </c>
      <c r="BE923" t="s">
        <v>125</v>
      </c>
      <c r="BF923" t="s">
        <v>125</v>
      </c>
      <c r="BG923" t="s">
        <v>125</v>
      </c>
      <c r="BH923">
        <v>0</v>
      </c>
      <c r="BI923">
        <v>0.994475</v>
      </c>
      <c r="BJ923">
        <v>1</v>
      </c>
      <c r="BK923">
        <v>0.99090900000000004</v>
      </c>
      <c r="BL923">
        <v>0.98895</v>
      </c>
      <c r="BM923">
        <v>1</v>
      </c>
      <c r="BN923">
        <v>0.98181799999999997</v>
      </c>
      <c r="BO923">
        <v>0.99180299999999999</v>
      </c>
      <c r="BP923">
        <v>1</v>
      </c>
      <c r="BQ923">
        <v>0.98765400000000003</v>
      </c>
      <c r="BR923">
        <v>6.4788999999999999E-2</v>
      </c>
      <c r="BS923">
        <v>47.042254</v>
      </c>
      <c r="BT923">
        <v>50</v>
      </c>
      <c r="BU923">
        <v>0.116788</v>
      </c>
      <c r="BV923">
        <v>36.642336</v>
      </c>
      <c r="BW923">
        <v>50</v>
      </c>
      <c r="BX923">
        <v>0.81308400000000003</v>
      </c>
      <c r="BY923">
        <v>50</v>
      </c>
      <c r="BZ923">
        <v>50</v>
      </c>
      <c r="CA923">
        <v>0.485981</v>
      </c>
      <c r="CB923">
        <v>32.398753999999997</v>
      </c>
      <c r="CC923">
        <v>50</v>
      </c>
      <c r="CD923">
        <v>0.99199999999999999</v>
      </c>
      <c r="CE923">
        <v>50</v>
      </c>
      <c r="CF923">
        <v>50</v>
      </c>
      <c r="CG923">
        <v>0.96491199999999999</v>
      </c>
      <c r="CH923">
        <v>100</v>
      </c>
      <c r="CI923">
        <v>100</v>
      </c>
      <c r="CJ923">
        <v>0</v>
      </c>
      <c r="CK923">
        <v>1</v>
      </c>
      <c r="CL923">
        <v>100</v>
      </c>
      <c r="CM923">
        <v>100</v>
      </c>
      <c r="CN923">
        <v>0.68965500000000002</v>
      </c>
      <c r="CO923">
        <v>91.954023000000007</v>
      </c>
      <c r="CP923">
        <v>100</v>
      </c>
      <c r="CQ923">
        <v>0.66666700000000001</v>
      </c>
      <c r="CR923">
        <v>0.84782599999999997</v>
      </c>
      <c r="CS923">
        <v>22.222221999999999</v>
      </c>
      <c r="CT923">
        <v>50</v>
      </c>
      <c r="CU923">
        <v>0.47297299999999998</v>
      </c>
      <c r="CV923">
        <v>39.414414000000001</v>
      </c>
      <c r="CW923">
        <v>50</v>
      </c>
      <c r="CX923">
        <v>1</v>
      </c>
      <c r="CY923">
        <v>0.94</v>
      </c>
      <c r="CZ923">
        <v>-0.06</v>
      </c>
      <c r="DA923">
        <v>15.314097</v>
      </c>
      <c r="DB923">
        <v>17.400950000000002</v>
      </c>
      <c r="DC923">
        <v>16.332519999999999</v>
      </c>
      <c r="DD923">
        <v>7.9891730000000001</v>
      </c>
      <c r="DE923">
        <v>1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Q923" t="s">
        <v>126</v>
      </c>
    </row>
    <row r="924" spans="1:121" x14ac:dyDescent="0.15">
      <c r="A924">
        <v>2018</v>
      </c>
      <c r="B924" t="s">
        <v>216</v>
      </c>
      <c r="C924" t="str">
        <f>"1410011"</f>
        <v>1410011</v>
      </c>
      <c r="D924" t="s">
        <v>1074</v>
      </c>
      <c r="E924" t="str">
        <f>"1410111"</f>
        <v>1410111</v>
      </c>
      <c r="F924" t="s">
        <v>328</v>
      </c>
      <c r="G924" t="s">
        <v>329</v>
      </c>
      <c r="H924">
        <v>4</v>
      </c>
      <c r="I924" t="s">
        <v>330</v>
      </c>
      <c r="J924" t="s">
        <v>331</v>
      </c>
      <c r="K924">
        <v>506.10750300000001</v>
      </c>
      <c r="L924">
        <v>750</v>
      </c>
      <c r="M924">
        <v>67.480999999999995</v>
      </c>
      <c r="N924">
        <v>3</v>
      </c>
      <c r="O924">
        <v>0</v>
      </c>
      <c r="P924">
        <v>70.267122999999998</v>
      </c>
      <c r="Q924">
        <v>46.844748000000003</v>
      </c>
      <c r="R924">
        <v>50</v>
      </c>
      <c r="S924">
        <v>63.658977999999998</v>
      </c>
      <c r="T924">
        <v>75</v>
      </c>
      <c r="U924">
        <v>42.439318</v>
      </c>
      <c r="V924">
        <v>50</v>
      </c>
      <c r="W924">
        <v>66.548941999999997</v>
      </c>
      <c r="X924">
        <v>44.365960999999999</v>
      </c>
      <c r="Y924">
        <v>50</v>
      </c>
      <c r="Z924">
        <v>73.565888999999999</v>
      </c>
      <c r="AA924">
        <v>60.233690000000003</v>
      </c>
      <c r="AB924">
        <v>40.155793000000003</v>
      </c>
      <c r="AC924">
        <v>50</v>
      </c>
      <c r="AD924" t="s">
        <v>125</v>
      </c>
      <c r="AE924" t="s">
        <v>125</v>
      </c>
      <c r="AF924" t="s">
        <v>125</v>
      </c>
      <c r="AG924" t="s">
        <v>125</v>
      </c>
      <c r="AH924" t="s">
        <v>125</v>
      </c>
      <c r="AI924" t="s">
        <v>125</v>
      </c>
      <c r="AJ924" t="s">
        <v>125</v>
      </c>
      <c r="AK924">
        <v>11.34</v>
      </c>
      <c r="AL924">
        <v>13.33</v>
      </c>
      <c r="AM924" t="s">
        <v>125</v>
      </c>
      <c r="AN924">
        <v>0.585619</v>
      </c>
      <c r="AO924">
        <v>58.561945000000001</v>
      </c>
      <c r="AP924">
        <v>100</v>
      </c>
      <c r="AQ924">
        <v>0.60752399999999995</v>
      </c>
      <c r="AR924">
        <v>60.752364999999998</v>
      </c>
      <c r="AS924">
        <v>100</v>
      </c>
      <c r="AT924">
        <v>0.55810800000000005</v>
      </c>
      <c r="AU924">
        <v>0.61234500000000003</v>
      </c>
      <c r="AV924">
        <v>55.810780000000001</v>
      </c>
      <c r="AW924">
        <v>100</v>
      </c>
      <c r="AX924">
        <v>0.52709700000000004</v>
      </c>
      <c r="AY924">
        <v>0.68335400000000002</v>
      </c>
      <c r="AZ924">
        <v>52.709708999999997</v>
      </c>
      <c r="BA924">
        <v>100</v>
      </c>
      <c r="BB924" t="s">
        <v>125</v>
      </c>
      <c r="BC924" t="s">
        <v>125</v>
      </c>
      <c r="BD924" t="s">
        <v>125</v>
      </c>
      <c r="BE924" t="s">
        <v>125</v>
      </c>
      <c r="BF924" t="s">
        <v>125</v>
      </c>
      <c r="BG924" t="s">
        <v>125</v>
      </c>
      <c r="BH924">
        <v>0</v>
      </c>
      <c r="BI924">
        <v>0.99315100000000001</v>
      </c>
      <c r="BJ924">
        <v>1</v>
      </c>
      <c r="BK924">
        <v>0.985294</v>
      </c>
      <c r="BL924">
        <v>0.98630099999999998</v>
      </c>
      <c r="BM924">
        <v>0.98717900000000003</v>
      </c>
      <c r="BN924">
        <v>0.985294</v>
      </c>
      <c r="BO924" t="s">
        <v>125</v>
      </c>
      <c r="BP924" t="s">
        <v>125</v>
      </c>
      <c r="BQ924" t="s">
        <v>125</v>
      </c>
      <c r="BR924">
        <v>8.7999999999999995E-2</v>
      </c>
      <c r="BS924">
        <v>42.4</v>
      </c>
      <c r="BT924">
        <v>50</v>
      </c>
      <c r="BU924">
        <v>0.14077700000000001</v>
      </c>
      <c r="BV924">
        <v>31.844660000000001</v>
      </c>
      <c r="BW924">
        <v>50</v>
      </c>
      <c r="BX924" t="s">
        <v>125</v>
      </c>
      <c r="BY924" t="s">
        <v>125</v>
      </c>
      <c r="BZ924" t="s">
        <v>125</v>
      </c>
      <c r="CA924" t="s">
        <v>125</v>
      </c>
      <c r="CB924" t="s">
        <v>125</v>
      </c>
      <c r="CC924" t="s">
        <v>125</v>
      </c>
      <c r="CD924" t="s">
        <v>125</v>
      </c>
      <c r="CE924" t="s">
        <v>125</v>
      </c>
      <c r="CF924" t="s">
        <v>125</v>
      </c>
      <c r="CG924" t="s">
        <v>125</v>
      </c>
      <c r="CH924" t="s">
        <v>125</v>
      </c>
      <c r="CI924" t="s">
        <v>125</v>
      </c>
      <c r="CJ924" t="s">
        <v>125</v>
      </c>
      <c r="CK924" t="s">
        <v>125</v>
      </c>
      <c r="CL924" t="s">
        <v>125</v>
      </c>
      <c r="CM924" t="s">
        <v>125</v>
      </c>
      <c r="CN924" t="s">
        <v>125</v>
      </c>
      <c r="CO924" t="s">
        <v>125</v>
      </c>
      <c r="CP924" t="s">
        <v>125</v>
      </c>
      <c r="CQ924">
        <v>0.45333299999999999</v>
      </c>
      <c r="CR924">
        <v>0.94936699999999996</v>
      </c>
      <c r="CS924">
        <v>30.222221999999999</v>
      </c>
      <c r="CT924">
        <v>50</v>
      </c>
      <c r="CU924" t="s">
        <v>125</v>
      </c>
      <c r="CV924" t="s">
        <v>125</v>
      </c>
      <c r="CW924" t="s">
        <v>125</v>
      </c>
      <c r="CX924" t="s">
        <v>125</v>
      </c>
      <c r="CY924" t="s">
        <v>125</v>
      </c>
      <c r="CZ924" t="s">
        <v>125</v>
      </c>
      <c r="DA924">
        <v>15.314097</v>
      </c>
      <c r="DB924">
        <v>17.400950000000002</v>
      </c>
      <c r="DC924">
        <v>16.332519999999999</v>
      </c>
      <c r="DD924" t="s">
        <v>125</v>
      </c>
      <c r="DE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Q924" t="s">
        <v>126</v>
      </c>
    </row>
    <row r="925" spans="1:121" x14ac:dyDescent="0.15">
      <c r="A925">
        <v>2018</v>
      </c>
      <c r="B925" t="s">
        <v>216</v>
      </c>
      <c r="C925" t="str">
        <f>"1410011"</f>
        <v>1410011</v>
      </c>
      <c r="D925" t="s">
        <v>1075</v>
      </c>
      <c r="E925" t="str">
        <f>"1415111"</f>
        <v>1415111</v>
      </c>
      <c r="F925" t="s">
        <v>328</v>
      </c>
      <c r="G925">
        <v>5</v>
      </c>
      <c r="H925">
        <v>8</v>
      </c>
      <c r="J925" t="s">
        <v>331</v>
      </c>
      <c r="K925">
        <v>495.84516300000001</v>
      </c>
      <c r="L925">
        <v>900</v>
      </c>
      <c r="M925">
        <v>55.093907000000002</v>
      </c>
      <c r="N925">
        <v>3</v>
      </c>
      <c r="O925">
        <v>0</v>
      </c>
      <c r="P925">
        <v>57.74427</v>
      </c>
      <c r="Q925">
        <v>38.496180000000003</v>
      </c>
      <c r="R925">
        <v>50</v>
      </c>
      <c r="S925">
        <v>50.884639</v>
      </c>
      <c r="T925">
        <v>63.555294000000004</v>
      </c>
      <c r="U925">
        <v>33.923093000000001</v>
      </c>
      <c r="V925">
        <v>50</v>
      </c>
      <c r="W925">
        <v>53.961658999999997</v>
      </c>
      <c r="X925">
        <v>35.974440000000001</v>
      </c>
      <c r="Y925">
        <v>50</v>
      </c>
      <c r="Z925">
        <v>58.621299999999998</v>
      </c>
      <c r="AA925">
        <v>48.419511</v>
      </c>
      <c r="AB925">
        <v>32.279674</v>
      </c>
      <c r="AC925">
        <v>50</v>
      </c>
      <c r="AD925">
        <v>60.650073999999996</v>
      </c>
      <c r="AE925">
        <v>40.433382000000002</v>
      </c>
      <c r="AF925">
        <v>50</v>
      </c>
      <c r="AG925">
        <v>54.771172</v>
      </c>
      <c r="AH925">
        <v>65.453565999999995</v>
      </c>
      <c r="AI925">
        <v>36.514114999999997</v>
      </c>
      <c r="AJ925">
        <v>50</v>
      </c>
      <c r="AK925">
        <v>12.67</v>
      </c>
      <c r="AL925">
        <v>10.199999999999999</v>
      </c>
      <c r="AM925">
        <v>10.68</v>
      </c>
      <c r="AN925">
        <v>0.42689700000000003</v>
      </c>
      <c r="AO925">
        <v>42.689746999999997</v>
      </c>
      <c r="AP925">
        <v>100</v>
      </c>
      <c r="AQ925">
        <v>0.40173700000000001</v>
      </c>
      <c r="AR925">
        <v>40.173662999999998</v>
      </c>
      <c r="AS925">
        <v>100</v>
      </c>
      <c r="AT925">
        <v>0.41228999999999999</v>
      </c>
      <c r="AU925">
        <v>0.43869900000000001</v>
      </c>
      <c r="AV925">
        <v>41.229010000000002</v>
      </c>
      <c r="AW925">
        <v>100</v>
      </c>
      <c r="AX925">
        <v>0.40037400000000001</v>
      </c>
      <c r="AY925">
        <v>0.40281899999999998</v>
      </c>
      <c r="AZ925">
        <v>40.037444000000001</v>
      </c>
      <c r="BA925">
        <v>100</v>
      </c>
      <c r="BB925" t="s">
        <v>125</v>
      </c>
      <c r="BC925" t="s">
        <v>125</v>
      </c>
      <c r="BD925" t="s">
        <v>125</v>
      </c>
      <c r="BE925" t="s">
        <v>125</v>
      </c>
      <c r="BF925" t="s">
        <v>125</v>
      </c>
      <c r="BG925" t="s">
        <v>125</v>
      </c>
      <c r="BH925">
        <v>1</v>
      </c>
      <c r="BI925">
        <v>0.95846600000000004</v>
      </c>
      <c r="BJ925">
        <v>0.95890399999999998</v>
      </c>
      <c r="BK925">
        <v>0.95808400000000005</v>
      </c>
      <c r="BL925">
        <v>0.95527200000000001</v>
      </c>
      <c r="BM925">
        <v>0.95205499999999998</v>
      </c>
      <c r="BN925">
        <v>0.95808400000000005</v>
      </c>
      <c r="BO925">
        <v>0.93827199999999999</v>
      </c>
      <c r="BP925">
        <v>0.92105300000000001</v>
      </c>
      <c r="BQ925">
        <v>0.953488</v>
      </c>
      <c r="BR925">
        <v>0.105431</v>
      </c>
      <c r="BS925">
        <v>38.913738000000002</v>
      </c>
      <c r="BT925">
        <v>50</v>
      </c>
      <c r="BU925">
        <v>0.16891900000000001</v>
      </c>
      <c r="BV925">
        <v>26.216215999999999</v>
      </c>
      <c r="BW925">
        <v>50</v>
      </c>
      <c r="BX925" t="s">
        <v>125</v>
      </c>
      <c r="BY925" t="s">
        <v>125</v>
      </c>
      <c r="BZ925" t="s">
        <v>125</v>
      </c>
      <c r="CA925" t="s">
        <v>125</v>
      </c>
      <c r="CB925" t="s">
        <v>125</v>
      </c>
      <c r="CC925" t="s">
        <v>125</v>
      </c>
      <c r="CD925">
        <v>0.77647100000000002</v>
      </c>
      <c r="CE925">
        <v>41.301627000000003</v>
      </c>
      <c r="CF925">
        <v>50</v>
      </c>
      <c r="CG925" t="s">
        <v>125</v>
      </c>
      <c r="CH925" t="s">
        <v>125</v>
      </c>
      <c r="CI925" t="s">
        <v>125</v>
      </c>
      <c r="CJ925" t="s">
        <v>125</v>
      </c>
      <c r="CK925" t="s">
        <v>125</v>
      </c>
      <c r="CL925" t="s">
        <v>125</v>
      </c>
      <c r="CM925" t="s">
        <v>125</v>
      </c>
      <c r="CN925" t="s">
        <v>125</v>
      </c>
      <c r="CO925" t="s">
        <v>125</v>
      </c>
      <c r="CP925" t="s">
        <v>125</v>
      </c>
      <c r="CQ925">
        <v>0.114943</v>
      </c>
      <c r="CR925">
        <v>1.067485</v>
      </c>
      <c r="CS925">
        <v>7.6628350000000003</v>
      </c>
      <c r="CT925">
        <v>50</v>
      </c>
      <c r="CU925" t="s">
        <v>125</v>
      </c>
      <c r="CV925" t="s">
        <v>125</v>
      </c>
      <c r="CW925" t="s">
        <v>125</v>
      </c>
      <c r="CX925" t="s">
        <v>125</v>
      </c>
      <c r="CY925" t="s">
        <v>125</v>
      </c>
      <c r="CZ925" t="s">
        <v>125</v>
      </c>
      <c r="DA925">
        <v>15.314097</v>
      </c>
      <c r="DB925">
        <v>17.400950000000002</v>
      </c>
      <c r="DC925">
        <v>16.332519999999999</v>
      </c>
      <c r="DD925" t="s">
        <v>125</v>
      </c>
      <c r="DE925">
        <v>1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Q925" t="s">
        <v>126</v>
      </c>
    </row>
    <row r="926" spans="1:121" x14ac:dyDescent="0.15">
      <c r="A926">
        <v>2018</v>
      </c>
      <c r="B926" t="s">
        <v>216</v>
      </c>
      <c r="C926" t="str">
        <f>"1410011"</f>
        <v>1410011</v>
      </c>
      <c r="D926" t="s">
        <v>1076</v>
      </c>
      <c r="E926" t="str">
        <f>"1416111"</f>
        <v>1416111</v>
      </c>
      <c r="F926" t="s">
        <v>328</v>
      </c>
      <c r="G926">
        <v>9</v>
      </c>
      <c r="H926">
        <v>12</v>
      </c>
      <c r="J926" t="s">
        <v>331</v>
      </c>
      <c r="K926">
        <v>786.09926199999995</v>
      </c>
      <c r="L926">
        <v>1050</v>
      </c>
      <c r="M926">
        <v>74.866596000000001</v>
      </c>
      <c r="N926">
        <v>3</v>
      </c>
      <c r="O926">
        <v>0</v>
      </c>
      <c r="P926">
        <v>55.733333000000002</v>
      </c>
      <c r="Q926">
        <v>111.466667</v>
      </c>
      <c r="R926">
        <v>150</v>
      </c>
      <c r="S926" t="s">
        <v>125</v>
      </c>
      <c r="T926">
        <v>58.470238000000002</v>
      </c>
      <c r="U926" t="s">
        <v>125</v>
      </c>
      <c r="V926" t="s">
        <v>125</v>
      </c>
      <c r="W926">
        <v>49.270833000000003</v>
      </c>
      <c r="X926">
        <v>98.541667000000004</v>
      </c>
      <c r="Y926">
        <v>150</v>
      </c>
      <c r="Z926">
        <v>52.511904999999999</v>
      </c>
      <c r="AA926" t="s">
        <v>125</v>
      </c>
      <c r="AB926" t="s">
        <v>125</v>
      </c>
      <c r="AC926" t="s">
        <v>125</v>
      </c>
      <c r="AD926">
        <v>49.945343999999999</v>
      </c>
      <c r="AE926">
        <v>66.593791999999993</v>
      </c>
      <c r="AF926">
        <v>100</v>
      </c>
      <c r="AG926" t="s">
        <v>125</v>
      </c>
      <c r="AH926">
        <v>55.325443999999997</v>
      </c>
      <c r="AI926" t="s">
        <v>125</v>
      </c>
      <c r="AJ926" t="s">
        <v>125</v>
      </c>
      <c r="AK926" t="s">
        <v>125</v>
      </c>
      <c r="AL926" t="s">
        <v>125</v>
      </c>
      <c r="AM926" t="s">
        <v>125</v>
      </c>
      <c r="AN926" t="s">
        <v>125</v>
      </c>
      <c r="AO926" t="s">
        <v>125</v>
      </c>
      <c r="AP926" t="s">
        <v>125</v>
      </c>
      <c r="AQ926" t="s">
        <v>125</v>
      </c>
      <c r="AR926" t="s">
        <v>125</v>
      </c>
      <c r="AS926" t="s">
        <v>125</v>
      </c>
      <c r="AT926" t="s">
        <v>125</v>
      </c>
      <c r="AU926" t="s">
        <v>125</v>
      </c>
      <c r="AV926" t="s">
        <v>125</v>
      </c>
      <c r="AW926" t="s">
        <v>125</v>
      </c>
      <c r="AX926" t="s">
        <v>125</v>
      </c>
      <c r="AY926" t="s">
        <v>125</v>
      </c>
      <c r="AZ926" t="s">
        <v>125</v>
      </c>
      <c r="BA926" t="s">
        <v>125</v>
      </c>
      <c r="BB926" t="s">
        <v>125</v>
      </c>
      <c r="BC926" t="s">
        <v>125</v>
      </c>
      <c r="BD926" t="s">
        <v>125</v>
      </c>
      <c r="BE926" t="s">
        <v>125</v>
      </c>
      <c r="BF926" t="s">
        <v>125</v>
      </c>
      <c r="BG926" t="s">
        <v>125</v>
      </c>
      <c r="BH926">
        <v>1</v>
      </c>
      <c r="BI926">
        <v>0.87234</v>
      </c>
      <c r="BJ926" t="s">
        <v>125</v>
      </c>
      <c r="BK926">
        <v>0.93333299999999997</v>
      </c>
      <c r="BL926">
        <v>0.87234</v>
      </c>
      <c r="BM926" t="s">
        <v>125</v>
      </c>
      <c r="BN926">
        <v>0.93333299999999997</v>
      </c>
      <c r="BO926">
        <v>0.86666699999999997</v>
      </c>
      <c r="BP926" t="s">
        <v>125</v>
      </c>
      <c r="BQ926">
        <v>0.89655200000000002</v>
      </c>
      <c r="BR926">
        <v>8.0169000000000004E-2</v>
      </c>
      <c r="BS926">
        <v>43.966245000000001</v>
      </c>
      <c r="BT926">
        <v>50</v>
      </c>
      <c r="BU926">
        <v>0.15238099999999999</v>
      </c>
      <c r="BV926">
        <v>29.523810000000001</v>
      </c>
      <c r="BW926">
        <v>50</v>
      </c>
      <c r="BX926">
        <v>0.65420599999999995</v>
      </c>
      <c r="BY926">
        <v>43.613706999999998</v>
      </c>
      <c r="BZ926">
        <v>50</v>
      </c>
      <c r="CA926">
        <v>0.32710299999999998</v>
      </c>
      <c r="CB926">
        <v>21.806854000000001</v>
      </c>
      <c r="CC926">
        <v>50</v>
      </c>
      <c r="CD926">
        <v>0.618421</v>
      </c>
      <c r="CE926">
        <v>32.894736999999999</v>
      </c>
      <c r="CF926">
        <v>50</v>
      </c>
      <c r="CG926">
        <v>0.84848500000000004</v>
      </c>
      <c r="CH926">
        <v>90.264346000000003</v>
      </c>
      <c r="CI926">
        <v>100</v>
      </c>
      <c r="CJ926">
        <v>0</v>
      </c>
      <c r="CK926">
        <v>0.94117600000000001</v>
      </c>
      <c r="CL926">
        <v>100</v>
      </c>
      <c r="CM926">
        <v>100</v>
      </c>
      <c r="CN926">
        <v>0.6</v>
      </c>
      <c r="CO926">
        <v>80</v>
      </c>
      <c r="CP926">
        <v>100</v>
      </c>
      <c r="CQ926">
        <v>0.32575799999999999</v>
      </c>
      <c r="CR926">
        <v>2.4444439999999998</v>
      </c>
      <c r="CS926">
        <v>21.717172000000001</v>
      </c>
      <c r="CT926">
        <v>50</v>
      </c>
      <c r="CU926">
        <v>0.54852299999999998</v>
      </c>
      <c r="CV926">
        <v>45.710267000000002</v>
      </c>
      <c r="CW926">
        <v>50</v>
      </c>
      <c r="CX926">
        <v>0.94117600000000001</v>
      </c>
      <c r="CY926">
        <v>0.94</v>
      </c>
      <c r="CZ926">
        <v>-1.176E-3</v>
      </c>
      <c r="DA926">
        <v>15.314097</v>
      </c>
      <c r="DB926">
        <v>17.400950000000002</v>
      </c>
      <c r="DC926">
        <v>16.332519999999999</v>
      </c>
      <c r="DD926">
        <v>7.9891730000000001</v>
      </c>
      <c r="DE926">
        <v>1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Q926" t="s">
        <v>126</v>
      </c>
    </row>
    <row r="927" spans="1:121" x14ac:dyDescent="0.15">
      <c r="A927">
        <v>2018</v>
      </c>
      <c r="B927" t="s">
        <v>217</v>
      </c>
      <c r="C927" t="str">
        <f>"1420011"</f>
        <v>1420011</v>
      </c>
      <c r="D927" t="s">
        <v>1077</v>
      </c>
      <c r="E927" t="str">
        <f>"1420111"</f>
        <v>1420111</v>
      </c>
      <c r="F927" t="s">
        <v>328</v>
      </c>
      <c r="G927" t="s">
        <v>329</v>
      </c>
      <c r="H927">
        <v>2</v>
      </c>
      <c r="I927" t="s">
        <v>330</v>
      </c>
      <c r="J927" t="s">
        <v>331</v>
      </c>
      <c r="K927">
        <v>85</v>
      </c>
      <c r="L927">
        <v>100</v>
      </c>
      <c r="M927">
        <v>85</v>
      </c>
      <c r="N927" t="s">
        <v>125</v>
      </c>
      <c r="O927" t="s">
        <v>125</v>
      </c>
      <c r="P927" t="s">
        <v>125</v>
      </c>
      <c r="Q927" t="s">
        <v>125</v>
      </c>
      <c r="R927" t="s">
        <v>125</v>
      </c>
      <c r="S927" t="s">
        <v>125</v>
      </c>
      <c r="T927" t="s">
        <v>125</v>
      </c>
      <c r="U927" t="s">
        <v>125</v>
      </c>
      <c r="V927" t="s">
        <v>125</v>
      </c>
      <c r="W927" t="s">
        <v>125</v>
      </c>
      <c r="X927" t="s">
        <v>125</v>
      </c>
      <c r="Y927" t="s">
        <v>125</v>
      </c>
      <c r="Z927" t="s">
        <v>125</v>
      </c>
      <c r="AA927" t="s">
        <v>125</v>
      </c>
      <c r="AB927" t="s">
        <v>125</v>
      </c>
      <c r="AC927" t="s">
        <v>125</v>
      </c>
      <c r="AD927" t="s">
        <v>125</v>
      </c>
      <c r="AE927" t="s">
        <v>125</v>
      </c>
      <c r="AF927" t="s">
        <v>125</v>
      </c>
      <c r="AG927" t="s">
        <v>125</v>
      </c>
      <c r="AH927" t="s">
        <v>125</v>
      </c>
      <c r="AI927" t="s">
        <v>125</v>
      </c>
      <c r="AJ927" t="s">
        <v>125</v>
      </c>
      <c r="AK927" t="s">
        <v>125</v>
      </c>
      <c r="AL927" t="s">
        <v>125</v>
      </c>
      <c r="AM927" t="s">
        <v>125</v>
      </c>
      <c r="AN927" t="s">
        <v>125</v>
      </c>
      <c r="AO927" t="s">
        <v>125</v>
      </c>
      <c r="AP927" t="s">
        <v>125</v>
      </c>
      <c r="AQ927" t="s">
        <v>125</v>
      </c>
      <c r="AR927" t="s">
        <v>125</v>
      </c>
      <c r="AS927" t="s">
        <v>125</v>
      </c>
      <c r="AT927" t="s">
        <v>125</v>
      </c>
      <c r="AU927" t="s">
        <v>125</v>
      </c>
      <c r="AV927" t="s">
        <v>125</v>
      </c>
      <c r="AW927" t="s">
        <v>125</v>
      </c>
      <c r="AX927" t="s">
        <v>125</v>
      </c>
      <c r="AY927" t="s">
        <v>125</v>
      </c>
      <c r="AZ927" t="s">
        <v>125</v>
      </c>
      <c r="BA927" t="s">
        <v>125</v>
      </c>
      <c r="BB927" t="s">
        <v>125</v>
      </c>
      <c r="BC927" t="s">
        <v>125</v>
      </c>
      <c r="BD927" t="s">
        <v>125</v>
      </c>
      <c r="BE927" t="s">
        <v>125</v>
      </c>
      <c r="BF927" t="s">
        <v>125</v>
      </c>
      <c r="BG927" t="s">
        <v>125</v>
      </c>
      <c r="BH927" t="s">
        <v>125</v>
      </c>
      <c r="BI927" t="s">
        <v>125</v>
      </c>
      <c r="BJ927" t="s">
        <v>125</v>
      </c>
      <c r="BK927" t="s">
        <v>125</v>
      </c>
      <c r="BL927" t="s">
        <v>125</v>
      </c>
      <c r="BM927" t="s">
        <v>125</v>
      </c>
      <c r="BN927" t="s">
        <v>125</v>
      </c>
      <c r="BO927" t="s">
        <v>125</v>
      </c>
      <c r="BP927" t="s">
        <v>125</v>
      </c>
      <c r="BQ927" t="s">
        <v>125</v>
      </c>
      <c r="BR927">
        <v>4.7169999999999997E-2</v>
      </c>
      <c r="BS927">
        <v>50</v>
      </c>
      <c r="BT927">
        <v>50</v>
      </c>
      <c r="BU927">
        <v>0.125</v>
      </c>
      <c r="BV927">
        <v>35</v>
      </c>
      <c r="BW927">
        <v>50</v>
      </c>
      <c r="BX927" t="s">
        <v>125</v>
      </c>
      <c r="BY927" t="s">
        <v>125</v>
      </c>
      <c r="BZ927" t="s">
        <v>125</v>
      </c>
      <c r="CA927" t="s">
        <v>125</v>
      </c>
      <c r="CB927" t="s">
        <v>125</v>
      </c>
      <c r="CC927" t="s">
        <v>125</v>
      </c>
      <c r="CD927" t="s">
        <v>125</v>
      </c>
      <c r="CE927" t="s">
        <v>125</v>
      </c>
      <c r="CF927" t="s">
        <v>125</v>
      </c>
      <c r="CG927" t="s">
        <v>125</v>
      </c>
      <c r="CH927" t="s">
        <v>125</v>
      </c>
      <c r="CI927" t="s">
        <v>125</v>
      </c>
      <c r="CJ927" t="s">
        <v>125</v>
      </c>
      <c r="CK927" t="s">
        <v>125</v>
      </c>
      <c r="CL927" t="s">
        <v>125</v>
      </c>
      <c r="CM927" t="s">
        <v>125</v>
      </c>
      <c r="CN927" t="s">
        <v>125</v>
      </c>
      <c r="CO927" t="s">
        <v>125</v>
      </c>
      <c r="CP927" t="s">
        <v>125</v>
      </c>
      <c r="CQ927" t="s">
        <v>125</v>
      </c>
      <c r="CR927" t="s">
        <v>125</v>
      </c>
      <c r="CS927" t="s">
        <v>125</v>
      </c>
      <c r="CT927" t="s">
        <v>125</v>
      </c>
      <c r="CU927" t="s">
        <v>125</v>
      </c>
      <c r="CV927" t="s">
        <v>125</v>
      </c>
      <c r="CW927" t="s">
        <v>125</v>
      </c>
      <c r="CX927" t="s">
        <v>125</v>
      </c>
      <c r="CY927" t="s">
        <v>125</v>
      </c>
      <c r="CZ927" t="s">
        <v>125</v>
      </c>
      <c r="DA927" t="s">
        <v>125</v>
      </c>
      <c r="DB927" t="s">
        <v>125</v>
      </c>
      <c r="DC927" t="s">
        <v>125</v>
      </c>
      <c r="DD927" t="s">
        <v>125</v>
      </c>
      <c r="DE927" t="s">
        <v>125</v>
      </c>
      <c r="DJ927" t="s">
        <v>125</v>
      </c>
      <c r="DK927" t="s">
        <v>125</v>
      </c>
      <c r="DL927" t="s">
        <v>125</v>
      </c>
      <c r="DM927" t="s">
        <v>125</v>
      </c>
      <c r="DN927" t="s">
        <v>125</v>
      </c>
      <c r="DO927" t="s">
        <v>125</v>
      </c>
      <c r="DQ927" t="s">
        <v>126</v>
      </c>
    </row>
    <row r="928" spans="1:121" x14ac:dyDescent="0.15">
      <c r="A928">
        <v>2018</v>
      </c>
      <c r="B928" t="s">
        <v>217</v>
      </c>
      <c r="C928" t="str">
        <f>"1420011"</f>
        <v>1420011</v>
      </c>
      <c r="D928" t="s">
        <v>1078</v>
      </c>
      <c r="E928" t="str">
        <f>"1426111"</f>
        <v>1426111</v>
      </c>
      <c r="F928" t="s">
        <v>328</v>
      </c>
      <c r="G928">
        <v>9</v>
      </c>
      <c r="H928">
        <v>12</v>
      </c>
      <c r="J928" t="s">
        <v>331</v>
      </c>
      <c r="K928">
        <v>1261.151656</v>
      </c>
      <c r="L928">
        <v>1450</v>
      </c>
      <c r="M928">
        <v>86.975976000000003</v>
      </c>
      <c r="N928">
        <v>1</v>
      </c>
      <c r="O928">
        <v>0</v>
      </c>
      <c r="P928">
        <v>65.824073999999996</v>
      </c>
      <c r="Q928">
        <v>131.64814799999999</v>
      </c>
      <c r="R928">
        <v>150</v>
      </c>
      <c r="S928">
        <v>55.427778000000004</v>
      </c>
      <c r="T928">
        <v>67.680555999999996</v>
      </c>
      <c r="U928">
        <v>110.85555600000001</v>
      </c>
      <c r="V928">
        <v>150</v>
      </c>
      <c r="W928">
        <v>68.092592999999994</v>
      </c>
      <c r="X928">
        <v>136.18518499999999</v>
      </c>
      <c r="Y928">
        <v>150</v>
      </c>
      <c r="Z928">
        <v>70.332341</v>
      </c>
      <c r="AA928">
        <v>55.55</v>
      </c>
      <c r="AB928">
        <v>111.1</v>
      </c>
      <c r="AC928">
        <v>150</v>
      </c>
      <c r="AD928">
        <v>69.833639000000005</v>
      </c>
      <c r="AE928">
        <v>93.111518000000004</v>
      </c>
      <c r="AF928">
        <v>100</v>
      </c>
      <c r="AG928">
        <v>56.496886000000003</v>
      </c>
      <c r="AH928">
        <v>72.215200999999993</v>
      </c>
      <c r="AI928">
        <v>75.329182000000003</v>
      </c>
      <c r="AJ928">
        <v>100</v>
      </c>
      <c r="AK928">
        <v>12.25</v>
      </c>
      <c r="AL928">
        <v>14.78</v>
      </c>
      <c r="AM928">
        <v>15.71</v>
      </c>
      <c r="AN928" t="s">
        <v>125</v>
      </c>
      <c r="AO928" t="s">
        <v>125</v>
      </c>
      <c r="AP928" t="s">
        <v>125</v>
      </c>
      <c r="AQ928" t="s">
        <v>125</v>
      </c>
      <c r="AR928" t="s">
        <v>125</v>
      </c>
      <c r="AS928" t="s">
        <v>125</v>
      </c>
      <c r="AT928" t="s">
        <v>125</v>
      </c>
      <c r="AU928" t="s">
        <v>125</v>
      </c>
      <c r="AV928" t="s">
        <v>125</v>
      </c>
      <c r="AW928" t="s">
        <v>125</v>
      </c>
      <c r="AX928" t="s">
        <v>125</v>
      </c>
      <c r="AY928" t="s">
        <v>125</v>
      </c>
      <c r="AZ928" t="s">
        <v>125</v>
      </c>
      <c r="BA928" t="s">
        <v>125</v>
      </c>
      <c r="BB928" t="s">
        <v>125</v>
      </c>
      <c r="BC928" t="s">
        <v>125</v>
      </c>
      <c r="BD928" t="s">
        <v>125</v>
      </c>
      <c r="BE928" t="s">
        <v>125</v>
      </c>
      <c r="BF928" t="s">
        <v>125</v>
      </c>
      <c r="BG928" t="s">
        <v>125</v>
      </c>
      <c r="BH928">
        <v>0</v>
      </c>
      <c r="BI928">
        <v>0.98522200000000004</v>
      </c>
      <c r="BJ928">
        <v>0.96969700000000003</v>
      </c>
      <c r="BK928">
        <v>0.98823499999999997</v>
      </c>
      <c r="BL928">
        <v>0.98522200000000004</v>
      </c>
      <c r="BM928">
        <v>0.96969700000000003</v>
      </c>
      <c r="BN928">
        <v>0.98823499999999997</v>
      </c>
      <c r="BO928">
        <v>0.98522200000000004</v>
      </c>
      <c r="BP928">
        <v>0.96969700000000003</v>
      </c>
      <c r="BQ928">
        <v>0.98823499999999997</v>
      </c>
      <c r="BR928">
        <v>5.2239000000000001E-2</v>
      </c>
      <c r="BS928">
        <v>49.552239</v>
      </c>
      <c r="BT928">
        <v>50</v>
      </c>
      <c r="BU928">
        <v>0.121212</v>
      </c>
      <c r="BV928">
        <v>35.757576</v>
      </c>
      <c r="BW928">
        <v>50</v>
      </c>
      <c r="BX928">
        <v>0.76515200000000005</v>
      </c>
      <c r="BY928">
        <v>50</v>
      </c>
      <c r="BZ928">
        <v>50</v>
      </c>
      <c r="CA928">
        <v>0.709596</v>
      </c>
      <c r="CB928">
        <v>47.306396999999997</v>
      </c>
      <c r="CC928">
        <v>50</v>
      </c>
      <c r="CD928">
        <v>0.99481900000000001</v>
      </c>
      <c r="CE928">
        <v>50</v>
      </c>
      <c r="CF928">
        <v>50</v>
      </c>
      <c r="CG928">
        <v>0.99024400000000001</v>
      </c>
      <c r="CH928">
        <v>100</v>
      </c>
      <c r="CI928">
        <v>100</v>
      </c>
      <c r="CJ928">
        <v>0</v>
      </c>
      <c r="CK928">
        <v>0.95</v>
      </c>
      <c r="CL928">
        <v>100</v>
      </c>
      <c r="CM928">
        <v>100</v>
      </c>
      <c r="CN928">
        <v>0.84313700000000003</v>
      </c>
      <c r="CO928">
        <v>100</v>
      </c>
      <c r="CP928">
        <v>100</v>
      </c>
      <c r="CQ928">
        <v>0.46534700000000001</v>
      </c>
      <c r="CR928">
        <v>0.93953500000000001</v>
      </c>
      <c r="CS928">
        <v>31.023102000000002</v>
      </c>
      <c r="CT928">
        <v>50</v>
      </c>
      <c r="CU928">
        <v>0.47139300000000001</v>
      </c>
      <c r="CV928">
        <v>39.282753</v>
      </c>
      <c r="CW928">
        <v>50</v>
      </c>
      <c r="CX928">
        <v>0.95</v>
      </c>
      <c r="CY928">
        <v>0.94</v>
      </c>
      <c r="CZ928">
        <v>-0.01</v>
      </c>
      <c r="DA928">
        <v>15.314097</v>
      </c>
      <c r="DB928">
        <v>17.400950000000002</v>
      </c>
      <c r="DC928">
        <v>16.332519999999999</v>
      </c>
      <c r="DD928">
        <v>7.9891730000000001</v>
      </c>
      <c r="DE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Q928" t="s">
        <v>126</v>
      </c>
    </row>
    <row r="929" spans="1:121" x14ac:dyDescent="0.15">
      <c r="A929">
        <v>2018</v>
      </c>
      <c r="B929" t="s">
        <v>217</v>
      </c>
      <c r="C929" t="str">
        <f>"1420011"</f>
        <v>1420011</v>
      </c>
      <c r="D929" t="s">
        <v>1079</v>
      </c>
      <c r="E929" t="str">
        <f>"1420211"</f>
        <v>1420211</v>
      </c>
      <c r="F929" t="s">
        <v>328</v>
      </c>
      <c r="G929">
        <v>3</v>
      </c>
      <c r="H929">
        <v>5</v>
      </c>
      <c r="I929" t="s">
        <v>330</v>
      </c>
      <c r="J929" t="s">
        <v>331</v>
      </c>
      <c r="K929">
        <v>628.83394699999997</v>
      </c>
      <c r="L929">
        <v>850</v>
      </c>
      <c r="M929">
        <v>73.980463999999998</v>
      </c>
      <c r="N929">
        <v>3</v>
      </c>
      <c r="O929">
        <v>0</v>
      </c>
      <c r="P929">
        <v>74.265445</v>
      </c>
      <c r="Q929">
        <v>49.510297000000001</v>
      </c>
      <c r="R929">
        <v>50</v>
      </c>
      <c r="S929">
        <v>63.486738000000003</v>
      </c>
      <c r="T929">
        <v>75</v>
      </c>
      <c r="U929">
        <v>42.324491999999999</v>
      </c>
      <c r="V929">
        <v>50</v>
      </c>
      <c r="W929">
        <v>70.742362999999997</v>
      </c>
      <c r="X929">
        <v>47.161574999999999</v>
      </c>
      <c r="Y929">
        <v>50</v>
      </c>
      <c r="Z929">
        <v>75</v>
      </c>
      <c r="AA929">
        <v>59.437041999999998</v>
      </c>
      <c r="AB929">
        <v>39.624695000000003</v>
      </c>
      <c r="AC929">
        <v>50</v>
      </c>
      <c r="AD929">
        <v>74.648765999999995</v>
      </c>
      <c r="AE929">
        <v>49.765844000000001</v>
      </c>
      <c r="AF929">
        <v>50</v>
      </c>
      <c r="AG929">
        <v>61.827956999999998</v>
      </c>
      <c r="AH929">
        <v>75</v>
      </c>
      <c r="AI929">
        <v>41.218637999999999</v>
      </c>
      <c r="AJ929">
        <v>50</v>
      </c>
      <c r="AK929">
        <v>11.51</v>
      </c>
      <c r="AL929">
        <v>15.56</v>
      </c>
      <c r="AM929">
        <v>13.17</v>
      </c>
      <c r="AN929">
        <v>0.57815399999999995</v>
      </c>
      <c r="AO929">
        <v>57.815413999999997</v>
      </c>
      <c r="AP929">
        <v>100</v>
      </c>
      <c r="AQ929">
        <v>0.661771</v>
      </c>
      <c r="AR929">
        <v>66.177119000000005</v>
      </c>
      <c r="AS929">
        <v>100</v>
      </c>
      <c r="AT929">
        <v>0.55892500000000001</v>
      </c>
      <c r="AU929">
        <v>0.58584599999999998</v>
      </c>
      <c r="AV929">
        <v>55.892533</v>
      </c>
      <c r="AW929">
        <v>100</v>
      </c>
      <c r="AX929">
        <v>0.63927599999999996</v>
      </c>
      <c r="AY929">
        <v>0.67076899999999995</v>
      </c>
      <c r="AZ929">
        <v>63.927627999999999</v>
      </c>
      <c r="BA929">
        <v>100</v>
      </c>
      <c r="BB929" t="s">
        <v>125</v>
      </c>
      <c r="BC929" t="s">
        <v>125</v>
      </c>
      <c r="BD929" t="s">
        <v>125</v>
      </c>
      <c r="BE929" t="s">
        <v>125</v>
      </c>
      <c r="BF929" t="s">
        <v>125</v>
      </c>
      <c r="BG929" t="s">
        <v>125</v>
      </c>
      <c r="BH929">
        <v>1</v>
      </c>
      <c r="BI929">
        <v>0.98262499999999997</v>
      </c>
      <c r="BJ929">
        <v>0.98064499999999999</v>
      </c>
      <c r="BK929">
        <v>0.98347099999999998</v>
      </c>
      <c r="BL929">
        <v>0.98262499999999997</v>
      </c>
      <c r="BM929">
        <v>0.98064499999999999</v>
      </c>
      <c r="BN929">
        <v>0.98347099999999998</v>
      </c>
      <c r="BO929">
        <v>0.97837799999999997</v>
      </c>
      <c r="BP929">
        <v>0.94</v>
      </c>
      <c r="BQ929">
        <v>0.99259299999999995</v>
      </c>
      <c r="BR929">
        <v>2.7132E-2</v>
      </c>
      <c r="BS929">
        <v>50</v>
      </c>
      <c r="BT929">
        <v>50</v>
      </c>
      <c r="BU929">
        <v>5.2631999999999998E-2</v>
      </c>
      <c r="BV929">
        <v>49.473683999999999</v>
      </c>
      <c r="BW929">
        <v>50</v>
      </c>
      <c r="BX929" t="s">
        <v>125</v>
      </c>
      <c r="BY929" t="s">
        <v>125</v>
      </c>
      <c r="BZ929" t="s">
        <v>125</v>
      </c>
      <c r="CA929" t="s">
        <v>125</v>
      </c>
      <c r="CB929" t="s">
        <v>125</v>
      </c>
      <c r="CC929" t="s">
        <v>125</v>
      </c>
      <c r="CD929" t="s">
        <v>125</v>
      </c>
      <c r="CE929" t="s">
        <v>125</v>
      </c>
      <c r="CF929" t="s">
        <v>125</v>
      </c>
      <c r="CG929" t="s">
        <v>125</v>
      </c>
      <c r="CH929" t="s">
        <v>125</v>
      </c>
      <c r="CI929" t="s">
        <v>125</v>
      </c>
      <c r="CJ929" t="s">
        <v>125</v>
      </c>
      <c r="CK929" t="s">
        <v>125</v>
      </c>
      <c r="CL929" t="s">
        <v>125</v>
      </c>
      <c r="CM929" t="s">
        <v>125</v>
      </c>
      <c r="CN929" t="s">
        <v>125</v>
      </c>
      <c r="CO929" t="s">
        <v>125</v>
      </c>
      <c r="CP929" t="s">
        <v>125</v>
      </c>
      <c r="CQ929">
        <v>0.23913000000000001</v>
      </c>
      <c r="CR929">
        <v>0.96335099999999996</v>
      </c>
      <c r="CS929">
        <v>15.942029</v>
      </c>
      <c r="CT929">
        <v>50</v>
      </c>
      <c r="CU929" t="s">
        <v>125</v>
      </c>
      <c r="CV929" t="s">
        <v>125</v>
      </c>
      <c r="CW929" t="s">
        <v>125</v>
      </c>
      <c r="CX929" t="s">
        <v>125</v>
      </c>
      <c r="CY929" t="s">
        <v>125</v>
      </c>
      <c r="CZ929" t="s">
        <v>125</v>
      </c>
      <c r="DA929">
        <v>15.314097</v>
      </c>
      <c r="DB929">
        <v>17.400950000000002</v>
      </c>
      <c r="DC929">
        <v>16.332519999999999</v>
      </c>
      <c r="DD929" t="s">
        <v>125</v>
      </c>
      <c r="DE929">
        <v>1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Q929" t="s">
        <v>126</v>
      </c>
    </row>
    <row r="930" spans="1:121" x14ac:dyDescent="0.15">
      <c r="A930">
        <v>2018</v>
      </c>
      <c r="B930" t="s">
        <v>217</v>
      </c>
      <c r="C930" t="str">
        <f>"1420011"</f>
        <v>1420011</v>
      </c>
      <c r="D930" t="s">
        <v>1080</v>
      </c>
      <c r="E930" t="str">
        <f>"1425111"</f>
        <v>1425111</v>
      </c>
      <c r="F930" t="s">
        <v>328</v>
      </c>
      <c r="G930">
        <v>6</v>
      </c>
      <c r="H930">
        <v>8</v>
      </c>
      <c r="J930" t="s">
        <v>331</v>
      </c>
      <c r="K930">
        <v>645.55137300000001</v>
      </c>
      <c r="L930">
        <v>900</v>
      </c>
      <c r="M930">
        <v>71.727930000000001</v>
      </c>
      <c r="N930">
        <v>3</v>
      </c>
      <c r="O930">
        <v>1</v>
      </c>
      <c r="P930">
        <v>72.329020999999997</v>
      </c>
      <c r="Q930">
        <v>48.219346999999999</v>
      </c>
      <c r="R930">
        <v>50</v>
      </c>
      <c r="S930">
        <v>57.530987000000003</v>
      </c>
      <c r="T930">
        <v>75</v>
      </c>
      <c r="U930">
        <v>38.353991000000001</v>
      </c>
      <c r="V930">
        <v>50</v>
      </c>
      <c r="W930">
        <v>70.003145000000004</v>
      </c>
      <c r="X930">
        <v>46.668762999999998</v>
      </c>
      <c r="Y930">
        <v>50</v>
      </c>
      <c r="Z930">
        <v>75</v>
      </c>
      <c r="AA930">
        <v>53.692968999999998</v>
      </c>
      <c r="AB930">
        <v>35.795313</v>
      </c>
      <c r="AC930">
        <v>50</v>
      </c>
      <c r="AD930">
        <v>73.601901999999995</v>
      </c>
      <c r="AE930">
        <v>49.067934999999999</v>
      </c>
      <c r="AF930">
        <v>50</v>
      </c>
      <c r="AG930">
        <v>61.212842000000002</v>
      </c>
      <c r="AH930">
        <v>75</v>
      </c>
      <c r="AI930">
        <v>40.808560999999997</v>
      </c>
      <c r="AJ930">
        <v>50</v>
      </c>
      <c r="AK930">
        <v>17.46</v>
      </c>
      <c r="AL930">
        <v>21.3</v>
      </c>
      <c r="AM930">
        <v>13.78</v>
      </c>
      <c r="AN930">
        <v>0.50605800000000001</v>
      </c>
      <c r="AO930">
        <v>50.605803999999999</v>
      </c>
      <c r="AP930">
        <v>100</v>
      </c>
      <c r="AQ930">
        <v>0.68096599999999996</v>
      </c>
      <c r="AR930">
        <v>68.096639999999994</v>
      </c>
      <c r="AS930">
        <v>100</v>
      </c>
      <c r="AT930">
        <v>0.40184399999999998</v>
      </c>
      <c r="AU930">
        <v>0.53613999999999995</v>
      </c>
      <c r="AV930">
        <v>40.184449000000001</v>
      </c>
      <c r="AW930">
        <v>100</v>
      </c>
      <c r="AX930">
        <v>0.48648799999999998</v>
      </c>
      <c r="AY930">
        <v>0.73703700000000005</v>
      </c>
      <c r="AZ930">
        <v>48.648817999999999</v>
      </c>
      <c r="BA930">
        <v>100</v>
      </c>
      <c r="BB930" t="s">
        <v>125</v>
      </c>
      <c r="BC930" t="s">
        <v>125</v>
      </c>
      <c r="BD930" t="s">
        <v>125</v>
      </c>
      <c r="BE930" t="s">
        <v>125</v>
      </c>
      <c r="BF930" t="s">
        <v>125</v>
      </c>
      <c r="BG930" t="s">
        <v>125</v>
      </c>
      <c r="BH930">
        <v>1</v>
      </c>
      <c r="BI930">
        <v>0.91652199999999995</v>
      </c>
      <c r="BJ930">
        <v>0.90714300000000003</v>
      </c>
      <c r="BK930">
        <v>0.91954000000000002</v>
      </c>
      <c r="BL930">
        <v>0.90782600000000002</v>
      </c>
      <c r="BM930">
        <v>0.89285700000000001</v>
      </c>
      <c r="BN930">
        <v>0.91264400000000001</v>
      </c>
      <c r="BO930">
        <v>0.76683900000000005</v>
      </c>
      <c r="BP930">
        <v>0.78947400000000001</v>
      </c>
      <c r="BQ930">
        <v>0.76129000000000002</v>
      </c>
      <c r="BR930">
        <v>2.4306000000000001E-2</v>
      </c>
      <c r="BS930">
        <v>50</v>
      </c>
      <c r="BT930">
        <v>50</v>
      </c>
      <c r="BU930">
        <v>6.5693000000000001E-2</v>
      </c>
      <c r="BV930">
        <v>46.861314</v>
      </c>
      <c r="BW930">
        <v>50</v>
      </c>
      <c r="BX930" t="s">
        <v>125</v>
      </c>
      <c r="BY930" t="s">
        <v>125</v>
      </c>
      <c r="BZ930" t="s">
        <v>125</v>
      </c>
      <c r="CA930" t="s">
        <v>125</v>
      </c>
      <c r="CB930" t="s">
        <v>125</v>
      </c>
      <c r="CC930" t="s">
        <v>125</v>
      </c>
      <c r="CD930">
        <v>1</v>
      </c>
      <c r="CE930">
        <v>50</v>
      </c>
      <c r="CF930">
        <v>50</v>
      </c>
      <c r="CG930" t="s">
        <v>125</v>
      </c>
      <c r="CH930" t="s">
        <v>125</v>
      </c>
      <c r="CI930" t="s">
        <v>125</v>
      </c>
      <c r="CJ930" t="s">
        <v>125</v>
      </c>
      <c r="CK930" t="s">
        <v>125</v>
      </c>
      <c r="CL930" t="s">
        <v>125</v>
      </c>
      <c r="CM930" t="s">
        <v>125</v>
      </c>
      <c r="CN930" t="s">
        <v>125</v>
      </c>
      <c r="CO930" t="s">
        <v>125</v>
      </c>
      <c r="CP930" t="s">
        <v>125</v>
      </c>
      <c r="CQ930">
        <v>0.48360700000000001</v>
      </c>
      <c r="CR930">
        <v>0.94573600000000002</v>
      </c>
      <c r="CS930">
        <v>32.240437</v>
      </c>
      <c r="CT930">
        <v>50</v>
      </c>
      <c r="CU930" t="s">
        <v>125</v>
      </c>
      <c r="CV930" t="s">
        <v>125</v>
      </c>
      <c r="CW930" t="s">
        <v>125</v>
      </c>
      <c r="CX930" t="s">
        <v>125</v>
      </c>
      <c r="CY930" t="s">
        <v>125</v>
      </c>
      <c r="CZ930" t="s">
        <v>125</v>
      </c>
      <c r="DA930">
        <v>15.314097</v>
      </c>
      <c r="DB930">
        <v>17.400950000000002</v>
      </c>
      <c r="DC930">
        <v>16.332519999999999</v>
      </c>
      <c r="DD930" t="s">
        <v>125</v>
      </c>
      <c r="DE930">
        <v>1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Q930" t="s">
        <v>126</v>
      </c>
    </row>
    <row r="931" spans="1:121" x14ac:dyDescent="0.15">
      <c r="A931">
        <v>2018</v>
      </c>
      <c r="B931" t="s">
        <v>187</v>
      </c>
      <c r="C931" t="str">
        <f t="shared" ref="C931:C936" si="41">"1430011"</f>
        <v>1430011</v>
      </c>
      <c r="D931" t="s">
        <v>1081</v>
      </c>
      <c r="E931" t="str">
        <f>"1430211"</f>
        <v>1430211</v>
      </c>
      <c r="F931" t="s">
        <v>328</v>
      </c>
      <c r="G931">
        <v>4</v>
      </c>
      <c r="H931">
        <v>5</v>
      </c>
      <c r="I931" t="s">
        <v>330</v>
      </c>
      <c r="J931" t="s">
        <v>331</v>
      </c>
      <c r="K931">
        <v>608.22526700000003</v>
      </c>
      <c r="L931">
        <v>950</v>
      </c>
      <c r="M931">
        <v>64.023712000000003</v>
      </c>
      <c r="N931">
        <v>3</v>
      </c>
      <c r="O931">
        <v>0</v>
      </c>
      <c r="P931">
        <v>64.786641000000003</v>
      </c>
      <c r="Q931">
        <v>43.191094</v>
      </c>
      <c r="R931">
        <v>50</v>
      </c>
      <c r="S931">
        <v>61.242544000000002</v>
      </c>
      <c r="T931">
        <v>73.701688000000004</v>
      </c>
      <c r="U931">
        <v>40.828363000000003</v>
      </c>
      <c r="V931">
        <v>50</v>
      </c>
      <c r="W931">
        <v>59.725951000000002</v>
      </c>
      <c r="X931">
        <v>39.817301</v>
      </c>
      <c r="Y931">
        <v>50</v>
      </c>
      <c r="Z931">
        <v>68.566922000000005</v>
      </c>
      <c r="AA931">
        <v>56.196838999999997</v>
      </c>
      <c r="AB931">
        <v>37.464559000000001</v>
      </c>
      <c r="AC931">
        <v>50</v>
      </c>
      <c r="AD931">
        <v>64.434766999999994</v>
      </c>
      <c r="AE931">
        <v>42.956510999999999</v>
      </c>
      <c r="AF931">
        <v>50</v>
      </c>
      <c r="AG931">
        <v>59.922682999999999</v>
      </c>
      <c r="AH931">
        <v>74.962963000000002</v>
      </c>
      <c r="AI931">
        <v>39.948455000000003</v>
      </c>
      <c r="AJ931">
        <v>50</v>
      </c>
      <c r="AK931">
        <v>12.45</v>
      </c>
      <c r="AL931">
        <v>12.37</v>
      </c>
      <c r="AM931">
        <v>15.04</v>
      </c>
      <c r="AN931">
        <v>0.50968899999999995</v>
      </c>
      <c r="AO931">
        <v>50.968854999999998</v>
      </c>
      <c r="AP931">
        <v>100</v>
      </c>
      <c r="AQ931">
        <v>0.54772100000000001</v>
      </c>
      <c r="AR931">
        <v>54.772117000000001</v>
      </c>
      <c r="AS931">
        <v>100</v>
      </c>
      <c r="AT931">
        <v>0.48179</v>
      </c>
      <c r="AU931">
        <v>0.57587299999999997</v>
      </c>
      <c r="AV931">
        <v>48.179020999999999</v>
      </c>
      <c r="AW931">
        <v>100</v>
      </c>
      <c r="AX931">
        <v>0.50763899999999995</v>
      </c>
      <c r="AY931">
        <v>0.64238399999999996</v>
      </c>
      <c r="AZ931">
        <v>50.763865000000003</v>
      </c>
      <c r="BA931">
        <v>100</v>
      </c>
      <c r="BB931">
        <v>0.70266300000000004</v>
      </c>
      <c r="BC931">
        <v>35.133141000000002</v>
      </c>
      <c r="BD931">
        <v>50</v>
      </c>
      <c r="BE931">
        <v>0.65145600000000004</v>
      </c>
      <c r="BF931">
        <v>32.572794000000002</v>
      </c>
      <c r="BG931">
        <v>50</v>
      </c>
      <c r="BH931">
        <v>0</v>
      </c>
      <c r="BI931">
        <v>0.98333300000000001</v>
      </c>
      <c r="BJ931">
        <v>0.98823499999999997</v>
      </c>
      <c r="BK931">
        <v>0.97142899999999999</v>
      </c>
      <c r="BL931">
        <v>0.98050099999999996</v>
      </c>
      <c r="BM931">
        <v>0.98431400000000002</v>
      </c>
      <c r="BN931">
        <v>0.97115399999999996</v>
      </c>
      <c r="BO931">
        <v>0.98429299999999997</v>
      </c>
      <c r="BP931">
        <v>0.98473299999999997</v>
      </c>
      <c r="BQ931">
        <v>0.98333300000000001</v>
      </c>
      <c r="BR931">
        <v>9.7492999999999996E-2</v>
      </c>
      <c r="BS931">
        <v>40.501393</v>
      </c>
      <c r="BT931">
        <v>50</v>
      </c>
      <c r="BU931">
        <v>0.117647</v>
      </c>
      <c r="BV931">
        <v>36.470587999999999</v>
      </c>
      <c r="BW931">
        <v>50</v>
      </c>
      <c r="BX931" t="s">
        <v>125</v>
      </c>
      <c r="BY931" t="s">
        <v>125</v>
      </c>
      <c r="BZ931" t="s">
        <v>125</v>
      </c>
      <c r="CA931" t="s">
        <v>125</v>
      </c>
      <c r="CB931" t="s">
        <v>125</v>
      </c>
      <c r="CC931" t="s">
        <v>125</v>
      </c>
      <c r="CD931" t="s">
        <v>125</v>
      </c>
      <c r="CE931" t="s">
        <v>125</v>
      </c>
      <c r="CF931" t="s">
        <v>125</v>
      </c>
      <c r="CG931" t="s">
        <v>125</v>
      </c>
      <c r="CH931" t="s">
        <v>125</v>
      </c>
      <c r="CI931" t="s">
        <v>125</v>
      </c>
      <c r="CJ931" t="s">
        <v>125</v>
      </c>
      <c r="CK931" t="s">
        <v>125</v>
      </c>
      <c r="CL931" t="s">
        <v>125</v>
      </c>
      <c r="CM931" t="s">
        <v>125</v>
      </c>
      <c r="CN931" t="s">
        <v>125</v>
      </c>
      <c r="CO931" t="s">
        <v>125</v>
      </c>
      <c r="CP931" t="s">
        <v>125</v>
      </c>
      <c r="CQ931">
        <v>0.439716</v>
      </c>
      <c r="CR931">
        <v>0.82941200000000004</v>
      </c>
      <c r="CS931">
        <v>14.657209999999999</v>
      </c>
      <c r="CT931">
        <v>50</v>
      </c>
      <c r="CU931" t="s">
        <v>125</v>
      </c>
      <c r="CV931" t="s">
        <v>125</v>
      </c>
      <c r="CW931" t="s">
        <v>125</v>
      </c>
      <c r="CX931" t="s">
        <v>125</v>
      </c>
      <c r="CY931" t="s">
        <v>125</v>
      </c>
      <c r="CZ931" t="s">
        <v>125</v>
      </c>
      <c r="DA931">
        <v>15.314097</v>
      </c>
      <c r="DB931">
        <v>17.400950000000002</v>
      </c>
      <c r="DC931">
        <v>16.332519999999999</v>
      </c>
      <c r="DD931" t="s">
        <v>125</v>
      </c>
      <c r="DE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Q931" t="s">
        <v>126</v>
      </c>
    </row>
    <row r="932" spans="1:121" x14ac:dyDescent="0.15">
      <c r="A932">
        <v>2018</v>
      </c>
      <c r="B932" t="s">
        <v>187</v>
      </c>
      <c r="C932" t="str">
        <f t="shared" si="41"/>
        <v>1430011</v>
      </c>
      <c r="D932" t="s">
        <v>1082</v>
      </c>
      <c r="E932" t="str">
        <f>"1430811"</f>
        <v>1430811</v>
      </c>
      <c r="F932" t="s">
        <v>328</v>
      </c>
      <c r="G932">
        <v>4</v>
      </c>
      <c r="H932">
        <v>5</v>
      </c>
      <c r="I932" t="s">
        <v>330</v>
      </c>
      <c r="J932" t="s">
        <v>331</v>
      </c>
      <c r="K932">
        <v>629.82181600000001</v>
      </c>
      <c r="L932">
        <v>950</v>
      </c>
      <c r="M932">
        <v>66.297032999999999</v>
      </c>
      <c r="N932">
        <v>3</v>
      </c>
      <c r="O932">
        <v>0</v>
      </c>
      <c r="P932">
        <v>66.581227999999996</v>
      </c>
      <c r="Q932">
        <v>44.387486000000003</v>
      </c>
      <c r="R932">
        <v>50</v>
      </c>
      <c r="S932">
        <v>63.768816999999999</v>
      </c>
      <c r="T932">
        <v>75</v>
      </c>
      <c r="U932">
        <v>42.512545000000003</v>
      </c>
      <c r="V932">
        <v>50</v>
      </c>
      <c r="W932">
        <v>61.627158000000001</v>
      </c>
      <c r="X932">
        <v>41.084772000000001</v>
      </c>
      <c r="Y932">
        <v>50</v>
      </c>
      <c r="Z932">
        <v>70.750223000000005</v>
      </c>
      <c r="AA932">
        <v>59.396189999999997</v>
      </c>
      <c r="AB932">
        <v>39.597459999999998</v>
      </c>
      <c r="AC932">
        <v>50</v>
      </c>
      <c r="AD932">
        <v>63.998491999999999</v>
      </c>
      <c r="AE932">
        <v>42.665661</v>
      </c>
      <c r="AF932">
        <v>50</v>
      </c>
      <c r="AG932">
        <v>61.241934999999998</v>
      </c>
      <c r="AH932">
        <v>75</v>
      </c>
      <c r="AI932">
        <v>40.827956999999998</v>
      </c>
      <c r="AJ932">
        <v>50</v>
      </c>
      <c r="AK932">
        <v>11.23</v>
      </c>
      <c r="AL932">
        <v>11.35</v>
      </c>
      <c r="AM932">
        <v>13.75</v>
      </c>
      <c r="AN932">
        <v>0.530362</v>
      </c>
      <c r="AO932">
        <v>53.036169999999998</v>
      </c>
      <c r="AP932">
        <v>100</v>
      </c>
      <c r="AQ932">
        <v>0.599997</v>
      </c>
      <c r="AR932">
        <v>59.999715999999999</v>
      </c>
      <c r="AS932">
        <v>100</v>
      </c>
      <c r="AT932">
        <v>0.49332999999999999</v>
      </c>
      <c r="AU932">
        <v>0.66224700000000003</v>
      </c>
      <c r="AV932">
        <v>49.332976000000002</v>
      </c>
      <c r="AW932">
        <v>100</v>
      </c>
      <c r="AX932">
        <v>0.56772299999999998</v>
      </c>
      <c r="AY932">
        <v>0.71494000000000002</v>
      </c>
      <c r="AZ932">
        <v>56.772258000000001</v>
      </c>
      <c r="BA932">
        <v>100</v>
      </c>
      <c r="BB932">
        <v>0.43800600000000001</v>
      </c>
      <c r="BC932">
        <v>21.900279999999999</v>
      </c>
      <c r="BD932">
        <v>50</v>
      </c>
      <c r="BE932">
        <v>0.63017100000000004</v>
      </c>
      <c r="BF932">
        <v>31.508557</v>
      </c>
      <c r="BG932">
        <v>50</v>
      </c>
      <c r="BH932">
        <v>0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0.108197</v>
      </c>
      <c r="BS932">
        <v>38.360655999999999</v>
      </c>
      <c r="BT932">
        <v>50</v>
      </c>
      <c r="BU932">
        <v>0.12748999999999999</v>
      </c>
      <c r="BV932">
        <v>34.501992000000001</v>
      </c>
      <c r="BW932">
        <v>50</v>
      </c>
      <c r="BX932" t="s">
        <v>125</v>
      </c>
      <c r="BY932" t="s">
        <v>125</v>
      </c>
      <c r="BZ932" t="s">
        <v>125</v>
      </c>
      <c r="CA932" t="s">
        <v>125</v>
      </c>
      <c r="CB932" t="s">
        <v>125</v>
      </c>
      <c r="CC932" t="s">
        <v>125</v>
      </c>
      <c r="CD932" t="s">
        <v>125</v>
      </c>
      <c r="CE932" t="s">
        <v>125</v>
      </c>
      <c r="CF932" t="s">
        <v>125</v>
      </c>
      <c r="CG932" t="s">
        <v>125</v>
      </c>
      <c r="CH932" t="s">
        <v>125</v>
      </c>
      <c r="CI932" t="s">
        <v>125</v>
      </c>
      <c r="CJ932" t="s">
        <v>125</v>
      </c>
      <c r="CK932" t="s">
        <v>125</v>
      </c>
      <c r="CL932" t="s">
        <v>125</v>
      </c>
      <c r="CM932" t="s">
        <v>125</v>
      </c>
      <c r="CN932" t="s">
        <v>125</v>
      </c>
      <c r="CO932" t="s">
        <v>125</v>
      </c>
      <c r="CP932" t="s">
        <v>125</v>
      </c>
      <c r="CQ932">
        <v>0.5</v>
      </c>
      <c r="CR932">
        <v>0.98734200000000005</v>
      </c>
      <c r="CS932">
        <v>33.333333000000003</v>
      </c>
      <c r="CT932">
        <v>50</v>
      </c>
      <c r="CU932" t="s">
        <v>125</v>
      </c>
      <c r="CV932" t="s">
        <v>125</v>
      </c>
      <c r="CW932" t="s">
        <v>125</v>
      </c>
      <c r="CX932" t="s">
        <v>125</v>
      </c>
      <c r="CY932" t="s">
        <v>125</v>
      </c>
      <c r="CZ932" t="s">
        <v>125</v>
      </c>
      <c r="DA932">
        <v>15.314097</v>
      </c>
      <c r="DB932">
        <v>17.400950000000002</v>
      </c>
      <c r="DC932">
        <v>16.332519999999999</v>
      </c>
      <c r="DD932" t="s">
        <v>125</v>
      </c>
      <c r="DE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Q932" t="s">
        <v>126</v>
      </c>
    </row>
    <row r="933" spans="1:121" x14ac:dyDescent="0.15">
      <c r="A933">
        <v>2018</v>
      </c>
      <c r="B933" t="s">
        <v>187</v>
      </c>
      <c r="C933" t="str">
        <f t="shared" si="41"/>
        <v>1430011</v>
      </c>
      <c r="D933" t="s">
        <v>1083</v>
      </c>
      <c r="E933" t="str">
        <f>"1430911"</f>
        <v>1430911</v>
      </c>
      <c r="F933" t="s">
        <v>328</v>
      </c>
      <c r="G933" t="s">
        <v>339</v>
      </c>
      <c r="H933">
        <v>3</v>
      </c>
      <c r="J933" t="s">
        <v>331</v>
      </c>
      <c r="K933">
        <v>455.11089900000002</v>
      </c>
      <c r="L933">
        <v>600</v>
      </c>
      <c r="M933">
        <v>75.851816999999997</v>
      </c>
      <c r="N933">
        <v>2</v>
      </c>
      <c r="O933">
        <v>0</v>
      </c>
      <c r="P933">
        <v>66.142674999999997</v>
      </c>
      <c r="Q933">
        <v>88.190234000000004</v>
      </c>
      <c r="R933">
        <v>100</v>
      </c>
      <c r="S933">
        <v>62.572878000000003</v>
      </c>
      <c r="T933">
        <v>73.853437999999997</v>
      </c>
      <c r="U933">
        <v>83.430503000000002</v>
      </c>
      <c r="V933">
        <v>100</v>
      </c>
      <c r="W933">
        <v>60.781703999999998</v>
      </c>
      <c r="X933">
        <v>81.042271999999997</v>
      </c>
      <c r="Y933">
        <v>100</v>
      </c>
      <c r="Z933">
        <v>67.344443999999996</v>
      </c>
      <c r="AA933">
        <v>57.743397999999999</v>
      </c>
      <c r="AB933">
        <v>76.991197999999997</v>
      </c>
      <c r="AC933">
        <v>100</v>
      </c>
      <c r="AD933" t="s">
        <v>125</v>
      </c>
      <c r="AE933" t="s">
        <v>125</v>
      </c>
      <c r="AF933" t="s">
        <v>125</v>
      </c>
      <c r="AG933" t="s">
        <v>125</v>
      </c>
      <c r="AH933" t="s">
        <v>125</v>
      </c>
      <c r="AI933" t="s">
        <v>125</v>
      </c>
      <c r="AJ933" t="s">
        <v>125</v>
      </c>
      <c r="AK933">
        <v>11.28</v>
      </c>
      <c r="AL933">
        <v>9.6</v>
      </c>
      <c r="AM933" t="s">
        <v>125</v>
      </c>
      <c r="AN933" t="s">
        <v>125</v>
      </c>
      <c r="AO933" t="s">
        <v>125</v>
      </c>
      <c r="AP933" t="s">
        <v>125</v>
      </c>
      <c r="AQ933" t="s">
        <v>125</v>
      </c>
      <c r="AR933" t="s">
        <v>125</v>
      </c>
      <c r="AS933" t="s">
        <v>125</v>
      </c>
      <c r="AT933" t="s">
        <v>125</v>
      </c>
      <c r="AU933" t="s">
        <v>125</v>
      </c>
      <c r="AV933" t="s">
        <v>125</v>
      </c>
      <c r="AW933" t="s">
        <v>125</v>
      </c>
      <c r="AX933" t="s">
        <v>125</v>
      </c>
      <c r="AY933" t="s">
        <v>125</v>
      </c>
      <c r="AZ933" t="s">
        <v>125</v>
      </c>
      <c r="BA933" t="s">
        <v>125</v>
      </c>
      <c r="BB933">
        <v>0.54045600000000005</v>
      </c>
      <c r="BC933">
        <v>27.022787999999998</v>
      </c>
      <c r="BD933">
        <v>50</v>
      </c>
      <c r="BE933">
        <v>0.47880600000000001</v>
      </c>
      <c r="BF933">
        <v>23.940314999999998</v>
      </c>
      <c r="BG933">
        <v>50</v>
      </c>
      <c r="BH933">
        <v>0</v>
      </c>
      <c r="BI933">
        <v>0.99390199999999995</v>
      </c>
      <c r="BJ933">
        <v>0.99090900000000004</v>
      </c>
      <c r="BK933">
        <v>1</v>
      </c>
      <c r="BL933">
        <v>0.99390199999999995</v>
      </c>
      <c r="BM933">
        <v>0.99090900000000004</v>
      </c>
      <c r="BN933">
        <v>1</v>
      </c>
      <c r="BO933" t="s">
        <v>125</v>
      </c>
      <c r="BP933" t="s">
        <v>125</v>
      </c>
      <c r="BQ933" t="s">
        <v>125</v>
      </c>
      <c r="BR933">
        <v>0.104615</v>
      </c>
      <c r="BS933">
        <v>39.076923000000001</v>
      </c>
      <c r="BT933">
        <v>50</v>
      </c>
      <c r="BU933">
        <v>0.122917</v>
      </c>
      <c r="BV933">
        <v>35.416666999999997</v>
      </c>
      <c r="BW933">
        <v>50</v>
      </c>
      <c r="BX933" t="s">
        <v>125</v>
      </c>
      <c r="BY933" t="s">
        <v>125</v>
      </c>
      <c r="BZ933" t="s">
        <v>125</v>
      </c>
      <c r="CA933" t="s">
        <v>125</v>
      </c>
      <c r="CB933" t="s">
        <v>125</v>
      </c>
      <c r="CC933" t="s">
        <v>125</v>
      </c>
      <c r="CD933" t="s">
        <v>125</v>
      </c>
      <c r="CE933" t="s">
        <v>125</v>
      </c>
      <c r="CF933" t="s">
        <v>125</v>
      </c>
      <c r="CG933" t="s">
        <v>125</v>
      </c>
      <c r="CH933" t="s">
        <v>125</v>
      </c>
      <c r="CI933" t="s">
        <v>125</v>
      </c>
      <c r="CJ933" t="s">
        <v>125</v>
      </c>
      <c r="CK933" t="s">
        <v>125</v>
      </c>
      <c r="CL933" t="s">
        <v>125</v>
      </c>
      <c r="CM933" t="s">
        <v>125</v>
      </c>
      <c r="CN933" t="s">
        <v>125</v>
      </c>
      <c r="CO933" t="s">
        <v>125</v>
      </c>
      <c r="CP933" t="s">
        <v>125</v>
      </c>
      <c r="CQ933" t="s">
        <v>125</v>
      </c>
      <c r="CR933" t="s">
        <v>125</v>
      </c>
      <c r="CS933" t="s">
        <v>125</v>
      </c>
      <c r="CT933" t="s">
        <v>125</v>
      </c>
      <c r="CU933" t="s">
        <v>125</v>
      </c>
      <c r="CV933" t="s">
        <v>125</v>
      </c>
      <c r="CW933" t="s">
        <v>125</v>
      </c>
      <c r="CX933" t="s">
        <v>125</v>
      </c>
      <c r="CY933" t="s">
        <v>125</v>
      </c>
      <c r="CZ933" t="s">
        <v>125</v>
      </c>
      <c r="DA933">
        <v>15.314097</v>
      </c>
      <c r="DB933">
        <v>17.400950000000002</v>
      </c>
      <c r="DC933">
        <v>16.332519999999999</v>
      </c>
      <c r="DD933" t="s">
        <v>125</v>
      </c>
      <c r="DE933">
        <v>0</v>
      </c>
      <c r="DH933" t="s">
        <v>332</v>
      </c>
      <c r="DI933" t="s">
        <v>946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1</v>
      </c>
      <c r="DQ933" t="s">
        <v>126</v>
      </c>
    </row>
    <row r="934" spans="1:121" x14ac:dyDescent="0.15">
      <c r="A934">
        <v>2018</v>
      </c>
      <c r="B934" t="s">
        <v>187</v>
      </c>
      <c r="C934" t="str">
        <f t="shared" si="41"/>
        <v>1430011</v>
      </c>
      <c r="D934" t="s">
        <v>1084</v>
      </c>
      <c r="E934" t="str">
        <f>"1436111"</f>
        <v>1436111</v>
      </c>
      <c r="F934" t="s">
        <v>328</v>
      </c>
      <c r="G934">
        <v>9</v>
      </c>
      <c r="H934">
        <v>12</v>
      </c>
      <c r="J934" t="s">
        <v>331</v>
      </c>
      <c r="K934">
        <v>1029.1040370000001</v>
      </c>
      <c r="L934">
        <v>1550</v>
      </c>
      <c r="M934">
        <v>66.393809000000005</v>
      </c>
      <c r="N934">
        <v>3</v>
      </c>
      <c r="O934">
        <v>1</v>
      </c>
      <c r="P934">
        <v>52.912036999999998</v>
      </c>
      <c r="Q934">
        <v>105.824074</v>
      </c>
      <c r="R934">
        <v>150</v>
      </c>
      <c r="S934">
        <v>46.369615000000003</v>
      </c>
      <c r="T934">
        <v>62.071429000000002</v>
      </c>
      <c r="U934">
        <v>92.739228999999995</v>
      </c>
      <c r="V934">
        <v>150</v>
      </c>
      <c r="W934">
        <v>48.375991999999997</v>
      </c>
      <c r="X934">
        <v>96.751983999999993</v>
      </c>
      <c r="Y934">
        <v>150</v>
      </c>
      <c r="Z934">
        <v>54.607143000000001</v>
      </c>
      <c r="AA934">
        <v>43.925170000000001</v>
      </c>
      <c r="AB934">
        <v>87.850340000000003</v>
      </c>
      <c r="AC934">
        <v>150</v>
      </c>
      <c r="AD934">
        <v>47.994886999999999</v>
      </c>
      <c r="AE934">
        <v>63.993183000000002</v>
      </c>
      <c r="AF934">
        <v>100</v>
      </c>
      <c r="AG934">
        <v>44.597200000000001</v>
      </c>
      <c r="AH934">
        <v>52.751648000000003</v>
      </c>
      <c r="AI934">
        <v>59.462933999999997</v>
      </c>
      <c r="AJ934">
        <v>100</v>
      </c>
      <c r="AK934">
        <v>15.7</v>
      </c>
      <c r="AL934">
        <v>10.68</v>
      </c>
      <c r="AM934">
        <v>8.15</v>
      </c>
      <c r="AN934" t="s">
        <v>125</v>
      </c>
      <c r="AO934" t="s">
        <v>125</v>
      </c>
      <c r="AP934" t="s">
        <v>125</v>
      </c>
      <c r="AQ934" t="s">
        <v>125</v>
      </c>
      <c r="AR934" t="s">
        <v>125</v>
      </c>
      <c r="AS934" t="s">
        <v>125</v>
      </c>
      <c r="AT934" t="s">
        <v>125</v>
      </c>
      <c r="AU934" t="s">
        <v>125</v>
      </c>
      <c r="AV934" t="s">
        <v>125</v>
      </c>
      <c r="AW934" t="s">
        <v>125</v>
      </c>
      <c r="AX934" t="s">
        <v>125</v>
      </c>
      <c r="AY934" t="s">
        <v>125</v>
      </c>
      <c r="AZ934" t="s">
        <v>125</v>
      </c>
      <c r="BA934" t="s">
        <v>125</v>
      </c>
      <c r="BB934">
        <v>0.265982</v>
      </c>
      <c r="BC934">
        <v>13.299085</v>
      </c>
      <c r="BD934">
        <v>50</v>
      </c>
      <c r="BE934">
        <v>0.49259700000000001</v>
      </c>
      <c r="BF934">
        <v>24.629842</v>
      </c>
      <c r="BG934">
        <v>50</v>
      </c>
      <c r="BH934">
        <v>0</v>
      </c>
      <c r="BI934">
        <v>0.96791400000000005</v>
      </c>
      <c r="BJ934">
        <v>0.95575200000000005</v>
      </c>
      <c r="BK934">
        <v>0.98648599999999997</v>
      </c>
      <c r="BL934">
        <v>0.96791400000000005</v>
      </c>
      <c r="BM934">
        <v>0.95575200000000005</v>
      </c>
      <c r="BN934">
        <v>0.98648599999999997</v>
      </c>
      <c r="BO934">
        <v>0.97326199999999996</v>
      </c>
      <c r="BP934">
        <v>0.96460199999999996</v>
      </c>
      <c r="BQ934">
        <v>0.98648599999999997</v>
      </c>
      <c r="BR934">
        <v>0.11432</v>
      </c>
      <c r="BS934">
        <v>37.135981000000001</v>
      </c>
      <c r="BT934">
        <v>50</v>
      </c>
      <c r="BU934">
        <v>0.15596299999999999</v>
      </c>
      <c r="BV934">
        <v>28.807338999999999</v>
      </c>
      <c r="BW934">
        <v>50</v>
      </c>
      <c r="BX934">
        <v>0.88174799999999998</v>
      </c>
      <c r="BY934">
        <v>50</v>
      </c>
      <c r="BZ934">
        <v>50</v>
      </c>
      <c r="CA934">
        <v>0.25192799999999999</v>
      </c>
      <c r="CB934">
        <v>16.795200999999999</v>
      </c>
      <c r="CC934">
        <v>50</v>
      </c>
      <c r="CD934">
        <v>0.80155600000000005</v>
      </c>
      <c r="CE934">
        <v>42.635980000000004</v>
      </c>
      <c r="CF934">
        <v>50</v>
      </c>
      <c r="CG934">
        <v>0.83913000000000004</v>
      </c>
      <c r="CH934">
        <v>89.269194999999996</v>
      </c>
      <c r="CI934">
        <v>100</v>
      </c>
      <c r="CJ934">
        <v>1</v>
      </c>
      <c r="CK934">
        <v>0.77124199999999998</v>
      </c>
      <c r="CL934">
        <v>82.047003000000004</v>
      </c>
      <c r="CM934">
        <v>100</v>
      </c>
      <c r="CN934">
        <v>0.61194000000000004</v>
      </c>
      <c r="CO934">
        <v>81.592039999999997</v>
      </c>
      <c r="CP934">
        <v>100</v>
      </c>
      <c r="CQ934">
        <v>0.37623800000000002</v>
      </c>
      <c r="CR934">
        <v>0.52061900000000005</v>
      </c>
      <c r="CS934">
        <v>6.2706270000000002</v>
      </c>
      <c r="CT934">
        <v>50</v>
      </c>
      <c r="CU934">
        <v>0.67990399999999995</v>
      </c>
      <c r="CV934">
        <v>50</v>
      </c>
      <c r="CW934">
        <v>50</v>
      </c>
      <c r="CX934">
        <v>0.77124199999999998</v>
      </c>
      <c r="CY934">
        <v>0.94</v>
      </c>
      <c r="CZ934">
        <v>0.16875799999999999</v>
      </c>
      <c r="DA934">
        <v>15.314097</v>
      </c>
      <c r="DB934">
        <v>17.400950000000002</v>
      </c>
      <c r="DC934">
        <v>16.332519999999999</v>
      </c>
      <c r="DD934">
        <v>7.9891730000000001</v>
      </c>
      <c r="DE934">
        <v>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Q934" t="s">
        <v>126</v>
      </c>
    </row>
    <row r="935" spans="1:121" x14ac:dyDescent="0.15">
      <c r="A935">
        <v>2018</v>
      </c>
      <c r="B935" t="s">
        <v>187</v>
      </c>
      <c r="C935" t="str">
        <f t="shared" si="41"/>
        <v>1430011</v>
      </c>
      <c r="D935" t="s">
        <v>1085</v>
      </c>
      <c r="E935" t="str">
        <f>"1435111"</f>
        <v>1435111</v>
      </c>
      <c r="F935" t="s">
        <v>328</v>
      </c>
      <c r="G935">
        <v>6</v>
      </c>
      <c r="H935">
        <v>8</v>
      </c>
      <c r="J935" t="s">
        <v>331</v>
      </c>
      <c r="K935">
        <v>625.78438100000005</v>
      </c>
      <c r="L935">
        <v>1000</v>
      </c>
      <c r="M935">
        <v>62.578437999999998</v>
      </c>
      <c r="N935">
        <v>3</v>
      </c>
      <c r="O935">
        <v>0</v>
      </c>
      <c r="P935">
        <v>61.399417</v>
      </c>
      <c r="Q935">
        <v>40.932944999999997</v>
      </c>
      <c r="R935">
        <v>50</v>
      </c>
      <c r="S935">
        <v>56.806587</v>
      </c>
      <c r="T935">
        <v>70.732757000000007</v>
      </c>
      <c r="U935">
        <v>37.871057999999998</v>
      </c>
      <c r="V935">
        <v>50</v>
      </c>
      <c r="W935">
        <v>53.423966999999998</v>
      </c>
      <c r="X935">
        <v>35.615977999999998</v>
      </c>
      <c r="Y935">
        <v>50</v>
      </c>
      <c r="Z935">
        <v>63.438952</v>
      </c>
      <c r="AA935">
        <v>48.472025000000002</v>
      </c>
      <c r="AB935">
        <v>32.314683000000002</v>
      </c>
      <c r="AC935">
        <v>50</v>
      </c>
      <c r="AD935">
        <v>59.325803000000001</v>
      </c>
      <c r="AE935">
        <v>39.550536000000001</v>
      </c>
      <c r="AF935">
        <v>50</v>
      </c>
      <c r="AG935">
        <v>55.073301999999998</v>
      </c>
      <c r="AH935">
        <v>66.943327999999994</v>
      </c>
      <c r="AI935">
        <v>36.715535000000003</v>
      </c>
      <c r="AJ935">
        <v>50</v>
      </c>
      <c r="AK935">
        <v>13.92</v>
      </c>
      <c r="AL935">
        <v>14.96</v>
      </c>
      <c r="AM935">
        <v>11.87</v>
      </c>
      <c r="AN935">
        <v>0.539211</v>
      </c>
      <c r="AO935">
        <v>53.921073999999997</v>
      </c>
      <c r="AP935">
        <v>100</v>
      </c>
      <c r="AQ935">
        <v>0.57434200000000002</v>
      </c>
      <c r="AR935">
        <v>57.434185999999997</v>
      </c>
      <c r="AS935">
        <v>100</v>
      </c>
      <c r="AT935">
        <v>0.52357100000000001</v>
      </c>
      <c r="AU935">
        <v>0.56866099999999997</v>
      </c>
      <c r="AV935">
        <v>52.357140999999999</v>
      </c>
      <c r="AW935">
        <v>100</v>
      </c>
      <c r="AX935">
        <v>0.55971400000000004</v>
      </c>
      <c r="AY935">
        <v>0.601657</v>
      </c>
      <c r="AZ935">
        <v>55.971378999999999</v>
      </c>
      <c r="BA935">
        <v>100</v>
      </c>
      <c r="BB935">
        <v>0.57359099999999996</v>
      </c>
      <c r="BC935">
        <v>28.679565</v>
      </c>
      <c r="BD935">
        <v>50</v>
      </c>
      <c r="BE935">
        <v>0.59045499999999995</v>
      </c>
      <c r="BF935">
        <v>29.522766000000001</v>
      </c>
      <c r="BG935">
        <v>50</v>
      </c>
      <c r="BH935">
        <v>0</v>
      </c>
      <c r="BI935">
        <v>0.98116899999999996</v>
      </c>
      <c r="BJ935">
        <v>0.98370400000000002</v>
      </c>
      <c r="BK935">
        <v>0.97604800000000003</v>
      </c>
      <c r="BL935">
        <v>0.98017799999999999</v>
      </c>
      <c r="BM935">
        <v>0.98219599999999996</v>
      </c>
      <c r="BN935">
        <v>0.97611899999999996</v>
      </c>
      <c r="BO935">
        <v>0.97667599999999999</v>
      </c>
      <c r="BP935">
        <v>0.97757799999999995</v>
      </c>
      <c r="BQ935">
        <v>0.97499999999999998</v>
      </c>
      <c r="BR935">
        <v>0.120159</v>
      </c>
      <c r="BS935">
        <v>35.968221999999997</v>
      </c>
      <c r="BT935">
        <v>50</v>
      </c>
      <c r="BU935">
        <v>0.15709999999999999</v>
      </c>
      <c r="BV935">
        <v>28.58006</v>
      </c>
      <c r="BW935">
        <v>50</v>
      </c>
      <c r="BX935" t="s">
        <v>125</v>
      </c>
      <c r="BY935" t="s">
        <v>125</v>
      </c>
      <c r="BZ935" t="s">
        <v>125</v>
      </c>
      <c r="CA935" t="s">
        <v>125</v>
      </c>
      <c r="CB935" t="s">
        <v>125</v>
      </c>
      <c r="CC935" t="s">
        <v>125</v>
      </c>
      <c r="CD935">
        <v>0.91591599999999995</v>
      </c>
      <c r="CE935">
        <v>48.718932000000002</v>
      </c>
      <c r="CF935">
        <v>50</v>
      </c>
      <c r="CG935" t="s">
        <v>125</v>
      </c>
      <c r="CH935" t="s">
        <v>125</v>
      </c>
      <c r="CI935" t="s">
        <v>125</v>
      </c>
      <c r="CJ935" t="s">
        <v>125</v>
      </c>
      <c r="CK935" t="s">
        <v>125</v>
      </c>
      <c r="CL935" t="s">
        <v>125</v>
      </c>
      <c r="CM935" t="s">
        <v>125</v>
      </c>
      <c r="CN935" t="s">
        <v>125</v>
      </c>
      <c r="CO935" t="s">
        <v>125</v>
      </c>
      <c r="CP935" t="s">
        <v>125</v>
      </c>
      <c r="CQ935">
        <v>0.174455</v>
      </c>
      <c r="CR935">
        <v>0.94690300000000005</v>
      </c>
      <c r="CS935">
        <v>11.630322</v>
      </c>
      <c r="CT935">
        <v>50</v>
      </c>
      <c r="CU935" t="s">
        <v>125</v>
      </c>
      <c r="CV935" t="s">
        <v>125</v>
      </c>
      <c r="CW935" t="s">
        <v>125</v>
      </c>
      <c r="CX935" t="s">
        <v>125</v>
      </c>
      <c r="CY935" t="s">
        <v>125</v>
      </c>
      <c r="CZ935" t="s">
        <v>125</v>
      </c>
      <c r="DA935">
        <v>15.314097</v>
      </c>
      <c r="DB935">
        <v>17.400950000000002</v>
      </c>
      <c r="DC935">
        <v>16.332519999999999</v>
      </c>
      <c r="DD935" t="s">
        <v>125</v>
      </c>
      <c r="DE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Q935" t="s">
        <v>126</v>
      </c>
    </row>
    <row r="936" spans="1:121" x14ac:dyDescent="0.15">
      <c r="A936">
        <v>2018</v>
      </c>
      <c r="B936" t="s">
        <v>187</v>
      </c>
      <c r="C936" t="str">
        <f t="shared" si="41"/>
        <v>1430011</v>
      </c>
      <c r="D936" t="s">
        <v>1086</v>
      </c>
      <c r="E936" t="str">
        <f>"1431311"</f>
        <v>1431311</v>
      </c>
      <c r="F936" t="s">
        <v>328</v>
      </c>
      <c r="G936" t="s">
        <v>339</v>
      </c>
      <c r="H936">
        <v>3</v>
      </c>
      <c r="I936" t="s">
        <v>330</v>
      </c>
      <c r="J936" t="s">
        <v>331</v>
      </c>
      <c r="K936">
        <v>456.812838</v>
      </c>
      <c r="L936">
        <v>600</v>
      </c>
      <c r="M936">
        <v>76.135473000000005</v>
      </c>
      <c r="N936">
        <v>2</v>
      </c>
      <c r="O936">
        <v>0</v>
      </c>
      <c r="P936">
        <v>65.940770000000001</v>
      </c>
      <c r="Q936">
        <v>87.921025999999998</v>
      </c>
      <c r="R936">
        <v>100</v>
      </c>
      <c r="S936">
        <v>62.661312000000002</v>
      </c>
      <c r="T936">
        <v>75</v>
      </c>
      <c r="U936">
        <v>83.548416000000003</v>
      </c>
      <c r="V936">
        <v>100</v>
      </c>
      <c r="W936">
        <v>58.593107000000003</v>
      </c>
      <c r="X936">
        <v>78.124143000000004</v>
      </c>
      <c r="Y936">
        <v>100</v>
      </c>
      <c r="Z936">
        <v>69.498457000000002</v>
      </c>
      <c r="AA936">
        <v>55.064906000000001</v>
      </c>
      <c r="AB936">
        <v>73.419873999999993</v>
      </c>
      <c r="AC936">
        <v>100</v>
      </c>
      <c r="AD936" t="s">
        <v>125</v>
      </c>
      <c r="AE936" t="s">
        <v>125</v>
      </c>
      <c r="AF936" t="s">
        <v>125</v>
      </c>
      <c r="AG936" t="s">
        <v>125</v>
      </c>
      <c r="AH936" t="s">
        <v>125</v>
      </c>
      <c r="AI936" t="s">
        <v>125</v>
      </c>
      <c r="AJ936" t="s">
        <v>125</v>
      </c>
      <c r="AK936">
        <v>12.33</v>
      </c>
      <c r="AL936">
        <v>14.43</v>
      </c>
      <c r="AM936" t="s">
        <v>125</v>
      </c>
      <c r="AN936" t="s">
        <v>125</v>
      </c>
      <c r="AO936" t="s">
        <v>125</v>
      </c>
      <c r="AP936" t="s">
        <v>125</v>
      </c>
      <c r="AQ936" t="s">
        <v>125</v>
      </c>
      <c r="AR936" t="s">
        <v>125</v>
      </c>
      <c r="AS936" t="s">
        <v>125</v>
      </c>
      <c r="AT936" t="s">
        <v>125</v>
      </c>
      <c r="AU936" t="s">
        <v>125</v>
      </c>
      <c r="AV936" t="s">
        <v>125</v>
      </c>
      <c r="AW936" t="s">
        <v>125</v>
      </c>
      <c r="AX936" t="s">
        <v>125</v>
      </c>
      <c r="AY936" t="s">
        <v>125</v>
      </c>
      <c r="AZ936" t="s">
        <v>125</v>
      </c>
      <c r="BA936" t="s">
        <v>125</v>
      </c>
      <c r="BB936">
        <v>0.65087600000000001</v>
      </c>
      <c r="BC936">
        <v>32.543805999999996</v>
      </c>
      <c r="BD936">
        <v>50</v>
      </c>
      <c r="BE936">
        <v>0.48988399999999999</v>
      </c>
      <c r="BF936">
        <v>24.494192000000002</v>
      </c>
      <c r="BG936">
        <v>50</v>
      </c>
      <c r="BH936">
        <v>0</v>
      </c>
      <c r="BI936">
        <v>0.99346400000000001</v>
      </c>
      <c r="BJ936">
        <v>0.99107100000000004</v>
      </c>
      <c r="BK936">
        <v>1</v>
      </c>
      <c r="BL936">
        <v>0.99346400000000001</v>
      </c>
      <c r="BM936">
        <v>0.99107100000000004</v>
      </c>
      <c r="BN936">
        <v>1</v>
      </c>
      <c r="BO936" t="s">
        <v>125</v>
      </c>
      <c r="BP936" t="s">
        <v>125</v>
      </c>
      <c r="BQ936" t="s">
        <v>125</v>
      </c>
      <c r="BR936">
        <v>9.8545999999999995E-2</v>
      </c>
      <c r="BS936">
        <v>40.290792000000003</v>
      </c>
      <c r="BT936">
        <v>50</v>
      </c>
      <c r="BU936">
        <v>0.117647</v>
      </c>
      <c r="BV936">
        <v>36.470587999999999</v>
      </c>
      <c r="BW936">
        <v>50</v>
      </c>
      <c r="BX936" t="s">
        <v>125</v>
      </c>
      <c r="BY936" t="s">
        <v>125</v>
      </c>
      <c r="BZ936" t="s">
        <v>125</v>
      </c>
      <c r="CA936" t="s">
        <v>125</v>
      </c>
      <c r="CB936" t="s">
        <v>125</v>
      </c>
      <c r="CC936" t="s">
        <v>125</v>
      </c>
      <c r="CD936" t="s">
        <v>125</v>
      </c>
      <c r="CE936" t="s">
        <v>125</v>
      </c>
      <c r="CF936" t="s">
        <v>125</v>
      </c>
      <c r="CG936" t="s">
        <v>125</v>
      </c>
      <c r="CH936" t="s">
        <v>125</v>
      </c>
      <c r="CI936" t="s">
        <v>125</v>
      </c>
      <c r="CJ936" t="s">
        <v>125</v>
      </c>
      <c r="CK936" t="s">
        <v>125</v>
      </c>
      <c r="CL936" t="s">
        <v>125</v>
      </c>
      <c r="CM936" t="s">
        <v>125</v>
      </c>
      <c r="CN936" t="s">
        <v>125</v>
      </c>
      <c r="CO936" t="s">
        <v>125</v>
      </c>
      <c r="CP936" t="s">
        <v>125</v>
      </c>
      <c r="CQ936" t="s">
        <v>125</v>
      </c>
      <c r="CR936" t="s">
        <v>125</v>
      </c>
      <c r="CS936" t="s">
        <v>125</v>
      </c>
      <c r="CT936" t="s">
        <v>125</v>
      </c>
      <c r="CU936" t="s">
        <v>125</v>
      </c>
      <c r="CV936" t="s">
        <v>125</v>
      </c>
      <c r="CW936" t="s">
        <v>125</v>
      </c>
      <c r="CX936" t="s">
        <v>125</v>
      </c>
      <c r="CY936" t="s">
        <v>125</v>
      </c>
      <c r="CZ936" t="s">
        <v>125</v>
      </c>
      <c r="DA936">
        <v>15.314097</v>
      </c>
      <c r="DB936">
        <v>17.400950000000002</v>
      </c>
      <c r="DC936">
        <v>16.332519999999999</v>
      </c>
      <c r="DD936" t="s">
        <v>125</v>
      </c>
      <c r="DE936">
        <v>0</v>
      </c>
      <c r="DH936" t="s">
        <v>332</v>
      </c>
      <c r="DI936" t="s">
        <v>946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1</v>
      </c>
      <c r="DQ936" t="s">
        <v>126</v>
      </c>
    </row>
    <row r="937" spans="1:121" x14ac:dyDescent="0.15">
      <c r="A937">
        <v>2018</v>
      </c>
      <c r="B937" t="s">
        <v>200</v>
      </c>
      <c r="C937" t="str">
        <f t="shared" ref="C937:C945" si="42">"1440011"</f>
        <v>1440011</v>
      </c>
      <c r="D937" t="s">
        <v>989</v>
      </c>
      <c r="E937" t="str">
        <f>"1440111"</f>
        <v>1440111</v>
      </c>
      <c r="F937" t="s">
        <v>328</v>
      </c>
      <c r="G937" t="s">
        <v>339</v>
      </c>
      <c r="H937">
        <v>5</v>
      </c>
      <c r="J937" t="s">
        <v>331</v>
      </c>
      <c r="K937">
        <v>824.53903600000001</v>
      </c>
      <c r="L937">
        <v>950</v>
      </c>
      <c r="M937">
        <v>86.793582999999998</v>
      </c>
      <c r="N937">
        <v>1</v>
      </c>
      <c r="O937">
        <v>0</v>
      </c>
      <c r="P937">
        <v>82.151028999999994</v>
      </c>
      <c r="Q937">
        <v>50</v>
      </c>
      <c r="R937">
        <v>50</v>
      </c>
      <c r="S937">
        <v>74.461247</v>
      </c>
      <c r="T937">
        <v>75</v>
      </c>
      <c r="U937">
        <v>49.640830999999999</v>
      </c>
      <c r="V937">
        <v>50</v>
      </c>
      <c r="W937">
        <v>79.376779999999997</v>
      </c>
      <c r="X937">
        <v>50</v>
      </c>
      <c r="Y937">
        <v>50</v>
      </c>
      <c r="Z937">
        <v>75</v>
      </c>
      <c r="AA937">
        <v>73.818568999999997</v>
      </c>
      <c r="AB937">
        <v>49.212380000000003</v>
      </c>
      <c r="AC937">
        <v>50</v>
      </c>
      <c r="AD937">
        <v>80.870217999999994</v>
      </c>
      <c r="AE937">
        <v>50</v>
      </c>
      <c r="AF937">
        <v>50</v>
      </c>
      <c r="AG937">
        <v>78.835904999999997</v>
      </c>
      <c r="AH937">
        <v>75</v>
      </c>
      <c r="AI937">
        <v>50</v>
      </c>
      <c r="AJ937">
        <v>50</v>
      </c>
      <c r="AK937">
        <v>0.53</v>
      </c>
      <c r="AL937">
        <v>1.18</v>
      </c>
      <c r="AM937">
        <v>-3.83</v>
      </c>
      <c r="AN937">
        <v>0.82245299999999999</v>
      </c>
      <c r="AO937">
        <v>82.245330999999993</v>
      </c>
      <c r="AP937">
        <v>100</v>
      </c>
      <c r="AQ937">
        <v>0.78367100000000001</v>
      </c>
      <c r="AR937">
        <v>78.367138999999995</v>
      </c>
      <c r="AS937">
        <v>100</v>
      </c>
      <c r="AT937">
        <v>0.75632699999999997</v>
      </c>
      <c r="AU937">
        <v>0.84212699999999996</v>
      </c>
      <c r="AV937">
        <v>75.632682000000003</v>
      </c>
      <c r="AW937">
        <v>100</v>
      </c>
      <c r="AX937">
        <v>0.73138300000000001</v>
      </c>
      <c r="AY937">
        <v>0.79922800000000005</v>
      </c>
      <c r="AZ937">
        <v>73.138343000000006</v>
      </c>
      <c r="BA937">
        <v>100</v>
      </c>
      <c r="BB937">
        <v>0.85964099999999999</v>
      </c>
      <c r="BC937">
        <v>42.982073999999997</v>
      </c>
      <c r="BD937">
        <v>50</v>
      </c>
      <c r="BE937">
        <v>0.644868</v>
      </c>
      <c r="BF937">
        <v>32.243389000000001</v>
      </c>
      <c r="BG937">
        <v>50</v>
      </c>
      <c r="BH937">
        <v>0</v>
      </c>
      <c r="BI937">
        <v>0.99196799999999996</v>
      </c>
      <c r="BJ937">
        <v>0.98630099999999998</v>
      </c>
      <c r="BK937">
        <v>0.99431800000000004</v>
      </c>
      <c r="BL937">
        <v>0.99196799999999996</v>
      </c>
      <c r="BM937">
        <v>0.98630099999999998</v>
      </c>
      <c r="BN937">
        <v>0.99431800000000004</v>
      </c>
      <c r="BO937">
        <v>0.98863599999999996</v>
      </c>
      <c r="BP937">
        <v>1</v>
      </c>
      <c r="BQ937">
        <v>0.98461500000000002</v>
      </c>
      <c r="BR937">
        <v>4.0084000000000002E-2</v>
      </c>
      <c r="BS937">
        <v>50</v>
      </c>
      <c r="BT937">
        <v>50</v>
      </c>
      <c r="BU937">
        <v>7.2464000000000001E-2</v>
      </c>
      <c r="BV937">
        <v>45.507246000000002</v>
      </c>
      <c r="BW937">
        <v>50</v>
      </c>
      <c r="BX937" t="s">
        <v>125</v>
      </c>
      <c r="BY937" t="s">
        <v>125</v>
      </c>
      <c r="BZ937" t="s">
        <v>125</v>
      </c>
      <c r="CA937" t="s">
        <v>125</v>
      </c>
      <c r="CB937" t="s">
        <v>125</v>
      </c>
      <c r="CC937" t="s">
        <v>125</v>
      </c>
      <c r="CD937" t="s">
        <v>125</v>
      </c>
      <c r="CE937" t="s">
        <v>125</v>
      </c>
      <c r="CF937" t="s">
        <v>125</v>
      </c>
      <c r="CG937" t="s">
        <v>125</v>
      </c>
      <c r="CH937" t="s">
        <v>125</v>
      </c>
      <c r="CI937" t="s">
        <v>125</v>
      </c>
      <c r="CJ937" t="s">
        <v>125</v>
      </c>
      <c r="CK937" t="s">
        <v>125</v>
      </c>
      <c r="CL937" t="s">
        <v>125</v>
      </c>
      <c r="CM937" t="s">
        <v>125</v>
      </c>
      <c r="CN937" t="s">
        <v>125</v>
      </c>
      <c r="CO937" t="s">
        <v>125</v>
      </c>
      <c r="CP937" t="s">
        <v>125</v>
      </c>
      <c r="CQ937">
        <v>0.68354400000000004</v>
      </c>
      <c r="CR937">
        <v>0.98750000000000004</v>
      </c>
      <c r="CS937">
        <v>45.56962</v>
      </c>
      <c r="CT937">
        <v>50</v>
      </c>
      <c r="CU937" t="s">
        <v>125</v>
      </c>
      <c r="CV937" t="s">
        <v>125</v>
      </c>
      <c r="CW937" t="s">
        <v>125</v>
      </c>
      <c r="CX937" t="s">
        <v>125</v>
      </c>
      <c r="CY937" t="s">
        <v>125</v>
      </c>
      <c r="CZ937" t="s">
        <v>125</v>
      </c>
      <c r="DA937">
        <v>15.314097</v>
      </c>
      <c r="DB937">
        <v>17.400950000000002</v>
      </c>
      <c r="DC937">
        <v>16.332519999999999</v>
      </c>
      <c r="DD937" t="s">
        <v>125</v>
      </c>
      <c r="DE937">
        <v>0</v>
      </c>
      <c r="DH937" t="s">
        <v>332</v>
      </c>
      <c r="DI937" t="s">
        <v>451</v>
      </c>
      <c r="DJ937">
        <v>1</v>
      </c>
      <c r="DK937">
        <v>1</v>
      </c>
      <c r="DL937">
        <v>0</v>
      </c>
      <c r="DM937">
        <v>1</v>
      </c>
      <c r="DN937">
        <v>0</v>
      </c>
      <c r="DO937">
        <v>0</v>
      </c>
      <c r="DQ937" t="s">
        <v>126</v>
      </c>
    </row>
    <row r="938" spans="1:121" x14ac:dyDescent="0.15">
      <c r="A938">
        <v>2018</v>
      </c>
      <c r="B938" t="s">
        <v>200</v>
      </c>
      <c r="C938" t="str">
        <f t="shared" si="42"/>
        <v>1440011</v>
      </c>
      <c r="D938" t="s">
        <v>1087</v>
      </c>
      <c r="E938" t="str">
        <f>"1440811"</f>
        <v>1440811</v>
      </c>
      <c r="F938" t="s">
        <v>328</v>
      </c>
      <c r="G938" t="s">
        <v>339</v>
      </c>
      <c r="H938">
        <v>5</v>
      </c>
      <c r="J938" t="s">
        <v>331</v>
      </c>
      <c r="K938">
        <v>724.35623099999998</v>
      </c>
      <c r="L938">
        <v>850</v>
      </c>
      <c r="M938">
        <v>85.218379999999996</v>
      </c>
      <c r="N938">
        <v>1</v>
      </c>
      <c r="O938">
        <v>0</v>
      </c>
      <c r="P938">
        <v>86.490078999999994</v>
      </c>
      <c r="Q938">
        <v>50</v>
      </c>
      <c r="R938">
        <v>50</v>
      </c>
      <c r="S938">
        <v>73.602628999999993</v>
      </c>
      <c r="T938">
        <v>75</v>
      </c>
      <c r="U938">
        <v>49.068420000000003</v>
      </c>
      <c r="V938">
        <v>50</v>
      </c>
      <c r="W938">
        <v>83.928704999999994</v>
      </c>
      <c r="X938">
        <v>50</v>
      </c>
      <c r="Y938">
        <v>50</v>
      </c>
      <c r="Z938">
        <v>75</v>
      </c>
      <c r="AA938">
        <v>74.838978999999995</v>
      </c>
      <c r="AB938">
        <v>49.892653000000003</v>
      </c>
      <c r="AC938">
        <v>50</v>
      </c>
      <c r="AD938">
        <v>82.270471000000001</v>
      </c>
      <c r="AE938">
        <v>50</v>
      </c>
      <c r="AF938">
        <v>50</v>
      </c>
      <c r="AG938">
        <v>71.227418999999998</v>
      </c>
      <c r="AH938">
        <v>75</v>
      </c>
      <c r="AI938">
        <v>47.484946000000001</v>
      </c>
      <c r="AJ938">
        <v>50</v>
      </c>
      <c r="AK938">
        <v>1.39</v>
      </c>
      <c r="AL938">
        <v>0.16</v>
      </c>
      <c r="AM938">
        <v>3.77</v>
      </c>
      <c r="AN938">
        <v>0.78860799999999998</v>
      </c>
      <c r="AO938">
        <v>78.860771</v>
      </c>
      <c r="AP938">
        <v>100</v>
      </c>
      <c r="AQ938">
        <v>0.76981299999999997</v>
      </c>
      <c r="AR938">
        <v>76.981296</v>
      </c>
      <c r="AS938">
        <v>100</v>
      </c>
      <c r="AT938">
        <v>0.60073600000000005</v>
      </c>
      <c r="AU938">
        <v>0.82700499999999999</v>
      </c>
      <c r="AV938">
        <v>60.073599999999999</v>
      </c>
      <c r="AW938">
        <v>100</v>
      </c>
      <c r="AX938">
        <v>0.62198600000000004</v>
      </c>
      <c r="AY938">
        <v>0.80002600000000001</v>
      </c>
      <c r="AZ938">
        <v>62.198627999999999</v>
      </c>
      <c r="BA938">
        <v>100</v>
      </c>
      <c r="BB938" t="s">
        <v>125</v>
      </c>
      <c r="BC938" t="s">
        <v>125</v>
      </c>
      <c r="BD938" t="s">
        <v>125</v>
      </c>
      <c r="BE938" t="s">
        <v>125</v>
      </c>
      <c r="BF938" t="s">
        <v>125</v>
      </c>
      <c r="BG938" t="s">
        <v>125</v>
      </c>
      <c r="BH938">
        <v>0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2.3857E-2</v>
      </c>
      <c r="BS938">
        <v>50</v>
      </c>
      <c r="BT938">
        <v>50</v>
      </c>
      <c r="BU938">
        <v>5.1020000000000003E-2</v>
      </c>
      <c r="BV938">
        <v>49.795918</v>
      </c>
      <c r="BW938">
        <v>50</v>
      </c>
      <c r="BX938" t="s">
        <v>125</v>
      </c>
      <c r="BY938" t="s">
        <v>125</v>
      </c>
      <c r="BZ938" t="s">
        <v>125</v>
      </c>
      <c r="CA938" t="s">
        <v>125</v>
      </c>
      <c r="CB938" t="s">
        <v>125</v>
      </c>
      <c r="CC938" t="s">
        <v>125</v>
      </c>
      <c r="CD938" t="s">
        <v>125</v>
      </c>
      <c r="CE938" t="s">
        <v>125</v>
      </c>
      <c r="CF938" t="s">
        <v>125</v>
      </c>
      <c r="CG938" t="s">
        <v>125</v>
      </c>
      <c r="CH938" t="s">
        <v>125</v>
      </c>
      <c r="CI938" t="s">
        <v>125</v>
      </c>
      <c r="CJ938" t="s">
        <v>125</v>
      </c>
      <c r="CK938" t="s">
        <v>125</v>
      </c>
      <c r="CL938" t="s">
        <v>125</v>
      </c>
      <c r="CM938" t="s">
        <v>125</v>
      </c>
      <c r="CN938" t="s">
        <v>125</v>
      </c>
      <c r="CO938" t="s">
        <v>125</v>
      </c>
      <c r="CP938" t="s">
        <v>125</v>
      </c>
      <c r="CQ938">
        <v>0.85542200000000002</v>
      </c>
      <c r="CR938">
        <v>1</v>
      </c>
      <c r="CS938">
        <v>50</v>
      </c>
      <c r="CT938">
        <v>50</v>
      </c>
      <c r="CU938" t="s">
        <v>125</v>
      </c>
      <c r="CV938" t="s">
        <v>125</v>
      </c>
      <c r="CW938" t="s">
        <v>125</v>
      </c>
      <c r="CX938" t="s">
        <v>125</v>
      </c>
      <c r="CY938" t="s">
        <v>125</v>
      </c>
      <c r="CZ938" t="s">
        <v>125</v>
      </c>
      <c r="DA938">
        <v>15.314097</v>
      </c>
      <c r="DB938">
        <v>17.400950000000002</v>
      </c>
      <c r="DC938">
        <v>16.332519999999999</v>
      </c>
      <c r="DD938" t="s">
        <v>125</v>
      </c>
      <c r="DE938">
        <v>0</v>
      </c>
      <c r="DH938" t="s">
        <v>332</v>
      </c>
      <c r="DI938" t="s">
        <v>501</v>
      </c>
      <c r="DJ938">
        <v>0</v>
      </c>
      <c r="DK938">
        <v>1</v>
      </c>
      <c r="DL938">
        <v>0</v>
      </c>
      <c r="DM938">
        <v>0</v>
      </c>
      <c r="DN938">
        <v>0</v>
      </c>
      <c r="DO938">
        <v>0</v>
      </c>
      <c r="DQ938" t="s">
        <v>126</v>
      </c>
    </row>
    <row r="939" spans="1:121" x14ac:dyDescent="0.15">
      <c r="A939">
        <v>2018</v>
      </c>
      <c r="B939" t="s">
        <v>200</v>
      </c>
      <c r="C939" t="str">
        <f t="shared" si="42"/>
        <v>1440011</v>
      </c>
      <c r="D939" t="s">
        <v>1088</v>
      </c>
      <c r="E939" t="str">
        <f>"1441011"</f>
        <v>1441011</v>
      </c>
      <c r="F939" t="s">
        <v>328</v>
      </c>
      <c r="G939" t="s">
        <v>339</v>
      </c>
      <c r="H939">
        <v>5</v>
      </c>
      <c r="I939" t="s">
        <v>330</v>
      </c>
      <c r="J939" t="s">
        <v>331</v>
      </c>
      <c r="K939">
        <v>751.44709899999998</v>
      </c>
      <c r="L939">
        <v>950</v>
      </c>
      <c r="M939">
        <v>79.099694999999997</v>
      </c>
      <c r="N939">
        <v>2</v>
      </c>
      <c r="O939">
        <v>0</v>
      </c>
      <c r="P939">
        <v>77.583444</v>
      </c>
      <c r="Q939">
        <v>50</v>
      </c>
      <c r="R939">
        <v>50</v>
      </c>
      <c r="S939">
        <v>67.347496000000007</v>
      </c>
      <c r="T939">
        <v>75</v>
      </c>
      <c r="U939">
        <v>44.898330999999999</v>
      </c>
      <c r="V939">
        <v>50</v>
      </c>
      <c r="W939">
        <v>75.023266000000007</v>
      </c>
      <c r="X939">
        <v>50</v>
      </c>
      <c r="Y939">
        <v>50</v>
      </c>
      <c r="Z939">
        <v>75</v>
      </c>
      <c r="AA939">
        <v>67.020668999999998</v>
      </c>
      <c r="AB939">
        <v>44.680446000000003</v>
      </c>
      <c r="AC939">
        <v>50</v>
      </c>
      <c r="AD939">
        <v>73.167084000000003</v>
      </c>
      <c r="AE939">
        <v>48.778055999999999</v>
      </c>
      <c r="AF939">
        <v>50</v>
      </c>
      <c r="AG939">
        <v>62.877507000000001</v>
      </c>
      <c r="AH939">
        <v>75</v>
      </c>
      <c r="AI939">
        <v>41.918337999999999</v>
      </c>
      <c r="AJ939">
        <v>50</v>
      </c>
      <c r="AK939">
        <v>7.65</v>
      </c>
      <c r="AL939">
        <v>7.97</v>
      </c>
      <c r="AM939">
        <v>12.12</v>
      </c>
      <c r="AN939">
        <v>0.66486100000000004</v>
      </c>
      <c r="AO939">
        <v>66.486146000000005</v>
      </c>
      <c r="AP939">
        <v>100</v>
      </c>
      <c r="AQ939">
        <v>0.739456</v>
      </c>
      <c r="AR939">
        <v>73.945611</v>
      </c>
      <c r="AS939">
        <v>100</v>
      </c>
      <c r="AT939">
        <v>0.58708199999999999</v>
      </c>
      <c r="AU939">
        <v>0.70830599999999999</v>
      </c>
      <c r="AV939">
        <v>58.708226000000003</v>
      </c>
      <c r="AW939">
        <v>100</v>
      </c>
      <c r="AX939">
        <v>0.75996900000000001</v>
      </c>
      <c r="AY939">
        <v>0.72799800000000003</v>
      </c>
      <c r="AZ939">
        <v>75.996926999999999</v>
      </c>
      <c r="BA939">
        <v>100</v>
      </c>
      <c r="BB939">
        <v>0.784717</v>
      </c>
      <c r="BC939">
        <v>39.235827999999998</v>
      </c>
      <c r="BD939">
        <v>50</v>
      </c>
      <c r="BE939">
        <v>0.48947800000000002</v>
      </c>
      <c r="BF939">
        <v>24.473897000000001</v>
      </c>
      <c r="BG939">
        <v>50</v>
      </c>
      <c r="BH939">
        <v>0</v>
      </c>
      <c r="BI939">
        <v>1</v>
      </c>
      <c r="BJ939">
        <v>1</v>
      </c>
      <c r="BK939">
        <v>1</v>
      </c>
      <c r="BL939">
        <v>0.99615399999999998</v>
      </c>
      <c r="BM939">
        <v>0.99029100000000003</v>
      </c>
      <c r="BN939">
        <v>1</v>
      </c>
      <c r="BO939">
        <v>0.99065400000000003</v>
      </c>
      <c r="BP939">
        <v>0.97435899999999998</v>
      </c>
      <c r="BQ939">
        <v>1</v>
      </c>
      <c r="BR939">
        <v>4.5999999999999999E-2</v>
      </c>
      <c r="BS939">
        <v>50</v>
      </c>
      <c r="BT939">
        <v>50</v>
      </c>
      <c r="BU939">
        <v>9.1837000000000002E-2</v>
      </c>
      <c r="BV939">
        <v>41.632652999999998</v>
      </c>
      <c r="BW939">
        <v>50</v>
      </c>
      <c r="BX939" t="s">
        <v>125</v>
      </c>
      <c r="BY939" t="s">
        <v>125</v>
      </c>
      <c r="BZ939" t="s">
        <v>125</v>
      </c>
      <c r="CA939" t="s">
        <v>125</v>
      </c>
      <c r="CB939" t="s">
        <v>125</v>
      </c>
      <c r="CC939" t="s">
        <v>125</v>
      </c>
      <c r="CD939" t="s">
        <v>125</v>
      </c>
      <c r="CE939" t="s">
        <v>125</v>
      </c>
      <c r="CF939" t="s">
        <v>125</v>
      </c>
      <c r="CG939" t="s">
        <v>125</v>
      </c>
      <c r="CH939" t="s">
        <v>125</v>
      </c>
      <c r="CI939" t="s">
        <v>125</v>
      </c>
      <c r="CJ939" t="s">
        <v>125</v>
      </c>
      <c r="CK939" t="s">
        <v>125</v>
      </c>
      <c r="CL939" t="s">
        <v>125</v>
      </c>
      <c r="CM939" t="s">
        <v>125</v>
      </c>
      <c r="CN939" t="s">
        <v>125</v>
      </c>
      <c r="CO939" t="s">
        <v>125</v>
      </c>
      <c r="CP939" t="s">
        <v>125</v>
      </c>
      <c r="CQ939">
        <v>0.61038999999999999</v>
      </c>
      <c r="CR939">
        <v>1</v>
      </c>
      <c r="CS939">
        <v>40.692641000000002</v>
      </c>
      <c r="CT939">
        <v>50</v>
      </c>
      <c r="CU939" t="s">
        <v>125</v>
      </c>
      <c r="CV939" t="s">
        <v>125</v>
      </c>
      <c r="CW939" t="s">
        <v>125</v>
      </c>
      <c r="CX939" t="s">
        <v>125</v>
      </c>
      <c r="CY939" t="s">
        <v>125</v>
      </c>
      <c r="CZ939" t="s">
        <v>125</v>
      </c>
      <c r="DA939">
        <v>15.314097</v>
      </c>
      <c r="DB939">
        <v>17.400950000000002</v>
      </c>
      <c r="DC939">
        <v>16.332519999999999</v>
      </c>
      <c r="DD939" t="s">
        <v>125</v>
      </c>
      <c r="DE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Q939" t="s">
        <v>126</v>
      </c>
    </row>
    <row r="940" spans="1:121" x14ac:dyDescent="0.15">
      <c r="A940">
        <v>2018</v>
      </c>
      <c r="B940" t="s">
        <v>200</v>
      </c>
      <c r="C940" t="str">
        <f t="shared" si="42"/>
        <v>1440011</v>
      </c>
      <c r="D940" t="s">
        <v>1089</v>
      </c>
      <c r="E940" t="str">
        <f>"1445211"</f>
        <v>1445211</v>
      </c>
      <c r="F940" t="s">
        <v>328</v>
      </c>
      <c r="G940">
        <v>6</v>
      </c>
      <c r="H940">
        <v>8</v>
      </c>
      <c r="J940" t="s">
        <v>331</v>
      </c>
      <c r="K940">
        <v>757.04716199999996</v>
      </c>
      <c r="L940">
        <v>900</v>
      </c>
      <c r="M940">
        <v>84.116350999999995</v>
      </c>
      <c r="N940">
        <v>2</v>
      </c>
      <c r="O940">
        <v>0</v>
      </c>
      <c r="P940">
        <v>85.881536999999994</v>
      </c>
      <c r="Q940">
        <v>50</v>
      </c>
      <c r="R940">
        <v>50</v>
      </c>
      <c r="S940">
        <v>73.587997999999999</v>
      </c>
      <c r="T940">
        <v>75</v>
      </c>
      <c r="U940">
        <v>49.058664999999998</v>
      </c>
      <c r="V940">
        <v>50</v>
      </c>
      <c r="W940">
        <v>80.810225000000003</v>
      </c>
      <c r="X940">
        <v>50</v>
      </c>
      <c r="Y940">
        <v>50</v>
      </c>
      <c r="Z940">
        <v>75</v>
      </c>
      <c r="AA940">
        <v>67.250613999999999</v>
      </c>
      <c r="AB940">
        <v>44.833742999999998</v>
      </c>
      <c r="AC940">
        <v>50</v>
      </c>
      <c r="AD940">
        <v>81.817240999999996</v>
      </c>
      <c r="AE940">
        <v>50</v>
      </c>
      <c r="AF940">
        <v>50</v>
      </c>
      <c r="AG940">
        <v>68.455172000000005</v>
      </c>
      <c r="AH940">
        <v>75</v>
      </c>
      <c r="AI940">
        <v>45.636781999999997</v>
      </c>
      <c r="AJ940">
        <v>50</v>
      </c>
      <c r="AK940">
        <v>1.41</v>
      </c>
      <c r="AL940">
        <v>7.74</v>
      </c>
      <c r="AM940">
        <v>6.54</v>
      </c>
      <c r="AN940">
        <v>0.70660000000000001</v>
      </c>
      <c r="AO940">
        <v>70.659982999999997</v>
      </c>
      <c r="AP940">
        <v>100</v>
      </c>
      <c r="AQ940">
        <v>0.75859299999999996</v>
      </c>
      <c r="AR940">
        <v>75.859313999999998</v>
      </c>
      <c r="AS940">
        <v>100</v>
      </c>
      <c r="AT940">
        <v>0.63187800000000005</v>
      </c>
      <c r="AU940">
        <v>0.72874000000000005</v>
      </c>
      <c r="AV940">
        <v>63.187779999999997</v>
      </c>
      <c r="AW940">
        <v>100</v>
      </c>
      <c r="AX940">
        <v>0.65816799999999998</v>
      </c>
      <c r="AY940">
        <v>0.78840399999999999</v>
      </c>
      <c r="AZ940">
        <v>65.816792000000007</v>
      </c>
      <c r="BA940">
        <v>100</v>
      </c>
      <c r="BB940" t="s">
        <v>125</v>
      </c>
      <c r="BC940" t="s">
        <v>125</v>
      </c>
      <c r="BD940" t="s">
        <v>125</v>
      </c>
      <c r="BE940" t="s">
        <v>125</v>
      </c>
      <c r="BF940" t="s">
        <v>125</v>
      </c>
      <c r="BG940" t="s">
        <v>125</v>
      </c>
      <c r="BH940">
        <v>0</v>
      </c>
      <c r="BI940">
        <v>0.99449799999999999</v>
      </c>
      <c r="BJ940">
        <v>0.98876399999999998</v>
      </c>
      <c r="BK940">
        <v>0.99635700000000005</v>
      </c>
      <c r="BL940">
        <v>0.99449799999999999</v>
      </c>
      <c r="BM940">
        <v>0.98876399999999998</v>
      </c>
      <c r="BN940">
        <v>0.99635700000000005</v>
      </c>
      <c r="BO940">
        <v>0.99590199999999995</v>
      </c>
      <c r="BP940">
        <v>0.98275900000000005</v>
      </c>
      <c r="BQ940">
        <v>1</v>
      </c>
      <c r="BR940">
        <v>2.7548E-2</v>
      </c>
      <c r="BS940">
        <v>50</v>
      </c>
      <c r="BT940">
        <v>50</v>
      </c>
      <c r="BU940">
        <v>7.1006E-2</v>
      </c>
      <c r="BV940">
        <v>45.798817</v>
      </c>
      <c r="BW940">
        <v>50</v>
      </c>
      <c r="BX940" t="s">
        <v>125</v>
      </c>
      <c r="BY940" t="s">
        <v>125</v>
      </c>
      <c r="BZ940" t="s">
        <v>125</v>
      </c>
      <c r="CA940" t="s">
        <v>125</v>
      </c>
      <c r="CB940" t="s">
        <v>125</v>
      </c>
      <c r="CC940" t="s">
        <v>125</v>
      </c>
      <c r="CD940">
        <v>0.98809499999999995</v>
      </c>
      <c r="CE940">
        <v>50</v>
      </c>
      <c r="CF940">
        <v>50</v>
      </c>
      <c r="CG940" t="s">
        <v>125</v>
      </c>
      <c r="CH940" t="s">
        <v>125</v>
      </c>
      <c r="CI940" t="s">
        <v>125</v>
      </c>
      <c r="CJ940" t="s">
        <v>125</v>
      </c>
      <c r="CK940" t="s">
        <v>125</v>
      </c>
      <c r="CL940" t="s">
        <v>125</v>
      </c>
      <c r="CM940" t="s">
        <v>125</v>
      </c>
      <c r="CN940" t="s">
        <v>125</v>
      </c>
      <c r="CO940" t="s">
        <v>125</v>
      </c>
      <c r="CP940" t="s">
        <v>125</v>
      </c>
      <c r="CQ940">
        <v>0.69292900000000002</v>
      </c>
      <c r="CR940">
        <v>0.99397599999999997</v>
      </c>
      <c r="CS940">
        <v>46.195286000000003</v>
      </c>
      <c r="CT940">
        <v>50</v>
      </c>
      <c r="CU940" t="s">
        <v>125</v>
      </c>
      <c r="CV940" t="s">
        <v>125</v>
      </c>
      <c r="CW940" t="s">
        <v>125</v>
      </c>
      <c r="CX940" t="s">
        <v>125</v>
      </c>
      <c r="CY940" t="s">
        <v>125</v>
      </c>
      <c r="CZ940" t="s">
        <v>125</v>
      </c>
      <c r="DA940">
        <v>15.314097</v>
      </c>
      <c r="DB940">
        <v>17.400950000000002</v>
      </c>
      <c r="DC940">
        <v>16.332519999999999</v>
      </c>
      <c r="DD940" t="s">
        <v>125</v>
      </c>
      <c r="DE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Q940" t="s">
        <v>126</v>
      </c>
    </row>
    <row r="941" spans="1:121" x14ac:dyDescent="0.15">
      <c r="A941">
        <v>2018</v>
      </c>
      <c r="B941" t="s">
        <v>200</v>
      </c>
      <c r="C941" t="str">
        <f t="shared" si="42"/>
        <v>1440011</v>
      </c>
      <c r="D941" t="s">
        <v>1090</v>
      </c>
      <c r="E941" t="str">
        <f>"1440411"</f>
        <v>1440411</v>
      </c>
      <c r="F941" t="s">
        <v>328</v>
      </c>
      <c r="G941" t="s">
        <v>339</v>
      </c>
      <c r="H941">
        <v>5</v>
      </c>
      <c r="J941" t="s">
        <v>331</v>
      </c>
      <c r="K941">
        <v>706.47260400000005</v>
      </c>
      <c r="L941">
        <v>850</v>
      </c>
      <c r="M941">
        <v>83.114424</v>
      </c>
      <c r="N941">
        <v>2</v>
      </c>
      <c r="O941">
        <v>0</v>
      </c>
      <c r="P941">
        <v>81.891469000000001</v>
      </c>
      <c r="Q941">
        <v>50</v>
      </c>
      <c r="R941">
        <v>50</v>
      </c>
      <c r="S941">
        <v>73.890499000000005</v>
      </c>
      <c r="T941">
        <v>75</v>
      </c>
      <c r="U941">
        <v>49.260331999999998</v>
      </c>
      <c r="V941">
        <v>50</v>
      </c>
      <c r="W941">
        <v>78.633588000000003</v>
      </c>
      <c r="X941">
        <v>50</v>
      </c>
      <c r="Y941">
        <v>50</v>
      </c>
      <c r="Z941">
        <v>75</v>
      </c>
      <c r="AA941">
        <v>70.352101000000005</v>
      </c>
      <c r="AB941">
        <v>46.901400000000002</v>
      </c>
      <c r="AC941">
        <v>50</v>
      </c>
      <c r="AD941">
        <v>78.239363999999995</v>
      </c>
      <c r="AE941">
        <v>50</v>
      </c>
      <c r="AF941">
        <v>50</v>
      </c>
      <c r="AG941">
        <v>64.387096999999997</v>
      </c>
      <c r="AH941">
        <v>75</v>
      </c>
      <c r="AI941">
        <v>42.924731000000001</v>
      </c>
      <c r="AJ941">
        <v>50</v>
      </c>
      <c r="AK941">
        <v>1.1000000000000001</v>
      </c>
      <c r="AL941">
        <v>4.6399999999999997</v>
      </c>
      <c r="AM941">
        <v>10.61</v>
      </c>
      <c r="AN941">
        <v>0.74819899999999995</v>
      </c>
      <c r="AO941">
        <v>74.819918000000001</v>
      </c>
      <c r="AP941">
        <v>100</v>
      </c>
      <c r="AQ941">
        <v>0.78449800000000003</v>
      </c>
      <c r="AR941">
        <v>78.449770000000001</v>
      </c>
      <c r="AS941">
        <v>100</v>
      </c>
      <c r="AT941">
        <v>0.71617399999999998</v>
      </c>
      <c r="AU941">
        <v>0.76322299999999998</v>
      </c>
      <c r="AV941">
        <v>71.617371000000006</v>
      </c>
      <c r="AW941">
        <v>100</v>
      </c>
      <c r="AX941">
        <v>0.66083999999999998</v>
      </c>
      <c r="AY941">
        <v>0.84250999999999998</v>
      </c>
      <c r="AZ941">
        <v>66.083986999999993</v>
      </c>
      <c r="BA941">
        <v>100</v>
      </c>
      <c r="BB941" t="s">
        <v>125</v>
      </c>
      <c r="BC941" t="s">
        <v>125</v>
      </c>
      <c r="BD941" t="s">
        <v>125</v>
      </c>
      <c r="BE941" t="s">
        <v>125</v>
      </c>
      <c r="BF941" t="s">
        <v>125</v>
      </c>
      <c r="BG941" t="s">
        <v>125</v>
      </c>
      <c r="BH941">
        <v>0</v>
      </c>
      <c r="BI941">
        <v>0.99502500000000005</v>
      </c>
      <c r="BJ941">
        <v>0.98333300000000001</v>
      </c>
      <c r="BK941">
        <v>1</v>
      </c>
      <c r="BL941">
        <v>0.99502500000000005</v>
      </c>
      <c r="BM941">
        <v>0.98333300000000001</v>
      </c>
      <c r="BN941">
        <v>1</v>
      </c>
      <c r="BO941">
        <v>1</v>
      </c>
      <c r="BP941">
        <v>1</v>
      </c>
      <c r="BQ941">
        <v>1</v>
      </c>
      <c r="BR941">
        <v>2.4937999999999998E-2</v>
      </c>
      <c r="BS941">
        <v>50</v>
      </c>
      <c r="BT941">
        <v>50</v>
      </c>
      <c r="BU941">
        <v>3.3708000000000002E-2</v>
      </c>
      <c r="BV941">
        <v>50</v>
      </c>
      <c r="BW941">
        <v>50</v>
      </c>
      <c r="BX941" t="s">
        <v>125</v>
      </c>
      <c r="BY941" t="s">
        <v>125</v>
      </c>
      <c r="BZ941" t="s">
        <v>125</v>
      </c>
      <c r="CA941" t="s">
        <v>125</v>
      </c>
      <c r="CB941" t="s">
        <v>125</v>
      </c>
      <c r="CC941" t="s">
        <v>125</v>
      </c>
      <c r="CD941" t="s">
        <v>125</v>
      </c>
      <c r="CE941" t="s">
        <v>125</v>
      </c>
      <c r="CF941" t="s">
        <v>125</v>
      </c>
      <c r="CG941" t="s">
        <v>125</v>
      </c>
      <c r="CH941" t="s">
        <v>125</v>
      </c>
      <c r="CI941" t="s">
        <v>125</v>
      </c>
      <c r="CJ941" t="s">
        <v>125</v>
      </c>
      <c r="CK941" t="s">
        <v>125</v>
      </c>
      <c r="CL941" t="s">
        <v>125</v>
      </c>
      <c r="CM941" t="s">
        <v>125</v>
      </c>
      <c r="CN941" t="s">
        <v>125</v>
      </c>
      <c r="CO941" t="s">
        <v>125</v>
      </c>
      <c r="CP941" t="s">
        <v>125</v>
      </c>
      <c r="CQ941">
        <v>0.39622600000000002</v>
      </c>
      <c r="CR941">
        <v>1.019231</v>
      </c>
      <c r="CS941">
        <v>26.415094</v>
      </c>
      <c r="CT941">
        <v>50</v>
      </c>
      <c r="CU941" t="s">
        <v>125</v>
      </c>
      <c r="CV941" t="s">
        <v>125</v>
      </c>
      <c r="CW941" t="s">
        <v>125</v>
      </c>
      <c r="CX941" t="s">
        <v>125</v>
      </c>
      <c r="CY941" t="s">
        <v>125</v>
      </c>
      <c r="CZ941" t="s">
        <v>125</v>
      </c>
      <c r="DA941">
        <v>15.314097</v>
      </c>
      <c r="DB941">
        <v>17.400950000000002</v>
      </c>
      <c r="DC941">
        <v>16.332519999999999</v>
      </c>
      <c r="DD941" t="s">
        <v>125</v>
      </c>
      <c r="DE941">
        <v>0</v>
      </c>
      <c r="DH941" t="s">
        <v>332</v>
      </c>
      <c r="DI941" t="s">
        <v>524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0</v>
      </c>
      <c r="DQ941" t="s">
        <v>126</v>
      </c>
    </row>
    <row r="942" spans="1:121" x14ac:dyDescent="0.15">
      <c r="A942">
        <v>2018</v>
      </c>
      <c r="B942" t="s">
        <v>200</v>
      </c>
      <c r="C942" t="str">
        <f t="shared" si="42"/>
        <v>1440011</v>
      </c>
      <c r="D942" t="s">
        <v>1091</v>
      </c>
      <c r="E942" t="str">
        <f>"1445111"</f>
        <v>1445111</v>
      </c>
      <c r="F942" t="s">
        <v>328</v>
      </c>
      <c r="G942">
        <v>6</v>
      </c>
      <c r="H942">
        <v>8</v>
      </c>
      <c r="J942" t="s">
        <v>331</v>
      </c>
      <c r="K942">
        <v>669.04970600000001</v>
      </c>
      <c r="L942">
        <v>900</v>
      </c>
      <c r="M942">
        <v>74.338856000000007</v>
      </c>
      <c r="N942">
        <v>2</v>
      </c>
      <c r="O942">
        <v>0</v>
      </c>
      <c r="P942">
        <v>78.383002000000005</v>
      </c>
      <c r="Q942">
        <v>50</v>
      </c>
      <c r="R942">
        <v>50</v>
      </c>
      <c r="S942">
        <v>66.062106999999997</v>
      </c>
      <c r="T942">
        <v>75</v>
      </c>
      <c r="U942">
        <v>44.041404999999997</v>
      </c>
      <c r="V942">
        <v>50</v>
      </c>
      <c r="W942">
        <v>75.384782000000001</v>
      </c>
      <c r="X942">
        <v>50</v>
      </c>
      <c r="Y942">
        <v>50</v>
      </c>
      <c r="Z942">
        <v>75</v>
      </c>
      <c r="AA942">
        <v>62.066369000000002</v>
      </c>
      <c r="AB942">
        <v>41.377580000000002</v>
      </c>
      <c r="AC942">
        <v>50</v>
      </c>
      <c r="AD942">
        <v>73.884540999999999</v>
      </c>
      <c r="AE942">
        <v>49.256360999999998</v>
      </c>
      <c r="AF942">
        <v>50</v>
      </c>
      <c r="AG942">
        <v>59.795938</v>
      </c>
      <c r="AH942">
        <v>75</v>
      </c>
      <c r="AI942">
        <v>39.863957999999997</v>
      </c>
      <c r="AJ942">
        <v>50</v>
      </c>
      <c r="AK942">
        <v>8.93</v>
      </c>
      <c r="AL942">
        <v>12.93</v>
      </c>
      <c r="AM942">
        <v>15.2</v>
      </c>
      <c r="AN942">
        <v>0.56328900000000004</v>
      </c>
      <c r="AO942">
        <v>56.328921999999999</v>
      </c>
      <c r="AP942">
        <v>100</v>
      </c>
      <c r="AQ942">
        <v>0.63610500000000003</v>
      </c>
      <c r="AR942">
        <v>63.610484</v>
      </c>
      <c r="AS942">
        <v>100</v>
      </c>
      <c r="AT942">
        <v>0.48327900000000001</v>
      </c>
      <c r="AU942">
        <v>0.592032</v>
      </c>
      <c r="AV942">
        <v>48.327855</v>
      </c>
      <c r="AW942">
        <v>100</v>
      </c>
      <c r="AX942">
        <v>0.51788599999999996</v>
      </c>
      <c r="AY942">
        <v>0.678311</v>
      </c>
      <c r="AZ942">
        <v>51.788615999999998</v>
      </c>
      <c r="BA942">
        <v>100</v>
      </c>
      <c r="BB942" t="s">
        <v>125</v>
      </c>
      <c r="BC942" t="s">
        <v>125</v>
      </c>
      <c r="BD942" t="s">
        <v>125</v>
      </c>
      <c r="BE942" t="s">
        <v>125</v>
      </c>
      <c r="BF942" t="s">
        <v>125</v>
      </c>
      <c r="BG942" t="s">
        <v>125</v>
      </c>
      <c r="BH942">
        <v>0</v>
      </c>
      <c r="BI942">
        <v>0.98339299999999996</v>
      </c>
      <c r="BJ942">
        <v>0.97950800000000005</v>
      </c>
      <c r="BK942">
        <v>0.98497500000000004</v>
      </c>
      <c r="BL942">
        <v>0.97864799999999996</v>
      </c>
      <c r="BM942">
        <v>0.96721299999999999</v>
      </c>
      <c r="BN942">
        <v>0.98330600000000001</v>
      </c>
      <c r="BO942">
        <v>0.98905100000000001</v>
      </c>
      <c r="BP942">
        <v>0.97368399999999999</v>
      </c>
      <c r="BQ942">
        <v>0.99494899999999997</v>
      </c>
      <c r="BR942">
        <v>5.4697000000000003E-2</v>
      </c>
      <c r="BS942">
        <v>49.060642000000001</v>
      </c>
      <c r="BT942">
        <v>50</v>
      </c>
      <c r="BU942">
        <v>9.4421000000000005E-2</v>
      </c>
      <c r="BV942">
        <v>41.115879999999997</v>
      </c>
      <c r="BW942">
        <v>50</v>
      </c>
      <c r="BX942" t="s">
        <v>125</v>
      </c>
      <c r="BY942" t="s">
        <v>125</v>
      </c>
      <c r="BZ942" t="s">
        <v>125</v>
      </c>
      <c r="CA942" t="s">
        <v>125</v>
      </c>
      <c r="CB942" t="s">
        <v>125</v>
      </c>
      <c r="CC942" t="s">
        <v>125</v>
      </c>
      <c r="CD942">
        <v>0.98518499999999998</v>
      </c>
      <c r="CE942">
        <v>50</v>
      </c>
      <c r="CF942">
        <v>50</v>
      </c>
      <c r="CG942" t="s">
        <v>125</v>
      </c>
      <c r="CH942" t="s">
        <v>125</v>
      </c>
      <c r="CI942" t="s">
        <v>125</v>
      </c>
      <c r="CJ942" t="s">
        <v>125</v>
      </c>
      <c r="CK942" t="s">
        <v>125</v>
      </c>
      <c r="CL942" t="s">
        <v>125</v>
      </c>
      <c r="CM942" t="s">
        <v>125</v>
      </c>
      <c r="CN942" t="s">
        <v>125</v>
      </c>
      <c r="CO942" t="s">
        <v>125</v>
      </c>
      <c r="CP942" t="s">
        <v>125</v>
      </c>
      <c r="CQ942">
        <v>0.51417000000000002</v>
      </c>
      <c r="CR942">
        <v>0.92509399999999997</v>
      </c>
      <c r="CS942">
        <v>34.278002999999998</v>
      </c>
      <c r="CT942">
        <v>50</v>
      </c>
      <c r="CU942" t="s">
        <v>125</v>
      </c>
      <c r="CV942" t="s">
        <v>125</v>
      </c>
      <c r="CW942" t="s">
        <v>125</v>
      </c>
      <c r="CX942" t="s">
        <v>125</v>
      </c>
      <c r="CY942" t="s">
        <v>125</v>
      </c>
      <c r="CZ942" t="s">
        <v>125</v>
      </c>
      <c r="DA942">
        <v>15.314097</v>
      </c>
      <c r="DB942">
        <v>17.400950000000002</v>
      </c>
      <c r="DC942">
        <v>16.332519999999999</v>
      </c>
      <c r="DD942" t="s">
        <v>125</v>
      </c>
      <c r="DE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Q942" t="s">
        <v>126</v>
      </c>
    </row>
    <row r="943" spans="1:121" x14ac:dyDescent="0.15">
      <c r="A943">
        <v>2018</v>
      </c>
      <c r="B943" t="s">
        <v>200</v>
      </c>
      <c r="C943" t="str">
        <f t="shared" si="42"/>
        <v>1440011</v>
      </c>
      <c r="D943" t="s">
        <v>1092</v>
      </c>
      <c r="E943" t="str">
        <f>"1440311"</f>
        <v>1440311</v>
      </c>
      <c r="F943" t="s">
        <v>328</v>
      </c>
      <c r="G943" t="s">
        <v>339</v>
      </c>
      <c r="H943">
        <v>5</v>
      </c>
      <c r="I943" t="s">
        <v>330</v>
      </c>
      <c r="J943" t="s">
        <v>331</v>
      </c>
      <c r="K943">
        <v>774.64314899999999</v>
      </c>
      <c r="L943">
        <v>950</v>
      </c>
      <c r="M943">
        <v>81.541383999999994</v>
      </c>
      <c r="N943">
        <v>2</v>
      </c>
      <c r="O943">
        <v>0</v>
      </c>
      <c r="P943">
        <v>83.123986000000002</v>
      </c>
      <c r="Q943">
        <v>50</v>
      </c>
      <c r="R943">
        <v>50</v>
      </c>
      <c r="S943">
        <v>74.581136000000001</v>
      </c>
      <c r="T943">
        <v>75</v>
      </c>
      <c r="U943">
        <v>49.720756999999999</v>
      </c>
      <c r="V943">
        <v>50</v>
      </c>
      <c r="W943">
        <v>78.255279999999999</v>
      </c>
      <c r="X943">
        <v>50</v>
      </c>
      <c r="Y943">
        <v>50</v>
      </c>
      <c r="Z943">
        <v>75</v>
      </c>
      <c r="AA943">
        <v>70.219997000000006</v>
      </c>
      <c r="AB943">
        <v>46.813332000000003</v>
      </c>
      <c r="AC943">
        <v>50</v>
      </c>
      <c r="AD943">
        <v>78.728894999999994</v>
      </c>
      <c r="AE943">
        <v>50</v>
      </c>
      <c r="AF943">
        <v>50</v>
      </c>
      <c r="AG943">
        <v>69.430108000000004</v>
      </c>
      <c r="AH943">
        <v>75</v>
      </c>
      <c r="AI943">
        <v>46.286738</v>
      </c>
      <c r="AJ943">
        <v>50</v>
      </c>
      <c r="AK943">
        <v>0.41</v>
      </c>
      <c r="AL943">
        <v>4.78</v>
      </c>
      <c r="AM943">
        <v>5.56</v>
      </c>
      <c r="AN943">
        <v>0.76694499999999999</v>
      </c>
      <c r="AO943">
        <v>76.694481999999994</v>
      </c>
      <c r="AP943">
        <v>100</v>
      </c>
      <c r="AQ943">
        <v>0.75346500000000005</v>
      </c>
      <c r="AR943">
        <v>75.346509999999995</v>
      </c>
      <c r="AS943">
        <v>100</v>
      </c>
      <c r="AT943">
        <v>0.71892400000000001</v>
      </c>
      <c r="AU943">
        <v>0.79719799999999996</v>
      </c>
      <c r="AV943">
        <v>71.892377999999994</v>
      </c>
      <c r="AW943">
        <v>100</v>
      </c>
      <c r="AX943">
        <v>0.700021</v>
      </c>
      <c r="AY943">
        <v>0.786802</v>
      </c>
      <c r="AZ943">
        <v>70.002101999999994</v>
      </c>
      <c r="BA943">
        <v>100</v>
      </c>
      <c r="BB943">
        <v>0.67155600000000004</v>
      </c>
      <c r="BC943">
        <v>33.577778000000002</v>
      </c>
      <c r="BD943">
        <v>50</v>
      </c>
      <c r="BE943">
        <v>0.391847</v>
      </c>
      <c r="BF943">
        <v>19.592362000000001</v>
      </c>
      <c r="BG943">
        <v>50</v>
      </c>
      <c r="BH943">
        <v>0</v>
      </c>
      <c r="BI943">
        <v>0.99261999999999995</v>
      </c>
      <c r="BJ943">
        <v>1</v>
      </c>
      <c r="BK943">
        <v>0.98717900000000003</v>
      </c>
      <c r="BL943">
        <v>0.99631000000000003</v>
      </c>
      <c r="BM943">
        <v>1</v>
      </c>
      <c r="BN943">
        <v>0.99358999999999997</v>
      </c>
      <c r="BO943">
        <v>1</v>
      </c>
      <c r="BP943">
        <v>1</v>
      </c>
      <c r="BQ943">
        <v>1</v>
      </c>
      <c r="BR943">
        <v>5.5985E-2</v>
      </c>
      <c r="BS943">
        <v>48.803089</v>
      </c>
      <c r="BT943">
        <v>50</v>
      </c>
      <c r="BU943">
        <v>9.5238000000000003E-2</v>
      </c>
      <c r="BV943">
        <v>40.952381000000003</v>
      </c>
      <c r="BW943">
        <v>50</v>
      </c>
      <c r="BX943" t="s">
        <v>125</v>
      </c>
      <c r="BY943" t="s">
        <v>125</v>
      </c>
      <c r="BZ943" t="s">
        <v>125</v>
      </c>
      <c r="CA943" t="s">
        <v>125</v>
      </c>
      <c r="CB943" t="s">
        <v>125</v>
      </c>
      <c r="CC943" t="s">
        <v>125</v>
      </c>
      <c r="CD943" t="s">
        <v>125</v>
      </c>
      <c r="CE943" t="s">
        <v>125</v>
      </c>
      <c r="CF943" t="s">
        <v>125</v>
      </c>
      <c r="CG943" t="s">
        <v>125</v>
      </c>
      <c r="CH943" t="s">
        <v>125</v>
      </c>
      <c r="CI943" t="s">
        <v>125</v>
      </c>
      <c r="CJ943" t="s">
        <v>125</v>
      </c>
      <c r="CK943" t="s">
        <v>125</v>
      </c>
      <c r="CL943" t="s">
        <v>125</v>
      </c>
      <c r="CM943" t="s">
        <v>125</v>
      </c>
      <c r="CN943" t="s">
        <v>125</v>
      </c>
      <c r="CO943" t="s">
        <v>125</v>
      </c>
      <c r="CP943" t="s">
        <v>125</v>
      </c>
      <c r="CQ943">
        <v>0.67441899999999999</v>
      </c>
      <c r="CR943">
        <v>1</v>
      </c>
      <c r="CS943">
        <v>44.961239999999997</v>
      </c>
      <c r="CT943">
        <v>50</v>
      </c>
      <c r="CU943" t="s">
        <v>125</v>
      </c>
      <c r="CV943" t="s">
        <v>125</v>
      </c>
      <c r="CW943" t="s">
        <v>125</v>
      </c>
      <c r="CX943" t="s">
        <v>125</v>
      </c>
      <c r="CY943" t="s">
        <v>125</v>
      </c>
      <c r="CZ943" t="s">
        <v>125</v>
      </c>
      <c r="DA943">
        <v>15.314097</v>
      </c>
      <c r="DB943">
        <v>17.400950000000002</v>
      </c>
      <c r="DC943">
        <v>16.332519999999999</v>
      </c>
      <c r="DD943" t="s">
        <v>125</v>
      </c>
      <c r="DE943">
        <v>0</v>
      </c>
      <c r="DH943" t="s">
        <v>332</v>
      </c>
      <c r="DI943" t="s">
        <v>524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0</v>
      </c>
      <c r="DQ943" t="s">
        <v>126</v>
      </c>
    </row>
    <row r="944" spans="1:121" x14ac:dyDescent="0.15">
      <c r="A944">
        <v>2018</v>
      </c>
      <c r="B944" t="s">
        <v>200</v>
      </c>
      <c r="C944" t="str">
        <f t="shared" si="42"/>
        <v>1440011</v>
      </c>
      <c r="D944" t="s">
        <v>1093</v>
      </c>
      <c r="E944" t="str">
        <f>"1440911"</f>
        <v>1440911</v>
      </c>
      <c r="F944" t="s">
        <v>328</v>
      </c>
      <c r="G944" t="s">
        <v>339</v>
      </c>
      <c r="H944">
        <v>5</v>
      </c>
      <c r="J944" t="s">
        <v>331</v>
      </c>
      <c r="K944">
        <v>713.67462699999999</v>
      </c>
      <c r="L944">
        <v>800</v>
      </c>
      <c r="M944">
        <v>89.209327999999999</v>
      </c>
      <c r="N944">
        <v>1</v>
      </c>
      <c r="O944">
        <v>0</v>
      </c>
      <c r="P944">
        <v>86.019104999999996</v>
      </c>
      <c r="Q944">
        <v>50</v>
      </c>
      <c r="R944">
        <v>50</v>
      </c>
      <c r="S944">
        <v>70.378551999999999</v>
      </c>
      <c r="T944">
        <v>75</v>
      </c>
      <c r="U944">
        <v>46.919035000000001</v>
      </c>
      <c r="V944">
        <v>50</v>
      </c>
      <c r="W944">
        <v>84.632126</v>
      </c>
      <c r="X944">
        <v>50</v>
      </c>
      <c r="Y944">
        <v>50</v>
      </c>
      <c r="Z944">
        <v>75</v>
      </c>
      <c r="AA944">
        <v>72.704879000000005</v>
      </c>
      <c r="AB944">
        <v>48.469918999999997</v>
      </c>
      <c r="AC944">
        <v>50</v>
      </c>
      <c r="AD944">
        <v>90.612178999999998</v>
      </c>
      <c r="AE944">
        <v>50</v>
      </c>
      <c r="AF944">
        <v>50</v>
      </c>
      <c r="AG944" t="s">
        <v>125</v>
      </c>
      <c r="AH944">
        <v>75</v>
      </c>
      <c r="AI944" t="s">
        <v>125</v>
      </c>
      <c r="AJ944" t="s">
        <v>125</v>
      </c>
      <c r="AK944">
        <v>4.62</v>
      </c>
      <c r="AL944">
        <v>2.29</v>
      </c>
      <c r="AM944" t="s">
        <v>125</v>
      </c>
      <c r="AN944">
        <v>0.87087400000000004</v>
      </c>
      <c r="AO944">
        <v>87.087388000000004</v>
      </c>
      <c r="AP944">
        <v>100</v>
      </c>
      <c r="AQ944">
        <v>0.87027100000000002</v>
      </c>
      <c r="AR944">
        <v>87.027108999999996</v>
      </c>
      <c r="AS944">
        <v>100</v>
      </c>
      <c r="AT944">
        <v>0.68854099999999996</v>
      </c>
      <c r="AU944">
        <v>0.90763400000000005</v>
      </c>
      <c r="AV944">
        <v>68.854140999999998</v>
      </c>
      <c r="AW944">
        <v>100</v>
      </c>
      <c r="AX944">
        <v>0.75317000000000001</v>
      </c>
      <c r="AY944">
        <v>0.89388000000000001</v>
      </c>
      <c r="AZ944">
        <v>75.317035000000004</v>
      </c>
      <c r="BA944">
        <v>100</v>
      </c>
      <c r="BB944" t="s">
        <v>125</v>
      </c>
      <c r="BC944" t="s">
        <v>125</v>
      </c>
      <c r="BD944" t="s">
        <v>125</v>
      </c>
      <c r="BE944" t="s">
        <v>125</v>
      </c>
      <c r="BF944" t="s">
        <v>125</v>
      </c>
      <c r="BG944" t="s">
        <v>125</v>
      </c>
      <c r="BH944">
        <v>0</v>
      </c>
      <c r="BI944">
        <v>0.99583299999999997</v>
      </c>
      <c r="BJ944">
        <v>1</v>
      </c>
      <c r="BK944">
        <v>0.99484499999999998</v>
      </c>
      <c r="BL944">
        <v>0.99583299999999997</v>
      </c>
      <c r="BM944">
        <v>1</v>
      </c>
      <c r="BN944">
        <v>0.99484499999999998</v>
      </c>
      <c r="BO944">
        <v>1</v>
      </c>
      <c r="BP944" t="s">
        <v>125</v>
      </c>
      <c r="BQ944">
        <v>1</v>
      </c>
      <c r="BR944">
        <v>4.6299999999999996E-3</v>
      </c>
      <c r="BS944">
        <v>50</v>
      </c>
      <c r="BT944">
        <v>50</v>
      </c>
      <c r="BU944">
        <v>1.2821000000000001E-2</v>
      </c>
      <c r="BV944">
        <v>50</v>
      </c>
      <c r="BW944">
        <v>50</v>
      </c>
      <c r="BX944" t="s">
        <v>125</v>
      </c>
      <c r="BY944" t="s">
        <v>125</v>
      </c>
      <c r="BZ944" t="s">
        <v>125</v>
      </c>
      <c r="CA944" t="s">
        <v>125</v>
      </c>
      <c r="CB944" t="s">
        <v>125</v>
      </c>
      <c r="CC944" t="s">
        <v>125</v>
      </c>
      <c r="CD944" t="s">
        <v>125</v>
      </c>
      <c r="CE944" t="s">
        <v>125</v>
      </c>
      <c r="CF944" t="s">
        <v>125</v>
      </c>
      <c r="CG944" t="s">
        <v>125</v>
      </c>
      <c r="CH944" t="s">
        <v>125</v>
      </c>
      <c r="CI944" t="s">
        <v>125</v>
      </c>
      <c r="CJ944" t="s">
        <v>125</v>
      </c>
      <c r="CK944" t="s">
        <v>125</v>
      </c>
      <c r="CL944" t="s">
        <v>125</v>
      </c>
      <c r="CM944" t="s">
        <v>125</v>
      </c>
      <c r="CN944" t="s">
        <v>125</v>
      </c>
      <c r="CO944" t="s">
        <v>125</v>
      </c>
      <c r="CP944" t="s">
        <v>125</v>
      </c>
      <c r="CQ944">
        <v>0.84722200000000003</v>
      </c>
      <c r="CR944">
        <v>0.98630099999999998</v>
      </c>
      <c r="CS944">
        <v>50</v>
      </c>
      <c r="CT944">
        <v>50</v>
      </c>
      <c r="CU944" t="s">
        <v>125</v>
      </c>
      <c r="CV944" t="s">
        <v>125</v>
      </c>
      <c r="CW944" t="s">
        <v>125</v>
      </c>
      <c r="CX944" t="s">
        <v>125</v>
      </c>
      <c r="CY944" t="s">
        <v>125</v>
      </c>
      <c r="CZ944" t="s">
        <v>125</v>
      </c>
      <c r="DA944">
        <v>15.314097</v>
      </c>
      <c r="DB944">
        <v>17.400950000000002</v>
      </c>
      <c r="DC944">
        <v>16.332519999999999</v>
      </c>
      <c r="DD944" t="s">
        <v>125</v>
      </c>
      <c r="DE944">
        <v>0</v>
      </c>
      <c r="DH944" t="s">
        <v>332</v>
      </c>
      <c r="DI944" t="s">
        <v>498</v>
      </c>
      <c r="DJ944">
        <v>1</v>
      </c>
      <c r="DK944">
        <v>1</v>
      </c>
      <c r="DL944">
        <v>1</v>
      </c>
      <c r="DM944">
        <v>0</v>
      </c>
      <c r="DN944">
        <v>0</v>
      </c>
      <c r="DO944">
        <v>0</v>
      </c>
      <c r="DQ944" t="s">
        <v>126</v>
      </c>
    </row>
    <row r="945" spans="1:121" x14ac:dyDescent="0.15">
      <c r="A945">
        <v>2018</v>
      </c>
      <c r="B945" t="s">
        <v>200</v>
      </c>
      <c r="C945" t="str">
        <f t="shared" si="42"/>
        <v>1440011</v>
      </c>
      <c r="D945" t="s">
        <v>1094</v>
      </c>
      <c r="E945" t="str">
        <f>"1446111"</f>
        <v>1446111</v>
      </c>
      <c r="F945" t="s">
        <v>328</v>
      </c>
      <c r="G945">
        <v>9</v>
      </c>
      <c r="H945">
        <v>12</v>
      </c>
      <c r="J945" t="s">
        <v>331</v>
      </c>
      <c r="K945">
        <v>1251.3727530000001</v>
      </c>
      <c r="L945">
        <v>1450</v>
      </c>
      <c r="M945">
        <v>86.301569000000001</v>
      </c>
      <c r="N945">
        <v>2</v>
      </c>
      <c r="O945">
        <v>1</v>
      </c>
      <c r="P945">
        <v>66.435952</v>
      </c>
      <c r="Q945">
        <v>132.871904</v>
      </c>
      <c r="R945">
        <v>150</v>
      </c>
      <c r="S945">
        <v>53.151389000000002</v>
      </c>
      <c r="T945">
        <v>70.977682999999999</v>
      </c>
      <c r="U945">
        <v>106.302778</v>
      </c>
      <c r="V945">
        <v>150</v>
      </c>
      <c r="W945">
        <v>67.939725999999993</v>
      </c>
      <c r="X945">
        <v>135.87945300000001</v>
      </c>
      <c r="Y945">
        <v>150</v>
      </c>
      <c r="Z945">
        <v>72.920703000000003</v>
      </c>
      <c r="AA945">
        <v>53.370370000000001</v>
      </c>
      <c r="AB945">
        <v>106.740741</v>
      </c>
      <c r="AC945">
        <v>150</v>
      </c>
      <c r="AD945">
        <v>78.916262000000003</v>
      </c>
      <c r="AE945">
        <v>100</v>
      </c>
      <c r="AF945">
        <v>100</v>
      </c>
      <c r="AG945">
        <v>63.774965000000002</v>
      </c>
      <c r="AH945">
        <v>75</v>
      </c>
      <c r="AI945">
        <v>85.033287000000001</v>
      </c>
      <c r="AJ945">
        <v>100</v>
      </c>
      <c r="AK945">
        <v>17.82</v>
      </c>
      <c r="AL945">
        <v>19.55</v>
      </c>
      <c r="AM945">
        <v>11.22</v>
      </c>
      <c r="AN945" t="s">
        <v>125</v>
      </c>
      <c r="AO945" t="s">
        <v>125</v>
      </c>
      <c r="AP945" t="s">
        <v>125</v>
      </c>
      <c r="AQ945" t="s">
        <v>125</v>
      </c>
      <c r="AR945" t="s">
        <v>125</v>
      </c>
      <c r="AS945" t="s">
        <v>125</v>
      </c>
      <c r="AT945" t="s">
        <v>125</v>
      </c>
      <c r="AU945" t="s">
        <v>125</v>
      </c>
      <c r="AV945" t="s">
        <v>125</v>
      </c>
      <c r="AW945" t="s">
        <v>125</v>
      </c>
      <c r="AX945" t="s">
        <v>125</v>
      </c>
      <c r="AY945" t="s">
        <v>125</v>
      </c>
      <c r="AZ945" t="s">
        <v>125</v>
      </c>
      <c r="BA945" t="s">
        <v>125</v>
      </c>
      <c r="BB945" t="s">
        <v>125</v>
      </c>
      <c r="BC945" t="s">
        <v>125</v>
      </c>
      <c r="BD945" t="s">
        <v>125</v>
      </c>
      <c r="BE945" t="s">
        <v>125</v>
      </c>
      <c r="BF945" t="s">
        <v>125</v>
      </c>
      <c r="BG945" t="s">
        <v>125</v>
      </c>
      <c r="BH945">
        <v>0</v>
      </c>
      <c r="BI945">
        <v>0.99372400000000005</v>
      </c>
      <c r="BJ945">
        <v>0.99187000000000003</v>
      </c>
      <c r="BK945">
        <v>0.99436599999999997</v>
      </c>
      <c r="BL945">
        <v>0.99372400000000005</v>
      </c>
      <c r="BM945">
        <v>0.99187000000000003</v>
      </c>
      <c r="BN945">
        <v>0.99436599999999997</v>
      </c>
      <c r="BO945">
        <v>0.99581600000000003</v>
      </c>
      <c r="BP945">
        <v>1</v>
      </c>
      <c r="BQ945">
        <v>0.99436599999999997</v>
      </c>
      <c r="BR945">
        <v>5.1978999999999997E-2</v>
      </c>
      <c r="BS945">
        <v>49.604196000000002</v>
      </c>
      <c r="BT945">
        <v>50</v>
      </c>
      <c r="BU945">
        <v>0.1139</v>
      </c>
      <c r="BV945">
        <v>37.220077000000003</v>
      </c>
      <c r="BW945">
        <v>50</v>
      </c>
      <c r="BX945">
        <v>0.96203799999999995</v>
      </c>
      <c r="BY945">
        <v>50</v>
      </c>
      <c r="BZ945">
        <v>50</v>
      </c>
      <c r="CA945">
        <v>0.70829200000000003</v>
      </c>
      <c r="CB945">
        <v>47.219447000000002</v>
      </c>
      <c r="CC945">
        <v>50</v>
      </c>
      <c r="CD945">
        <v>0.98412699999999997</v>
      </c>
      <c r="CE945">
        <v>50</v>
      </c>
      <c r="CF945">
        <v>50</v>
      </c>
      <c r="CG945">
        <v>0.98729599999999995</v>
      </c>
      <c r="CH945">
        <v>100</v>
      </c>
      <c r="CI945">
        <v>100</v>
      </c>
      <c r="CJ945">
        <v>0</v>
      </c>
      <c r="CK945">
        <v>0.97752799999999995</v>
      </c>
      <c r="CL945">
        <v>100</v>
      </c>
      <c r="CM945">
        <v>100</v>
      </c>
      <c r="CN945">
        <v>0.84277899999999994</v>
      </c>
      <c r="CO945">
        <v>100</v>
      </c>
      <c r="CP945">
        <v>100</v>
      </c>
      <c r="CQ945">
        <v>0.66738699999999995</v>
      </c>
      <c r="CR945">
        <v>0.87523600000000001</v>
      </c>
      <c r="CS945">
        <v>22.246220000000001</v>
      </c>
      <c r="CT945">
        <v>50</v>
      </c>
      <c r="CU945">
        <v>0.33905600000000002</v>
      </c>
      <c r="CV945">
        <v>28.254649000000001</v>
      </c>
      <c r="CW945">
        <v>50</v>
      </c>
      <c r="CX945">
        <v>0.97752799999999995</v>
      </c>
      <c r="CY945">
        <v>0.94</v>
      </c>
      <c r="CZ945">
        <v>-3.7527999999999999E-2</v>
      </c>
      <c r="DA945">
        <v>15.314097</v>
      </c>
      <c r="DB945">
        <v>17.400950000000002</v>
      </c>
      <c r="DC945">
        <v>16.332519999999999</v>
      </c>
      <c r="DD945">
        <v>7.9891730000000001</v>
      </c>
      <c r="DE945">
        <v>1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Q945" t="s">
        <v>126</v>
      </c>
    </row>
    <row r="946" spans="1:121" x14ac:dyDescent="0.15">
      <c r="A946">
        <v>2018</v>
      </c>
      <c r="B946" t="s">
        <v>222</v>
      </c>
      <c r="C946" t="str">
        <f>"1450011"</f>
        <v>1450011</v>
      </c>
      <c r="D946" t="s">
        <v>1095</v>
      </c>
      <c r="E946" t="str">
        <f>"1450111"</f>
        <v>1450111</v>
      </c>
      <c r="F946" t="s">
        <v>328</v>
      </c>
      <c r="G946" t="s">
        <v>329</v>
      </c>
      <c r="H946">
        <v>8</v>
      </c>
      <c r="J946" t="s">
        <v>331</v>
      </c>
      <c r="K946">
        <v>277.11498</v>
      </c>
      <c r="L946">
        <v>350</v>
      </c>
      <c r="M946">
        <v>79.175708999999998</v>
      </c>
      <c r="N946">
        <v>2</v>
      </c>
      <c r="O946">
        <v>0</v>
      </c>
      <c r="P946">
        <v>74.215677999999997</v>
      </c>
      <c r="Q946">
        <v>49.477119000000002</v>
      </c>
      <c r="R946">
        <v>50</v>
      </c>
      <c r="S946" t="s">
        <v>125</v>
      </c>
      <c r="T946" t="s">
        <v>125</v>
      </c>
      <c r="U946" t="s">
        <v>125</v>
      </c>
      <c r="V946" t="s">
        <v>125</v>
      </c>
      <c r="W946">
        <v>64.996791999999999</v>
      </c>
      <c r="X946">
        <v>43.331194000000004</v>
      </c>
      <c r="Y946">
        <v>50</v>
      </c>
      <c r="Z946" t="s">
        <v>125</v>
      </c>
      <c r="AA946" t="s">
        <v>125</v>
      </c>
      <c r="AB946" t="s">
        <v>125</v>
      </c>
      <c r="AC946" t="s">
        <v>125</v>
      </c>
      <c r="AD946" t="s">
        <v>125</v>
      </c>
      <c r="AE946" t="s">
        <v>125</v>
      </c>
      <c r="AF946" t="s">
        <v>125</v>
      </c>
      <c r="AG946" t="s">
        <v>125</v>
      </c>
      <c r="AH946" t="s">
        <v>125</v>
      </c>
      <c r="AI946" t="s">
        <v>125</v>
      </c>
      <c r="AJ946" t="s">
        <v>125</v>
      </c>
      <c r="AK946" t="s">
        <v>125</v>
      </c>
      <c r="AL946" t="s">
        <v>125</v>
      </c>
      <c r="AM946" t="s">
        <v>125</v>
      </c>
      <c r="AN946">
        <v>0.68572699999999998</v>
      </c>
      <c r="AO946">
        <v>68.572731000000005</v>
      </c>
      <c r="AP946">
        <v>100</v>
      </c>
      <c r="AQ946">
        <v>0.65733900000000001</v>
      </c>
      <c r="AR946">
        <v>65.733936999999997</v>
      </c>
      <c r="AS946">
        <v>100</v>
      </c>
      <c r="AT946" t="s">
        <v>125</v>
      </c>
      <c r="AU946" t="s">
        <v>125</v>
      </c>
      <c r="AV946" t="s">
        <v>125</v>
      </c>
      <c r="AW946" t="s">
        <v>125</v>
      </c>
      <c r="AX946" t="s">
        <v>125</v>
      </c>
      <c r="AY946" t="s">
        <v>125</v>
      </c>
      <c r="AZ946" t="s">
        <v>125</v>
      </c>
      <c r="BA946" t="s">
        <v>125</v>
      </c>
      <c r="BB946" t="s">
        <v>125</v>
      </c>
      <c r="BC946" t="s">
        <v>125</v>
      </c>
      <c r="BD946" t="s">
        <v>125</v>
      </c>
      <c r="BE946" t="s">
        <v>125</v>
      </c>
      <c r="BF946" t="s">
        <v>125</v>
      </c>
      <c r="BG946" t="s">
        <v>125</v>
      </c>
      <c r="BH946">
        <v>0</v>
      </c>
      <c r="BI946">
        <v>1</v>
      </c>
      <c r="BJ946" t="s">
        <v>125</v>
      </c>
      <c r="BK946" t="s">
        <v>125</v>
      </c>
      <c r="BL946">
        <v>1</v>
      </c>
      <c r="BM946" t="s">
        <v>125</v>
      </c>
      <c r="BN946" t="s">
        <v>125</v>
      </c>
      <c r="BO946" t="s">
        <v>125</v>
      </c>
      <c r="BP946" t="s">
        <v>125</v>
      </c>
      <c r="BQ946" t="s">
        <v>125</v>
      </c>
      <c r="BR946">
        <v>4.3478000000000003E-2</v>
      </c>
      <c r="BS946">
        <v>50</v>
      </c>
      <c r="BT946">
        <v>50</v>
      </c>
      <c r="BU946" t="s">
        <v>125</v>
      </c>
      <c r="BV946" t="s">
        <v>125</v>
      </c>
      <c r="BW946" t="s">
        <v>125</v>
      </c>
      <c r="BX946" t="s">
        <v>125</v>
      </c>
      <c r="BY946" t="s">
        <v>125</v>
      </c>
      <c r="BZ946" t="s">
        <v>125</v>
      </c>
      <c r="CA946" t="s">
        <v>125</v>
      </c>
      <c r="CB946" t="s">
        <v>125</v>
      </c>
      <c r="CC946" t="s">
        <v>125</v>
      </c>
      <c r="CD946" t="s">
        <v>125</v>
      </c>
      <c r="CE946" t="s">
        <v>125</v>
      </c>
      <c r="CF946" t="s">
        <v>125</v>
      </c>
      <c r="CG946" t="s">
        <v>125</v>
      </c>
      <c r="CH946" t="s">
        <v>125</v>
      </c>
      <c r="CI946" t="s">
        <v>125</v>
      </c>
      <c r="CJ946" t="s">
        <v>125</v>
      </c>
      <c r="CK946" t="s">
        <v>125</v>
      </c>
      <c r="CL946" t="s">
        <v>125</v>
      </c>
      <c r="CM946" t="s">
        <v>125</v>
      </c>
      <c r="CN946" t="s">
        <v>125</v>
      </c>
      <c r="CO946" t="s">
        <v>125</v>
      </c>
      <c r="CP946" t="s">
        <v>125</v>
      </c>
      <c r="CQ946" t="s">
        <v>125</v>
      </c>
      <c r="CR946" t="s">
        <v>125</v>
      </c>
      <c r="CS946" t="s">
        <v>125</v>
      </c>
      <c r="CT946" t="s">
        <v>125</v>
      </c>
      <c r="CU946" t="s">
        <v>125</v>
      </c>
      <c r="CV946" t="s">
        <v>125</v>
      </c>
      <c r="CW946" t="s">
        <v>125</v>
      </c>
      <c r="CX946" t="s">
        <v>125</v>
      </c>
      <c r="CY946" t="s">
        <v>125</v>
      </c>
      <c r="CZ946" t="s">
        <v>125</v>
      </c>
      <c r="DA946">
        <v>15.314097</v>
      </c>
      <c r="DB946">
        <v>17.400950000000002</v>
      </c>
      <c r="DC946">
        <v>16.332519999999999</v>
      </c>
      <c r="DD946" t="s">
        <v>125</v>
      </c>
      <c r="DE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Q946" t="s">
        <v>126</v>
      </c>
    </row>
    <row r="947" spans="1:121" x14ac:dyDescent="0.15">
      <c r="A947">
        <v>2018</v>
      </c>
      <c r="B947" t="s">
        <v>224</v>
      </c>
      <c r="C947" t="str">
        <f t="shared" ref="C947:C953" si="43">"1460011"</f>
        <v>1460011</v>
      </c>
      <c r="D947" t="s">
        <v>1096</v>
      </c>
      <c r="E947" t="str">
        <f>"1461411"</f>
        <v>1461411</v>
      </c>
      <c r="F947" t="s">
        <v>328</v>
      </c>
      <c r="G947" t="s">
        <v>329</v>
      </c>
      <c r="H947">
        <v>5</v>
      </c>
      <c r="J947" t="s">
        <v>331</v>
      </c>
      <c r="K947">
        <v>683.33657200000005</v>
      </c>
      <c r="L947">
        <v>850</v>
      </c>
      <c r="M947">
        <v>80.392538000000002</v>
      </c>
      <c r="N947">
        <v>2</v>
      </c>
      <c r="O947">
        <v>0</v>
      </c>
      <c r="P947">
        <v>68.749784000000005</v>
      </c>
      <c r="Q947">
        <v>45.833188999999997</v>
      </c>
      <c r="R947">
        <v>50</v>
      </c>
      <c r="S947">
        <v>62.567118999999998</v>
      </c>
      <c r="T947">
        <v>75</v>
      </c>
      <c r="U947">
        <v>41.711413</v>
      </c>
      <c r="V947">
        <v>50</v>
      </c>
      <c r="W947">
        <v>66.386784000000006</v>
      </c>
      <c r="X947">
        <v>44.257855999999997</v>
      </c>
      <c r="Y947">
        <v>50</v>
      </c>
      <c r="Z947">
        <v>74.711258999999998</v>
      </c>
      <c r="AA947">
        <v>58.512281999999999</v>
      </c>
      <c r="AB947">
        <v>39.008187999999997</v>
      </c>
      <c r="AC947">
        <v>50</v>
      </c>
      <c r="AD947">
        <v>64.225806000000006</v>
      </c>
      <c r="AE947">
        <v>42.817203999999997</v>
      </c>
      <c r="AF947">
        <v>50</v>
      </c>
      <c r="AG947">
        <v>56.888658</v>
      </c>
      <c r="AH947">
        <v>71.562955000000002</v>
      </c>
      <c r="AI947">
        <v>37.925772000000002</v>
      </c>
      <c r="AJ947">
        <v>50</v>
      </c>
      <c r="AK947">
        <v>12.43</v>
      </c>
      <c r="AL947">
        <v>16.190000000000001</v>
      </c>
      <c r="AM947">
        <v>14.67</v>
      </c>
      <c r="AN947">
        <v>0.68469899999999995</v>
      </c>
      <c r="AO947">
        <v>68.469903000000002</v>
      </c>
      <c r="AP947">
        <v>100</v>
      </c>
      <c r="AQ947">
        <v>0.78713299999999997</v>
      </c>
      <c r="AR947">
        <v>78.713262999999998</v>
      </c>
      <c r="AS947">
        <v>100</v>
      </c>
      <c r="AT947">
        <v>0.65229099999999995</v>
      </c>
      <c r="AU947">
        <v>0.71475900000000003</v>
      </c>
      <c r="AV947">
        <v>65.229066000000003</v>
      </c>
      <c r="AW947">
        <v>100</v>
      </c>
      <c r="AX947">
        <v>0.75425900000000001</v>
      </c>
      <c r="AY947">
        <v>0.81810000000000005</v>
      </c>
      <c r="AZ947">
        <v>75.425949000000003</v>
      </c>
      <c r="BA947">
        <v>100</v>
      </c>
      <c r="BB947" t="s">
        <v>125</v>
      </c>
      <c r="BC947" t="s">
        <v>125</v>
      </c>
      <c r="BD947" t="s">
        <v>125</v>
      </c>
      <c r="BE947" t="s">
        <v>125</v>
      </c>
      <c r="BF947" t="s">
        <v>125</v>
      </c>
      <c r="BG947" t="s">
        <v>125</v>
      </c>
      <c r="BH947">
        <v>0</v>
      </c>
      <c r="BI947">
        <v>0.99563299999999999</v>
      </c>
      <c r="BJ947">
        <v>0.99180299999999999</v>
      </c>
      <c r="BK947">
        <v>1</v>
      </c>
      <c r="BL947">
        <v>0.99565199999999998</v>
      </c>
      <c r="BM947">
        <v>0.99187000000000003</v>
      </c>
      <c r="BN947">
        <v>1</v>
      </c>
      <c r="BO947">
        <v>1</v>
      </c>
      <c r="BP947">
        <v>1</v>
      </c>
      <c r="BQ947">
        <v>1</v>
      </c>
      <c r="BR947">
        <v>4.3478000000000003E-2</v>
      </c>
      <c r="BS947">
        <v>50</v>
      </c>
      <c r="BT947">
        <v>50</v>
      </c>
      <c r="BU947">
        <v>6.1983000000000003E-2</v>
      </c>
      <c r="BV947">
        <v>47.603306000000003</v>
      </c>
      <c r="BW947">
        <v>50</v>
      </c>
      <c r="BX947" t="s">
        <v>125</v>
      </c>
      <c r="BY947" t="s">
        <v>125</v>
      </c>
      <c r="BZ947" t="s">
        <v>125</v>
      </c>
      <c r="CA947" t="s">
        <v>125</v>
      </c>
      <c r="CB947" t="s">
        <v>125</v>
      </c>
      <c r="CC947" t="s">
        <v>125</v>
      </c>
      <c r="CD947" t="s">
        <v>125</v>
      </c>
      <c r="CE947" t="s">
        <v>125</v>
      </c>
      <c r="CF947" t="s">
        <v>125</v>
      </c>
      <c r="CG947" t="s">
        <v>125</v>
      </c>
      <c r="CH947" t="s">
        <v>125</v>
      </c>
      <c r="CI947" t="s">
        <v>125</v>
      </c>
      <c r="CJ947" t="s">
        <v>125</v>
      </c>
      <c r="CK947" t="s">
        <v>125</v>
      </c>
      <c r="CL947" t="s">
        <v>125</v>
      </c>
      <c r="CM947" t="s">
        <v>125</v>
      </c>
      <c r="CN947" t="s">
        <v>125</v>
      </c>
      <c r="CO947" t="s">
        <v>125</v>
      </c>
      <c r="CP947" t="s">
        <v>125</v>
      </c>
      <c r="CQ947">
        <v>0.69512200000000002</v>
      </c>
      <c r="CR947">
        <v>1.051282</v>
      </c>
      <c r="CS947">
        <v>46.341462999999997</v>
      </c>
      <c r="CT947">
        <v>50</v>
      </c>
      <c r="CU947" t="s">
        <v>125</v>
      </c>
      <c r="CV947" t="s">
        <v>125</v>
      </c>
      <c r="CW947" t="s">
        <v>125</v>
      </c>
      <c r="CX947" t="s">
        <v>125</v>
      </c>
      <c r="CY947" t="s">
        <v>125</v>
      </c>
      <c r="CZ947" t="s">
        <v>125</v>
      </c>
      <c r="DA947">
        <v>15.314097</v>
      </c>
      <c r="DB947">
        <v>17.400950000000002</v>
      </c>
      <c r="DC947">
        <v>16.332519999999999</v>
      </c>
      <c r="DD947" t="s">
        <v>125</v>
      </c>
      <c r="DE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Q947" t="s">
        <v>126</v>
      </c>
    </row>
    <row r="948" spans="1:121" x14ac:dyDescent="0.15">
      <c r="A948">
        <v>2018</v>
      </c>
      <c r="B948" t="s">
        <v>224</v>
      </c>
      <c r="C948" t="str">
        <f t="shared" si="43"/>
        <v>1460011</v>
      </c>
      <c r="D948" t="s">
        <v>1097</v>
      </c>
      <c r="E948" t="str">
        <f>"1460111"</f>
        <v>1460111</v>
      </c>
      <c r="F948" t="s">
        <v>328</v>
      </c>
      <c r="G948" t="s">
        <v>329</v>
      </c>
      <c r="H948">
        <v>5</v>
      </c>
      <c r="J948" t="s">
        <v>331</v>
      </c>
      <c r="K948">
        <v>684.58455900000001</v>
      </c>
      <c r="L948">
        <v>800</v>
      </c>
      <c r="M948">
        <v>85.573070000000001</v>
      </c>
      <c r="N948">
        <v>1</v>
      </c>
      <c r="O948">
        <v>0</v>
      </c>
      <c r="P948">
        <v>79.354136999999994</v>
      </c>
      <c r="Q948">
        <v>50</v>
      </c>
      <c r="R948">
        <v>50</v>
      </c>
      <c r="S948">
        <v>69.966752</v>
      </c>
      <c r="T948">
        <v>75</v>
      </c>
      <c r="U948">
        <v>46.644500999999998</v>
      </c>
      <c r="V948">
        <v>50</v>
      </c>
      <c r="W948">
        <v>77.235652000000002</v>
      </c>
      <c r="X948">
        <v>50</v>
      </c>
      <c r="Y948">
        <v>50</v>
      </c>
      <c r="Z948">
        <v>75</v>
      </c>
      <c r="AA948">
        <v>67.800393</v>
      </c>
      <c r="AB948">
        <v>45.200262000000002</v>
      </c>
      <c r="AC948">
        <v>50</v>
      </c>
      <c r="AD948">
        <v>76.022030000000001</v>
      </c>
      <c r="AE948">
        <v>50</v>
      </c>
      <c r="AF948">
        <v>50</v>
      </c>
      <c r="AG948" t="s">
        <v>125</v>
      </c>
      <c r="AH948">
        <v>75</v>
      </c>
      <c r="AI948" t="s">
        <v>125</v>
      </c>
      <c r="AJ948" t="s">
        <v>125</v>
      </c>
      <c r="AK948">
        <v>5.03</v>
      </c>
      <c r="AL948">
        <v>7.19</v>
      </c>
      <c r="AM948" t="s">
        <v>125</v>
      </c>
      <c r="AN948">
        <v>0.77716700000000005</v>
      </c>
      <c r="AO948">
        <v>77.716689000000002</v>
      </c>
      <c r="AP948">
        <v>100</v>
      </c>
      <c r="AQ948">
        <v>0.82577900000000004</v>
      </c>
      <c r="AR948">
        <v>82.577877999999998</v>
      </c>
      <c r="AS948">
        <v>100</v>
      </c>
      <c r="AT948">
        <v>0.68231900000000001</v>
      </c>
      <c r="AU948">
        <v>0.87201499999999998</v>
      </c>
      <c r="AV948">
        <v>68.231899999999996</v>
      </c>
      <c r="AW948">
        <v>100</v>
      </c>
      <c r="AX948">
        <v>0.72308600000000001</v>
      </c>
      <c r="AY948">
        <v>0.92847199999999996</v>
      </c>
      <c r="AZ948">
        <v>72.308566999999996</v>
      </c>
      <c r="BA948">
        <v>100</v>
      </c>
      <c r="BB948" t="s">
        <v>125</v>
      </c>
      <c r="BC948" t="s">
        <v>125</v>
      </c>
      <c r="BD948" t="s">
        <v>125</v>
      </c>
      <c r="BE948" t="s">
        <v>125</v>
      </c>
      <c r="BF948" t="s">
        <v>125</v>
      </c>
      <c r="BG948" t="s">
        <v>125</v>
      </c>
      <c r="BH948">
        <v>0</v>
      </c>
      <c r="BI948">
        <v>0.98936199999999996</v>
      </c>
      <c r="BJ948">
        <v>0.97959200000000002</v>
      </c>
      <c r="BK948">
        <v>1</v>
      </c>
      <c r="BL948">
        <v>0.98936199999999996</v>
      </c>
      <c r="BM948">
        <v>0.97959200000000002</v>
      </c>
      <c r="BN948">
        <v>1</v>
      </c>
      <c r="BO948">
        <v>1</v>
      </c>
      <c r="BP948" t="s">
        <v>125</v>
      </c>
      <c r="BQ948">
        <v>1</v>
      </c>
      <c r="BR948">
        <v>1.5873000000000002E-2</v>
      </c>
      <c r="BS948">
        <v>50</v>
      </c>
      <c r="BT948">
        <v>50</v>
      </c>
      <c r="BU948">
        <v>3.7037E-2</v>
      </c>
      <c r="BV948">
        <v>50</v>
      </c>
      <c r="BW948">
        <v>50</v>
      </c>
      <c r="BX948" t="s">
        <v>125</v>
      </c>
      <c r="BY948" t="s">
        <v>125</v>
      </c>
      <c r="BZ948" t="s">
        <v>125</v>
      </c>
      <c r="CA948" t="s">
        <v>125</v>
      </c>
      <c r="CB948" t="s">
        <v>125</v>
      </c>
      <c r="CC948" t="s">
        <v>125</v>
      </c>
      <c r="CD948" t="s">
        <v>125</v>
      </c>
      <c r="CE948" t="s">
        <v>125</v>
      </c>
      <c r="CF948" t="s">
        <v>125</v>
      </c>
      <c r="CG948" t="s">
        <v>125</v>
      </c>
      <c r="CH948" t="s">
        <v>125</v>
      </c>
      <c r="CI948" t="s">
        <v>125</v>
      </c>
      <c r="CJ948" t="s">
        <v>125</v>
      </c>
      <c r="CK948" t="s">
        <v>125</v>
      </c>
      <c r="CL948" t="s">
        <v>125</v>
      </c>
      <c r="CM948" t="s">
        <v>125</v>
      </c>
      <c r="CN948" t="s">
        <v>125</v>
      </c>
      <c r="CO948" t="s">
        <v>125</v>
      </c>
      <c r="CP948" t="s">
        <v>125</v>
      </c>
      <c r="CQ948">
        <v>0.62857099999999999</v>
      </c>
      <c r="CR948">
        <v>1</v>
      </c>
      <c r="CS948">
        <v>41.904761999999998</v>
      </c>
      <c r="CT948">
        <v>50</v>
      </c>
      <c r="CU948" t="s">
        <v>125</v>
      </c>
      <c r="CV948" t="s">
        <v>125</v>
      </c>
      <c r="CW948" t="s">
        <v>125</v>
      </c>
      <c r="CX948" t="s">
        <v>125</v>
      </c>
      <c r="CY948" t="s">
        <v>125</v>
      </c>
      <c r="CZ948" t="s">
        <v>125</v>
      </c>
      <c r="DA948">
        <v>15.314097</v>
      </c>
      <c r="DB948">
        <v>17.400950000000002</v>
      </c>
      <c r="DC948">
        <v>16.332519999999999</v>
      </c>
      <c r="DD948" t="s">
        <v>125</v>
      </c>
      <c r="DE948">
        <v>0</v>
      </c>
      <c r="DH948" t="s">
        <v>332</v>
      </c>
      <c r="DI948" t="s">
        <v>501</v>
      </c>
      <c r="DJ948">
        <v>0</v>
      </c>
      <c r="DK948">
        <v>1</v>
      </c>
      <c r="DL948">
        <v>0</v>
      </c>
      <c r="DM948">
        <v>0</v>
      </c>
      <c r="DN948">
        <v>0</v>
      </c>
      <c r="DO948">
        <v>0</v>
      </c>
      <c r="DQ948" t="s">
        <v>126</v>
      </c>
    </row>
    <row r="949" spans="1:121" x14ac:dyDescent="0.15">
      <c r="A949">
        <v>2018</v>
      </c>
      <c r="B949" t="s">
        <v>224</v>
      </c>
      <c r="C949" t="str">
        <f t="shared" si="43"/>
        <v>1460011</v>
      </c>
      <c r="D949" t="s">
        <v>1098</v>
      </c>
      <c r="E949" t="str">
        <f>"1460211"</f>
        <v>1460211</v>
      </c>
      <c r="F949" t="s">
        <v>328</v>
      </c>
      <c r="G949" t="s">
        <v>329</v>
      </c>
      <c r="H949">
        <v>5</v>
      </c>
      <c r="I949" t="s">
        <v>336</v>
      </c>
      <c r="J949" t="s">
        <v>331</v>
      </c>
      <c r="K949">
        <v>631.45184200000006</v>
      </c>
      <c r="L949">
        <v>800</v>
      </c>
      <c r="M949">
        <v>78.931479999999993</v>
      </c>
      <c r="N949">
        <v>2</v>
      </c>
      <c r="O949">
        <v>0</v>
      </c>
      <c r="P949">
        <v>67.477907000000002</v>
      </c>
      <c r="Q949">
        <v>44.985270999999997</v>
      </c>
      <c r="R949">
        <v>50</v>
      </c>
      <c r="S949">
        <v>64.988980999999995</v>
      </c>
      <c r="T949">
        <v>75</v>
      </c>
      <c r="U949">
        <v>43.325988000000002</v>
      </c>
      <c r="V949">
        <v>50</v>
      </c>
      <c r="W949">
        <v>63.900387000000002</v>
      </c>
      <c r="X949">
        <v>42.600257999999997</v>
      </c>
      <c r="Y949">
        <v>50</v>
      </c>
      <c r="Z949">
        <v>73.963161999999997</v>
      </c>
      <c r="AA949">
        <v>60.748192000000003</v>
      </c>
      <c r="AB949">
        <v>40.498795000000001</v>
      </c>
      <c r="AC949">
        <v>50</v>
      </c>
      <c r="AD949">
        <v>61.701016000000003</v>
      </c>
      <c r="AE949">
        <v>41.134010000000004</v>
      </c>
      <c r="AF949">
        <v>50</v>
      </c>
      <c r="AG949" t="s">
        <v>125</v>
      </c>
      <c r="AH949" t="s">
        <v>125</v>
      </c>
      <c r="AI949" t="s">
        <v>125</v>
      </c>
      <c r="AJ949" t="s">
        <v>125</v>
      </c>
      <c r="AK949">
        <v>10.01</v>
      </c>
      <c r="AL949">
        <v>13.21</v>
      </c>
      <c r="AM949" t="s">
        <v>125</v>
      </c>
      <c r="AN949">
        <v>0.63241700000000001</v>
      </c>
      <c r="AO949">
        <v>63.241736000000003</v>
      </c>
      <c r="AP949">
        <v>100</v>
      </c>
      <c r="AQ949">
        <v>0.78850500000000001</v>
      </c>
      <c r="AR949">
        <v>78.850510999999997</v>
      </c>
      <c r="AS949">
        <v>100</v>
      </c>
      <c r="AT949">
        <v>0.61302299999999998</v>
      </c>
      <c r="AU949" t="s">
        <v>125</v>
      </c>
      <c r="AV949">
        <v>61.302273</v>
      </c>
      <c r="AW949">
        <v>100</v>
      </c>
      <c r="AX949">
        <v>0.76371699999999998</v>
      </c>
      <c r="AY949" t="s">
        <v>125</v>
      </c>
      <c r="AZ949">
        <v>76.371724999999998</v>
      </c>
      <c r="BA949">
        <v>100</v>
      </c>
      <c r="BB949" t="s">
        <v>125</v>
      </c>
      <c r="BC949" t="s">
        <v>125</v>
      </c>
      <c r="BD949" t="s">
        <v>125</v>
      </c>
      <c r="BE949" t="s">
        <v>125</v>
      </c>
      <c r="BF949" t="s">
        <v>125</v>
      </c>
      <c r="BG949" t="s">
        <v>125</v>
      </c>
      <c r="BH949">
        <v>0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 t="s">
        <v>125</v>
      </c>
      <c r="BR949">
        <v>6.3670000000000004E-2</v>
      </c>
      <c r="BS949">
        <v>47.265917999999999</v>
      </c>
      <c r="BT949">
        <v>50</v>
      </c>
      <c r="BU949">
        <v>7.5471999999999997E-2</v>
      </c>
      <c r="BV949">
        <v>44.905659999999997</v>
      </c>
      <c r="BW949">
        <v>50</v>
      </c>
      <c r="BX949" t="s">
        <v>125</v>
      </c>
      <c r="BY949" t="s">
        <v>125</v>
      </c>
      <c r="BZ949" t="s">
        <v>125</v>
      </c>
      <c r="CA949" t="s">
        <v>125</v>
      </c>
      <c r="CB949" t="s">
        <v>125</v>
      </c>
      <c r="CC949" t="s">
        <v>125</v>
      </c>
      <c r="CD949" t="s">
        <v>125</v>
      </c>
      <c r="CE949" t="s">
        <v>125</v>
      </c>
      <c r="CF949" t="s">
        <v>125</v>
      </c>
      <c r="CG949" t="s">
        <v>125</v>
      </c>
      <c r="CH949" t="s">
        <v>125</v>
      </c>
      <c r="CI949" t="s">
        <v>125</v>
      </c>
      <c r="CJ949" t="s">
        <v>125</v>
      </c>
      <c r="CK949" t="s">
        <v>125</v>
      </c>
      <c r="CL949" t="s">
        <v>125</v>
      </c>
      <c r="CM949" t="s">
        <v>125</v>
      </c>
      <c r="CN949" t="s">
        <v>125</v>
      </c>
      <c r="CO949" t="s">
        <v>125</v>
      </c>
      <c r="CP949" t="s">
        <v>125</v>
      </c>
      <c r="CQ949">
        <v>0.70454499999999998</v>
      </c>
      <c r="CR949">
        <v>0.97777800000000004</v>
      </c>
      <c r="CS949">
        <v>46.969696999999996</v>
      </c>
      <c r="CT949">
        <v>50</v>
      </c>
      <c r="CU949" t="s">
        <v>125</v>
      </c>
      <c r="CV949" t="s">
        <v>125</v>
      </c>
      <c r="CW949" t="s">
        <v>125</v>
      </c>
      <c r="CX949" t="s">
        <v>125</v>
      </c>
      <c r="CY949" t="s">
        <v>125</v>
      </c>
      <c r="CZ949" t="s">
        <v>125</v>
      </c>
      <c r="DA949">
        <v>15.314097</v>
      </c>
      <c r="DB949">
        <v>17.400950000000002</v>
      </c>
      <c r="DC949">
        <v>16.332519999999999</v>
      </c>
      <c r="DD949" t="s">
        <v>125</v>
      </c>
      <c r="DE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Q949" t="s">
        <v>126</v>
      </c>
    </row>
    <row r="950" spans="1:121" x14ac:dyDescent="0.15">
      <c r="A950">
        <v>2018</v>
      </c>
      <c r="B950" t="s">
        <v>224</v>
      </c>
      <c r="C950" t="str">
        <f t="shared" si="43"/>
        <v>1460011</v>
      </c>
      <c r="D950" t="s">
        <v>1035</v>
      </c>
      <c r="E950" t="str">
        <f>"1460311"</f>
        <v>1460311</v>
      </c>
      <c r="F950" t="s">
        <v>328</v>
      </c>
      <c r="G950" t="s">
        <v>329</v>
      </c>
      <c r="H950">
        <v>5</v>
      </c>
      <c r="I950" t="s">
        <v>336</v>
      </c>
      <c r="J950" t="s">
        <v>331</v>
      </c>
      <c r="K950">
        <v>693.14369499999998</v>
      </c>
      <c r="L950">
        <v>800</v>
      </c>
      <c r="M950">
        <v>86.642961999999997</v>
      </c>
      <c r="N950">
        <v>1</v>
      </c>
      <c r="O950">
        <v>0</v>
      </c>
      <c r="P950">
        <v>77.338673999999997</v>
      </c>
      <c r="Q950">
        <v>50</v>
      </c>
      <c r="R950">
        <v>50</v>
      </c>
      <c r="S950">
        <v>70.812171000000006</v>
      </c>
      <c r="T950">
        <v>75</v>
      </c>
      <c r="U950">
        <v>47.208114000000002</v>
      </c>
      <c r="V950">
        <v>50</v>
      </c>
      <c r="W950">
        <v>73.944671999999997</v>
      </c>
      <c r="X950">
        <v>49.296447999999998</v>
      </c>
      <c r="Y950">
        <v>50</v>
      </c>
      <c r="Z950">
        <v>75</v>
      </c>
      <c r="AA950">
        <v>68.126636000000005</v>
      </c>
      <c r="AB950">
        <v>45.417757000000002</v>
      </c>
      <c r="AC950">
        <v>50</v>
      </c>
      <c r="AD950">
        <v>68.928016999999997</v>
      </c>
      <c r="AE950">
        <v>45.952010999999999</v>
      </c>
      <c r="AF950">
        <v>50</v>
      </c>
      <c r="AG950" t="s">
        <v>125</v>
      </c>
      <c r="AH950" t="s">
        <v>125</v>
      </c>
      <c r="AI950" t="s">
        <v>125</v>
      </c>
      <c r="AJ950" t="s">
        <v>125</v>
      </c>
      <c r="AK950">
        <v>4.18</v>
      </c>
      <c r="AL950">
        <v>6.87</v>
      </c>
      <c r="AM950" t="s">
        <v>125</v>
      </c>
      <c r="AN950">
        <v>0.80130400000000002</v>
      </c>
      <c r="AO950">
        <v>80.130441000000005</v>
      </c>
      <c r="AP950">
        <v>100</v>
      </c>
      <c r="AQ950">
        <v>0.856456</v>
      </c>
      <c r="AR950">
        <v>85.645590999999996</v>
      </c>
      <c r="AS950">
        <v>100</v>
      </c>
      <c r="AT950">
        <v>0.74219299999999999</v>
      </c>
      <c r="AU950">
        <v>0.88750799999999996</v>
      </c>
      <c r="AV950">
        <v>74.219341999999997</v>
      </c>
      <c r="AW950">
        <v>100</v>
      </c>
      <c r="AX950">
        <v>0.85849699999999995</v>
      </c>
      <c r="AY950">
        <v>0.85348000000000002</v>
      </c>
      <c r="AZ950">
        <v>85.849687000000003</v>
      </c>
      <c r="BA950">
        <v>100</v>
      </c>
      <c r="BB950" t="s">
        <v>125</v>
      </c>
      <c r="BC950" t="s">
        <v>125</v>
      </c>
      <c r="BD950" t="s">
        <v>125</v>
      </c>
      <c r="BE950" t="s">
        <v>125</v>
      </c>
      <c r="BF950" t="s">
        <v>125</v>
      </c>
      <c r="BG950" t="s">
        <v>125</v>
      </c>
      <c r="BH950">
        <v>0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 t="s">
        <v>125</v>
      </c>
      <c r="BQ950" t="s">
        <v>125</v>
      </c>
      <c r="BR950">
        <v>4.7619000000000002E-2</v>
      </c>
      <c r="BS950">
        <v>50</v>
      </c>
      <c r="BT950">
        <v>50</v>
      </c>
      <c r="BU950">
        <v>6.5041000000000002E-2</v>
      </c>
      <c r="BV950">
        <v>46.991869999999999</v>
      </c>
      <c r="BW950">
        <v>50</v>
      </c>
      <c r="BX950" t="s">
        <v>125</v>
      </c>
      <c r="BY950" t="s">
        <v>125</v>
      </c>
      <c r="BZ950" t="s">
        <v>125</v>
      </c>
      <c r="CA950" t="s">
        <v>125</v>
      </c>
      <c r="CB950" t="s">
        <v>125</v>
      </c>
      <c r="CC950" t="s">
        <v>125</v>
      </c>
      <c r="CD950" t="s">
        <v>125</v>
      </c>
      <c r="CE950" t="s">
        <v>125</v>
      </c>
      <c r="CF950" t="s">
        <v>125</v>
      </c>
      <c r="CG950" t="s">
        <v>125</v>
      </c>
      <c r="CH950" t="s">
        <v>125</v>
      </c>
      <c r="CI950" t="s">
        <v>125</v>
      </c>
      <c r="CJ950" t="s">
        <v>125</v>
      </c>
      <c r="CK950" t="s">
        <v>125</v>
      </c>
      <c r="CL950" t="s">
        <v>125</v>
      </c>
      <c r="CM950" t="s">
        <v>125</v>
      </c>
      <c r="CN950" t="s">
        <v>125</v>
      </c>
      <c r="CO950" t="s">
        <v>125</v>
      </c>
      <c r="CP950" t="s">
        <v>125</v>
      </c>
      <c r="CQ950">
        <v>0.48648599999999997</v>
      </c>
      <c r="CR950">
        <v>1</v>
      </c>
      <c r="CS950">
        <v>32.432431999999999</v>
      </c>
      <c r="CT950">
        <v>50</v>
      </c>
      <c r="CU950" t="s">
        <v>125</v>
      </c>
      <c r="CV950" t="s">
        <v>125</v>
      </c>
      <c r="CW950" t="s">
        <v>125</v>
      </c>
      <c r="CX950" t="s">
        <v>125</v>
      </c>
      <c r="CY950" t="s">
        <v>125</v>
      </c>
      <c r="CZ950" t="s">
        <v>125</v>
      </c>
      <c r="DA950">
        <v>15.314097</v>
      </c>
      <c r="DB950">
        <v>17.400950000000002</v>
      </c>
      <c r="DC950">
        <v>16.332519999999999</v>
      </c>
      <c r="DD950" t="s">
        <v>125</v>
      </c>
      <c r="DE950">
        <v>0</v>
      </c>
      <c r="DH950" t="s">
        <v>332</v>
      </c>
      <c r="DI950" t="s">
        <v>615</v>
      </c>
      <c r="DJ950">
        <v>1</v>
      </c>
      <c r="DK950">
        <v>1</v>
      </c>
      <c r="DL950">
        <v>1</v>
      </c>
      <c r="DM950">
        <v>1</v>
      </c>
      <c r="DN950">
        <v>1</v>
      </c>
      <c r="DO950">
        <v>0</v>
      </c>
      <c r="DQ950" t="s">
        <v>126</v>
      </c>
    </row>
    <row r="951" spans="1:121" x14ac:dyDescent="0.15">
      <c r="A951">
        <v>2018</v>
      </c>
      <c r="B951" t="s">
        <v>224</v>
      </c>
      <c r="C951" t="str">
        <f t="shared" si="43"/>
        <v>1460011</v>
      </c>
      <c r="D951" t="s">
        <v>1099</v>
      </c>
      <c r="E951" t="str">
        <f>"1466111"</f>
        <v>1466111</v>
      </c>
      <c r="F951" t="s">
        <v>328</v>
      </c>
      <c r="G951">
        <v>9</v>
      </c>
      <c r="H951">
        <v>12</v>
      </c>
      <c r="J951" t="s">
        <v>331</v>
      </c>
      <c r="K951">
        <v>1051.1926390000001</v>
      </c>
      <c r="L951">
        <v>1450</v>
      </c>
      <c r="M951">
        <v>72.496043999999998</v>
      </c>
      <c r="N951">
        <v>3</v>
      </c>
      <c r="O951">
        <v>1</v>
      </c>
      <c r="P951">
        <v>55.525224999999999</v>
      </c>
      <c r="Q951">
        <v>111.05045</v>
      </c>
      <c r="R951">
        <v>150</v>
      </c>
      <c r="S951">
        <v>47.492981999999998</v>
      </c>
      <c r="T951">
        <v>64.003703999999999</v>
      </c>
      <c r="U951">
        <v>94.985964999999993</v>
      </c>
      <c r="V951">
        <v>150</v>
      </c>
      <c r="W951">
        <v>51.984084000000003</v>
      </c>
      <c r="X951">
        <v>103.96816800000001</v>
      </c>
      <c r="Y951">
        <v>150</v>
      </c>
      <c r="Z951">
        <v>59.827778000000002</v>
      </c>
      <c r="AA951">
        <v>44.553215999999999</v>
      </c>
      <c r="AB951">
        <v>89.106432999999996</v>
      </c>
      <c r="AC951">
        <v>150</v>
      </c>
      <c r="AD951">
        <v>62.094327</v>
      </c>
      <c r="AE951">
        <v>82.792435999999995</v>
      </c>
      <c r="AF951">
        <v>100</v>
      </c>
      <c r="AG951">
        <v>54.511501000000003</v>
      </c>
      <c r="AH951">
        <v>69.929914999999994</v>
      </c>
      <c r="AI951">
        <v>72.682001</v>
      </c>
      <c r="AJ951">
        <v>100</v>
      </c>
      <c r="AK951">
        <v>16.510000000000002</v>
      </c>
      <c r="AL951">
        <v>15.27</v>
      </c>
      <c r="AM951">
        <v>15.41</v>
      </c>
      <c r="AN951" t="s">
        <v>125</v>
      </c>
      <c r="AO951" t="s">
        <v>125</v>
      </c>
      <c r="AP951" t="s">
        <v>125</v>
      </c>
      <c r="AQ951" t="s">
        <v>125</v>
      </c>
      <c r="AR951" t="s">
        <v>125</v>
      </c>
      <c r="AS951" t="s">
        <v>125</v>
      </c>
      <c r="AT951" t="s">
        <v>125</v>
      </c>
      <c r="AU951" t="s">
        <v>125</v>
      </c>
      <c r="AV951" t="s">
        <v>125</v>
      </c>
      <c r="AW951" t="s">
        <v>125</v>
      </c>
      <c r="AX951" t="s">
        <v>125</v>
      </c>
      <c r="AY951" t="s">
        <v>125</v>
      </c>
      <c r="AZ951" t="s">
        <v>125</v>
      </c>
      <c r="BA951" t="s">
        <v>125</v>
      </c>
      <c r="BB951" t="s">
        <v>125</v>
      </c>
      <c r="BC951" t="s">
        <v>125</v>
      </c>
      <c r="BD951" t="s">
        <v>125</v>
      </c>
      <c r="BE951" t="s">
        <v>125</v>
      </c>
      <c r="BF951" t="s">
        <v>125</v>
      </c>
      <c r="BG951" t="s">
        <v>125</v>
      </c>
      <c r="BH951">
        <v>0</v>
      </c>
      <c r="BI951">
        <v>0.97422699999999995</v>
      </c>
      <c r="BJ951">
        <v>0.95145599999999997</v>
      </c>
      <c r="BK951">
        <v>1</v>
      </c>
      <c r="BL951">
        <v>0.97422699999999995</v>
      </c>
      <c r="BM951">
        <v>0.95145599999999997</v>
      </c>
      <c r="BN951">
        <v>1</v>
      </c>
      <c r="BO951">
        <v>0.968912</v>
      </c>
      <c r="BP951">
        <v>0.95098000000000005</v>
      </c>
      <c r="BQ951">
        <v>0.98901099999999997</v>
      </c>
      <c r="BR951">
        <v>0.13763700000000001</v>
      </c>
      <c r="BS951">
        <v>32.472594000000001</v>
      </c>
      <c r="BT951">
        <v>50</v>
      </c>
      <c r="BU951">
        <v>0.21749399999999999</v>
      </c>
      <c r="BV951">
        <v>16.501182</v>
      </c>
      <c r="BW951">
        <v>50</v>
      </c>
      <c r="BX951">
        <v>0.93947400000000003</v>
      </c>
      <c r="BY951">
        <v>50</v>
      </c>
      <c r="BZ951">
        <v>50</v>
      </c>
      <c r="CA951">
        <v>0.38947399999999999</v>
      </c>
      <c r="CB951">
        <v>25.964912000000002</v>
      </c>
      <c r="CC951">
        <v>50</v>
      </c>
      <c r="CD951">
        <v>0.81300799999999995</v>
      </c>
      <c r="CE951">
        <v>43.245113000000003</v>
      </c>
      <c r="CF951">
        <v>50</v>
      </c>
      <c r="CG951">
        <v>0.80660399999999999</v>
      </c>
      <c r="CH951">
        <v>85.808912000000007</v>
      </c>
      <c r="CI951">
        <v>100</v>
      </c>
      <c r="CJ951">
        <v>1</v>
      </c>
      <c r="CK951">
        <v>0.68085099999999998</v>
      </c>
      <c r="CL951">
        <v>72.430964000000003</v>
      </c>
      <c r="CM951">
        <v>100</v>
      </c>
      <c r="CN951">
        <v>0.68571400000000005</v>
      </c>
      <c r="CO951">
        <v>91.428571000000005</v>
      </c>
      <c r="CP951">
        <v>100</v>
      </c>
      <c r="CQ951">
        <v>0.50531899999999996</v>
      </c>
      <c r="CR951">
        <v>0.95918400000000004</v>
      </c>
      <c r="CS951">
        <v>33.687942999999997</v>
      </c>
      <c r="CT951">
        <v>50</v>
      </c>
      <c r="CU951">
        <v>0.54080399999999995</v>
      </c>
      <c r="CV951">
        <v>45.066991000000002</v>
      </c>
      <c r="CW951">
        <v>50</v>
      </c>
      <c r="CX951">
        <v>0.68085099999999998</v>
      </c>
      <c r="CY951">
        <v>0.94</v>
      </c>
      <c r="CZ951">
        <v>0.25914900000000002</v>
      </c>
      <c r="DA951">
        <v>15.314097</v>
      </c>
      <c r="DB951">
        <v>17.400950000000002</v>
      </c>
      <c r="DC951">
        <v>16.332519999999999</v>
      </c>
      <c r="DD951">
        <v>7.9891730000000001</v>
      </c>
      <c r="DE951">
        <v>1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Q951" t="s">
        <v>126</v>
      </c>
    </row>
    <row r="952" spans="1:121" x14ac:dyDescent="0.15">
      <c r="A952">
        <v>2018</v>
      </c>
      <c r="B952" t="s">
        <v>224</v>
      </c>
      <c r="C952" t="str">
        <f t="shared" si="43"/>
        <v>1460011</v>
      </c>
      <c r="D952" t="s">
        <v>1100</v>
      </c>
      <c r="E952" t="str">
        <f>"1461011"</f>
        <v>1461011</v>
      </c>
      <c r="F952" t="s">
        <v>328</v>
      </c>
      <c r="G952" t="s">
        <v>329</v>
      </c>
      <c r="H952">
        <v>5</v>
      </c>
      <c r="I952" t="s">
        <v>336</v>
      </c>
      <c r="J952" t="s">
        <v>331</v>
      </c>
      <c r="K952">
        <v>753.61891400000002</v>
      </c>
      <c r="L952">
        <v>950</v>
      </c>
      <c r="M952">
        <v>79.328306999999995</v>
      </c>
      <c r="N952">
        <v>2</v>
      </c>
      <c r="O952">
        <v>0</v>
      </c>
      <c r="P952">
        <v>72.768231999999998</v>
      </c>
      <c r="Q952">
        <v>48.512155</v>
      </c>
      <c r="R952">
        <v>50</v>
      </c>
      <c r="S952">
        <v>68.451738000000006</v>
      </c>
      <c r="T952">
        <v>75</v>
      </c>
      <c r="U952">
        <v>45.634492000000002</v>
      </c>
      <c r="V952">
        <v>50</v>
      </c>
      <c r="W952">
        <v>65.426789999999997</v>
      </c>
      <c r="X952">
        <v>43.61786</v>
      </c>
      <c r="Y952">
        <v>50</v>
      </c>
      <c r="Z952">
        <v>74.602303000000006</v>
      </c>
      <c r="AA952">
        <v>59.717581000000003</v>
      </c>
      <c r="AB952">
        <v>39.811720999999999</v>
      </c>
      <c r="AC952">
        <v>50</v>
      </c>
      <c r="AD952">
        <v>66.812938000000003</v>
      </c>
      <c r="AE952">
        <v>44.541958999999999</v>
      </c>
      <c r="AF952">
        <v>50</v>
      </c>
      <c r="AG952">
        <v>61.709955999999998</v>
      </c>
      <c r="AH952" t="s">
        <v>125</v>
      </c>
      <c r="AI952">
        <v>41.139969999999998</v>
      </c>
      <c r="AJ952">
        <v>50</v>
      </c>
      <c r="AK952">
        <v>6.54</v>
      </c>
      <c r="AL952">
        <v>14.88</v>
      </c>
      <c r="AM952" t="s">
        <v>125</v>
      </c>
      <c r="AN952">
        <v>0.80750299999999997</v>
      </c>
      <c r="AO952">
        <v>80.750260999999995</v>
      </c>
      <c r="AP952">
        <v>100</v>
      </c>
      <c r="AQ952">
        <v>0.67799799999999999</v>
      </c>
      <c r="AR952">
        <v>67.799834000000004</v>
      </c>
      <c r="AS952">
        <v>100</v>
      </c>
      <c r="AT952">
        <v>0.81427499999999997</v>
      </c>
      <c r="AU952">
        <v>0.79774299999999998</v>
      </c>
      <c r="AV952">
        <v>81.427481</v>
      </c>
      <c r="AW952">
        <v>100</v>
      </c>
      <c r="AX952">
        <v>0.60923899999999998</v>
      </c>
      <c r="AY952">
        <v>0.77507099999999995</v>
      </c>
      <c r="AZ952">
        <v>60.923862</v>
      </c>
      <c r="BA952">
        <v>100</v>
      </c>
      <c r="BB952">
        <v>0.93784500000000004</v>
      </c>
      <c r="BC952">
        <v>46.892249</v>
      </c>
      <c r="BD952">
        <v>50</v>
      </c>
      <c r="BE952">
        <v>0.665049</v>
      </c>
      <c r="BF952">
        <v>33.252443</v>
      </c>
      <c r="BG952">
        <v>50</v>
      </c>
      <c r="BH952">
        <v>0</v>
      </c>
      <c r="BI952">
        <v>0.99346400000000001</v>
      </c>
      <c r="BJ952">
        <v>0.98969099999999999</v>
      </c>
      <c r="BK952">
        <v>1</v>
      </c>
      <c r="BL952">
        <v>0.99346400000000001</v>
      </c>
      <c r="BM952">
        <v>0.98969099999999999</v>
      </c>
      <c r="BN952">
        <v>1</v>
      </c>
      <c r="BO952">
        <v>1</v>
      </c>
      <c r="BP952">
        <v>1</v>
      </c>
      <c r="BQ952" t="s">
        <v>125</v>
      </c>
      <c r="BR952">
        <v>9.1837000000000002E-2</v>
      </c>
      <c r="BS952">
        <v>41.632652999999998</v>
      </c>
      <c r="BT952">
        <v>50</v>
      </c>
      <c r="BU952">
        <v>0.123711</v>
      </c>
      <c r="BV952">
        <v>35.257731999999997</v>
      </c>
      <c r="BW952">
        <v>50</v>
      </c>
      <c r="BX952" t="s">
        <v>125</v>
      </c>
      <c r="BY952" t="s">
        <v>125</v>
      </c>
      <c r="BZ952" t="s">
        <v>125</v>
      </c>
      <c r="CA952" t="s">
        <v>125</v>
      </c>
      <c r="CB952" t="s">
        <v>125</v>
      </c>
      <c r="CC952" t="s">
        <v>125</v>
      </c>
      <c r="CD952" t="s">
        <v>125</v>
      </c>
      <c r="CE952" t="s">
        <v>125</v>
      </c>
      <c r="CF952" t="s">
        <v>125</v>
      </c>
      <c r="CG952" t="s">
        <v>125</v>
      </c>
      <c r="CH952" t="s">
        <v>125</v>
      </c>
      <c r="CI952" t="s">
        <v>125</v>
      </c>
      <c r="CJ952" t="s">
        <v>125</v>
      </c>
      <c r="CK952" t="s">
        <v>125</v>
      </c>
      <c r="CL952" t="s">
        <v>125</v>
      </c>
      <c r="CM952" t="s">
        <v>125</v>
      </c>
      <c r="CN952" t="s">
        <v>125</v>
      </c>
      <c r="CO952" t="s">
        <v>125</v>
      </c>
      <c r="CP952" t="s">
        <v>125</v>
      </c>
      <c r="CQ952">
        <v>0.63636400000000004</v>
      </c>
      <c r="CR952">
        <v>1</v>
      </c>
      <c r="CS952">
        <v>42.424242</v>
      </c>
      <c r="CT952">
        <v>50</v>
      </c>
      <c r="CU952" t="s">
        <v>125</v>
      </c>
      <c r="CV952" t="s">
        <v>125</v>
      </c>
      <c r="CW952" t="s">
        <v>125</v>
      </c>
      <c r="CX952" t="s">
        <v>125</v>
      </c>
      <c r="CY952" t="s">
        <v>125</v>
      </c>
      <c r="CZ952" t="s">
        <v>125</v>
      </c>
      <c r="DA952">
        <v>15.314097</v>
      </c>
      <c r="DB952">
        <v>17.400950000000002</v>
      </c>
      <c r="DC952">
        <v>16.332519999999999</v>
      </c>
      <c r="DD952" t="s">
        <v>125</v>
      </c>
      <c r="DE952">
        <v>0</v>
      </c>
      <c r="DH952" t="s">
        <v>332</v>
      </c>
      <c r="DI952" t="s">
        <v>529</v>
      </c>
      <c r="DJ952">
        <v>0</v>
      </c>
      <c r="DK952">
        <v>1</v>
      </c>
      <c r="DL952">
        <v>0</v>
      </c>
      <c r="DM952">
        <v>1</v>
      </c>
      <c r="DN952">
        <v>0</v>
      </c>
      <c r="DO952">
        <v>0</v>
      </c>
      <c r="DQ952" t="s">
        <v>126</v>
      </c>
    </row>
    <row r="953" spans="1:121" x14ac:dyDescent="0.15">
      <c r="A953">
        <v>2018</v>
      </c>
      <c r="B953" t="s">
        <v>224</v>
      </c>
      <c r="C953" t="str">
        <f t="shared" si="43"/>
        <v>1460011</v>
      </c>
      <c r="D953" t="s">
        <v>1101</v>
      </c>
      <c r="E953" t="str">
        <f>"1465111"</f>
        <v>1465111</v>
      </c>
      <c r="F953" t="s">
        <v>328</v>
      </c>
      <c r="G953">
        <v>6</v>
      </c>
      <c r="H953">
        <v>8</v>
      </c>
      <c r="I953" t="s">
        <v>336</v>
      </c>
      <c r="J953" t="s">
        <v>331</v>
      </c>
      <c r="K953">
        <v>614.68393900000001</v>
      </c>
      <c r="L953">
        <v>900</v>
      </c>
      <c r="M953">
        <v>68.298214999999999</v>
      </c>
      <c r="N953">
        <v>3</v>
      </c>
      <c r="O953">
        <v>1</v>
      </c>
      <c r="P953">
        <v>64.860161000000005</v>
      </c>
      <c r="Q953">
        <v>43.240107000000002</v>
      </c>
      <c r="R953">
        <v>50</v>
      </c>
      <c r="S953">
        <v>58.392918999999999</v>
      </c>
      <c r="T953">
        <v>75</v>
      </c>
      <c r="U953">
        <v>38.928612000000001</v>
      </c>
      <c r="V953">
        <v>50</v>
      </c>
      <c r="W953">
        <v>59.563319999999997</v>
      </c>
      <c r="X953">
        <v>39.708880000000001</v>
      </c>
      <c r="Y953">
        <v>50</v>
      </c>
      <c r="Z953">
        <v>71.697952999999998</v>
      </c>
      <c r="AA953">
        <v>52.617092999999997</v>
      </c>
      <c r="AB953">
        <v>35.078062000000003</v>
      </c>
      <c r="AC953">
        <v>50</v>
      </c>
      <c r="AD953">
        <v>63.120977000000003</v>
      </c>
      <c r="AE953">
        <v>42.080651000000003</v>
      </c>
      <c r="AF953">
        <v>50</v>
      </c>
      <c r="AG953">
        <v>54.669122000000002</v>
      </c>
      <c r="AH953">
        <v>73.390433999999999</v>
      </c>
      <c r="AI953">
        <v>36.446081999999997</v>
      </c>
      <c r="AJ953">
        <v>50</v>
      </c>
      <c r="AK953">
        <v>16.600000000000001</v>
      </c>
      <c r="AL953">
        <v>19.079999999999998</v>
      </c>
      <c r="AM953">
        <v>18.72</v>
      </c>
      <c r="AN953">
        <v>0.60778900000000002</v>
      </c>
      <c r="AO953">
        <v>60.778866999999998</v>
      </c>
      <c r="AP953">
        <v>100</v>
      </c>
      <c r="AQ953">
        <v>0.56486000000000003</v>
      </c>
      <c r="AR953">
        <v>56.486023000000003</v>
      </c>
      <c r="AS953">
        <v>100</v>
      </c>
      <c r="AT953">
        <v>0.571573</v>
      </c>
      <c r="AU953">
        <v>0.66863700000000004</v>
      </c>
      <c r="AV953">
        <v>57.157307000000003</v>
      </c>
      <c r="AW953">
        <v>100</v>
      </c>
      <c r="AX953">
        <v>0.52057699999999996</v>
      </c>
      <c r="AY953">
        <v>0.63794600000000001</v>
      </c>
      <c r="AZ953">
        <v>52.057675000000003</v>
      </c>
      <c r="BA953">
        <v>100</v>
      </c>
      <c r="BB953" t="s">
        <v>125</v>
      </c>
      <c r="BC953" t="s">
        <v>125</v>
      </c>
      <c r="BD953" t="s">
        <v>125</v>
      </c>
      <c r="BE953" t="s">
        <v>125</v>
      </c>
      <c r="BF953" t="s">
        <v>125</v>
      </c>
      <c r="BG953" t="s">
        <v>125</v>
      </c>
      <c r="BH953">
        <v>0</v>
      </c>
      <c r="BI953">
        <v>0.99437399999999998</v>
      </c>
      <c r="BJ953">
        <v>0.99134199999999995</v>
      </c>
      <c r="BK953">
        <v>1</v>
      </c>
      <c r="BL953">
        <v>0.98450700000000002</v>
      </c>
      <c r="BM953">
        <v>0.97830799999999996</v>
      </c>
      <c r="BN953">
        <v>0.99598399999999998</v>
      </c>
      <c r="BO953">
        <v>0.99074099999999998</v>
      </c>
      <c r="BP953">
        <v>0.98373999999999995</v>
      </c>
      <c r="BQ953">
        <v>1</v>
      </c>
      <c r="BR953">
        <v>8.0394999999999994E-2</v>
      </c>
      <c r="BS953">
        <v>43.921016000000002</v>
      </c>
      <c r="BT953">
        <v>50</v>
      </c>
      <c r="BU953">
        <v>0.11597399999999999</v>
      </c>
      <c r="BV953">
        <v>36.805252000000003</v>
      </c>
      <c r="BW953">
        <v>50</v>
      </c>
      <c r="BX953" t="s">
        <v>125</v>
      </c>
      <c r="BY953" t="s">
        <v>125</v>
      </c>
      <c r="BZ953" t="s">
        <v>125</v>
      </c>
      <c r="CA953" t="s">
        <v>125</v>
      </c>
      <c r="CB953" t="s">
        <v>125</v>
      </c>
      <c r="CC953" t="s">
        <v>125</v>
      </c>
      <c r="CD953">
        <v>0.84166700000000005</v>
      </c>
      <c r="CE953">
        <v>44.769503999999998</v>
      </c>
      <c r="CF953">
        <v>50</v>
      </c>
      <c r="CG953" t="s">
        <v>125</v>
      </c>
      <c r="CH953" t="s">
        <v>125</v>
      </c>
      <c r="CI953" t="s">
        <v>125</v>
      </c>
      <c r="CJ953" t="s">
        <v>125</v>
      </c>
      <c r="CK953" t="s">
        <v>125</v>
      </c>
      <c r="CL953" t="s">
        <v>125</v>
      </c>
      <c r="CM953" t="s">
        <v>125</v>
      </c>
      <c r="CN953" t="s">
        <v>125</v>
      </c>
      <c r="CO953" t="s">
        <v>125</v>
      </c>
      <c r="CP953" t="s">
        <v>125</v>
      </c>
      <c r="CQ953">
        <v>0.408389</v>
      </c>
      <c r="CR953">
        <v>0.97629299999999997</v>
      </c>
      <c r="CS953">
        <v>27.225901</v>
      </c>
      <c r="CT953">
        <v>50</v>
      </c>
      <c r="CU953" t="s">
        <v>125</v>
      </c>
      <c r="CV953" t="s">
        <v>125</v>
      </c>
      <c r="CW953" t="s">
        <v>125</v>
      </c>
      <c r="CX953" t="s">
        <v>125</v>
      </c>
      <c r="CY953" t="s">
        <v>125</v>
      </c>
      <c r="CZ953" t="s">
        <v>125</v>
      </c>
      <c r="DA953">
        <v>15.314097</v>
      </c>
      <c r="DB953">
        <v>17.400950000000002</v>
      </c>
      <c r="DC953">
        <v>16.332519999999999</v>
      </c>
      <c r="DD953" t="s">
        <v>125</v>
      </c>
      <c r="DE953">
        <v>1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Q953" t="s">
        <v>126</v>
      </c>
    </row>
    <row r="954" spans="1:121" x14ac:dyDescent="0.15">
      <c r="A954">
        <v>2018</v>
      </c>
      <c r="B954" t="s">
        <v>190</v>
      </c>
      <c r="C954" t="str">
        <f>"1470011"</f>
        <v>1470011</v>
      </c>
      <c r="D954" t="s">
        <v>1102</v>
      </c>
      <c r="E954" t="str">
        <f>"1470111"</f>
        <v>1470111</v>
      </c>
      <c r="F954" t="s">
        <v>328</v>
      </c>
      <c r="G954" t="s">
        <v>329</v>
      </c>
      <c r="H954">
        <v>8</v>
      </c>
      <c r="I954" t="s">
        <v>330</v>
      </c>
      <c r="J954" t="s">
        <v>331</v>
      </c>
      <c r="K954">
        <v>703.60534500000006</v>
      </c>
      <c r="L954">
        <v>850</v>
      </c>
      <c r="M954">
        <v>82.777099000000007</v>
      </c>
      <c r="N954">
        <v>2</v>
      </c>
      <c r="O954">
        <v>0</v>
      </c>
      <c r="P954">
        <v>75.17765</v>
      </c>
      <c r="Q954">
        <v>50</v>
      </c>
      <c r="R954">
        <v>50</v>
      </c>
      <c r="S954">
        <v>62.136895000000003</v>
      </c>
      <c r="T954">
        <v>75</v>
      </c>
      <c r="U954">
        <v>41.424596999999999</v>
      </c>
      <c r="V954">
        <v>50</v>
      </c>
      <c r="W954">
        <v>72.118769999999998</v>
      </c>
      <c r="X954">
        <v>48.079180000000001</v>
      </c>
      <c r="Y954">
        <v>50</v>
      </c>
      <c r="Z954">
        <v>75</v>
      </c>
      <c r="AA954">
        <v>59.047221</v>
      </c>
      <c r="AB954">
        <v>39.364814000000003</v>
      </c>
      <c r="AC954">
        <v>50</v>
      </c>
      <c r="AD954">
        <v>78.222024000000005</v>
      </c>
      <c r="AE954">
        <v>50</v>
      </c>
      <c r="AF954">
        <v>50</v>
      </c>
      <c r="AG954" t="s">
        <v>125</v>
      </c>
      <c r="AH954">
        <v>75</v>
      </c>
      <c r="AI954" t="s">
        <v>125</v>
      </c>
      <c r="AJ954" t="s">
        <v>125</v>
      </c>
      <c r="AK954">
        <v>12.86</v>
      </c>
      <c r="AL954">
        <v>15.95</v>
      </c>
      <c r="AM954" t="s">
        <v>125</v>
      </c>
      <c r="AN954">
        <v>0.70339399999999996</v>
      </c>
      <c r="AO954">
        <v>70.339359999999999</v>
      </c>
      <c r="AP954">
        <v>100</v>
      </c>
      <c r="AQ954">
        <v>0.80255799999999999</v>
      </c>
      <c r="AR954">
        <v>80.255790000000005</v>
      </c>
      <c r="AS954">
        <v>100</v>
      </c>
      <c r="AT954">
        <v>0.64025399999999999</v>
      </c>
      <c r="AU954">
        <v>0.73677800000000004</v>
      </c>
      <c r="AV954">
        <v>64.025395000000003</v>
      </c>
      <c r="AW954">
        <v>100</v>
      </c>
      <c r="AX954">
        <v>0.68852199999999997</v>
      </c>
      <c r="AY954">
        <v>0.86285299999999998</v>
      </c>
      <c r="AZ954">
        <v>68.852163000000004</v>
      </c>
      <c r="BA954">
        <v>100</v>
      </c>
      <c r="BB954" t="s">
        <v>125</v>
      </c>
      <c r="BC954" t="s">
        <v>125</v>
      </c>
      <c r="BD954" t="s">
        <v>125</v>
      </c>
      <c r="BE954" t="s">
        <v>125</v>
      </c>
      <c r="BF954" t="s">
        <v>125</v>
      </c>
      <c r="BG954" t="s">
        <v>125</v>
      </c>
      <c r="BH954">
        <v>0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 t="s">
        <v>125</v>
      </c>
      <c r="BQ954">
        <v>1</v>
      </c>
      <c r="BR954">
        <v>4.0178999999999999E-2</v>
      </c>
      <c r="BS954">
        <v>50</v>
      </c>
      <c r="BT954">
        <v>50</v>
      </c>
      <c r="BU954">
        <v>5.6180000000000001E-2</v>
      </c>
      <c r="BV954">
        <v>48.764045000000003</v>
      </c>
      <c r="BW954">
        <v>50</v>
      </c>
      <c r="BX954" t="s">
        <v>125</v>
      </c>
      <c r="BY954" t="s">
        <v>125</v>
      </c>
      <c r="BZ954" t="s">
        <v>125</v>
      </c>
      <c r="CA954" t="s">
        <v>125</v>
      </c>
      <c r="CB954" t="s">
        <v>125</v>
      </c>
      <c r="CC954" t="s">
        <v>125</v>
      </c>
      <c r="CD954">
        <v>0.96551699999999996</v>
      </c>
      <c r="CE954">
        <v>50</v>
      </c>
      <c r="CF954">
        <v>50</v>
      </c>
      <c r="CG954" t="s">
        <v>125</v>
      </c>
      <c r="CH954" t="s">
        <v>125</v>
      </c>
      <c r="CI954" t="s">
        <v>125</v>
      </c>
      <c r="CJ954" t="s">
        <v>125</v>
      </c>
      <c r="CK954" t="s">
        <v>125</v>
      </c>
      <c r="CL954" t="s">
        <v>125</v>
      </c>
      <c r="CM954" t="s">
        <v>125</v>
      </c>
      <c r="CN954" t="s">
        <v>125</v>
      </c>
      <c r="CO954" t="s">
        <v>125</v>
      </c>
      <c r="CP954" t="s">
        <v>125</v>
      </c>
      <c r="CQ954">
        <v>0.63749999999999996</v>
      </c>
      <c r="CR954">
        <v>0.90909099999999998</v>
      </c>
      <c r="CS954">
        <v>42.5</v>
      </c>
      <c r="CT954">
        <v>50</v>
      </c>
      <c r="CU954" t="s">
        <v>125</v>
      </c>
      <c r="CV954" t="s">
        <v>125</v>
      </c>
      <c r="CW954" t="s">
        <v>125</v>
      </c>
      <c r="CX954" t="s">
        <v>125</v>
      </c>
      <c r="CY954" t="s">
        <v>125</v>
      </c>
      <c r="CZ954" t="s">
        <v>125</v>
      </c>
      <c r="DA954">
        <v>15.314097</v>
      </c>
      <c r="DB954">
        <v>17.400950000000002</v>
      </c>
      <c r="DC954">
        <v>16.332519999999999</v>
      </c>
      <c r="DD954" t="s">
        <v>125</v>
      </c>
      <c r="DE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Q954" t="s">
        <v>126</v>
      </c>
    </row>
    <row r="955" spans="1:121" x14ac:dyDescent="0.15">
      <c r="A955">
        <v>2018</v>
      </c>
      <c r="B955" t="s">
        <v>191</v>
      </c>
      <c r="C955" t="str">
        <f t="shared" ref="C955:C966" si="44">"1480011"</f>
        <v>1480011</v>
      </c>
      <c r="D955" t="s">
        <v>1103</v>
      </c>
      <c r="E955" t="str">
        <f>"1481011"</f>
        <v>1481011</v>
      </c>
      <c r="F955" t="s">
        <v>328</v>
      </c>
      <c r="G955" t="s">
        <v>329</v>
      </c>
      <c r="H955">
        <v>2</v>
      </c>
      <c r="I955" t="s">
        <v>330</v>
      </c>
      <c r="J955" t="s">
        <v>331</v>
      </c>
      <c r="K955">
        <v>95.123966999999993</v>
      </c>
      <c r="L955">
        <v>100</v>
      </c>
      <c r="M955">
        <v>95.123966999999993</v>
      </c>
      <c r="N955" t="s">
        <v>125</v>
      </c>
      <c r="O955" t="s">
        <v>125</v>
      </c>
      <c r="P955" t="s">
        <v>125</v>
      </c>
      <c r="Q955" t="s">
        <v>125</v>
      </c>
      <c r="R955" t="s">
        <v>125</v>
      </c>
      <c r="S955" t="s">
        <v>125</v>
      </c>
      <c r="T955" t="s">
        <v>125</v>
      </c>
      <c r="U955" t="s">
        <v>125</v>
      </c>
      <c r="V955" t="s">
        <v>125</v>
      </c>
      <c r="W955" t="s">
        <v>125</v>
      </c>
      <c r="X955" t="s">
        <v>125</v>
      </c>
      <c r="Y955" t="s">
        <v>125</v>
      </c>
      <c r="Z955" t="s">
        <v>125</v>
      </c>
      <c r="AA955" t="s">
        <v>125</v>
      </c>
      <c r="AB955" t="s">
        <v>125</v>
      </c>
      <c r="AC955" t="s">
        <v>125</v>
      </c>
      <c r="AD955" t="s">
        <v>125</v>
      </c>
      <c r="AE955" t="s">
        <v>125</v>
      </c>
      <c r="AF955" t="s">
        <v>125</v>
      </c>
      <c r="AG955" t="s">
        <v>125</v>
      </c>
      <c r="AH955" t="s">
        <v>125</v>
      </c>
      <c r="AI955" t="s">
        <v>125</v>
      </c>
      <c r="AJ955" t="s">
        <v>125</v>
      </c>
      <c r="AK955" t="s">
        <v>125</v>
      </c>
      <c r="AL955" t="s">
        <v>125</v>
      </c>
      <c r="AM955" t="s">
        <v>125</v>
      </c>
      <c r="AN955" t="s">
        <v>125</v>
      </c>
      <c r="AO955" t="s">
        <v>125</v>
      </c>
      <c r="AP955" t="s">
        <v>125</v>
      </c>
      <c r="AQ955" t="s">
        <v>125</v>
      </c>
      <c r="AR955" t="s">
        <v>125</v>
      </c>
      <c r="AS955" t="s">
        <v>125</v>
      </c>
      <c r="AT955" t="s">
        <v>125</v>
      </c>
      <c r="AU955" t="s">
        <v>125</v>
      </c>
      <c r="AV955" t="s">
        <v>125</v>
      </c>
      <c r="AW955" t="s">
        <v>125</v>
      </c>
      <c r="AX955" t="s">
        <v>125</v>
      </c>
      <c r="AY955" t="s">
        <v>125</v>
      </c>
      <c r="AZ955" t="s">
        <v>125</v>
      </c>
      <c r="BA955" t="s">
        <v>125</v>
      </c>
      <c r="BB955" t="s">
        <v>125</v>
      </c>
      <c r="BC955" t="s">
        <v>125</v>
      </c>
      <c r="BD955" t="s">
        <v>125</v>
      </c>
      <c r="BE955" t="s">
        <v>125</v>
      </c>
      <c r="BF955" t="s">
        <v>125</v>
      </c>
      <c r="BG955" t="s">
        <v>125</v>
      </c>
      <c r="BH955" t="s">
        <v>125</v>
      </c>
      <c r="BI955" t="s">
        <v>125</v>
      </c>
      <c r="BJ955" t="s">
        <v>125</v>
      </c>
      <c r="BK955" t="s">
        <v>125</v>
      </c>
      <c r="BL955" t="s">
        <v>125</v>
      </c>
      <c r="BM955" t="s">
        <v>125</v>
      </c>
      <c r="BN955" t="s">
        <v>125</v>
      </c>
      <c r="BO955" t="s">
        <v>125</v>
      </c>
      <c r="BP955" t="s">
        <v>125</v>
      </c>
      <c r="BQ955" t="s">
        <v>125</v>
      </c>
      <c r="BR955">
        <v>4.2373000000000001E-2</v>
      </c>
      <c r="BS955">
        <v>50</v>
      </c>
      <c r="BT955">
        <v>50</v>
      </c>
      <c r="BU955">
        <v>7.4380000000000002E-2</v>
      </c>
      <c r="BV955">
        <v>45.123967</v>
      </c>
      <c r="BW955">
        <v>50</v>
      </c>
      <c r="BX955" t="s">
        <v>125</v>
      </c>
      <c r="BY955" t="s">
        <v>125</v>
      </c>
      <c r="BZ955" t="s">
        <v>125</v>
      </c>
      <c r="CA955" t="s">
        <v>125</v>
      </c>
      <c r="CB955" t="s">
        <v>125</v>
      </c>
      <c r="CC955" t="s">
        <v>125</v>
      </c>
      <c r="CD955" t="s">
        <v>125</v>
      </c>
      <c r="CE955" t="s">
        <v>125</v>
      </c>
      <c r="CF955" t="s">
        <v>125</v>
      </c>
      <c r="CG955" t="s">
        <v>125</v>
      </c>
      <c r="CH955" t="s">
        <v>125</v>
      </c>
      <c r="CI955" t="s">
        <v>125</v>
      </c>
      <c r="CJ955" t="s">
        <v>125</v>
      </c>
      <c r="CK955" t="s">
        <v>125</v>
      </c>
      <c r="CL955" t="s">
        <v>125</v>
      </c>
      <c r="CM955" t="s">
        <v>125</v>
      </c>
      <c r="CN955" t="s">
        <v>125</v>
      </c>
      <c r="CO955" t="s">
        <v>125</v>
      </c>
      <c r="CP955" t="s">
        <v>125</v>
      </c>
      <c r="CQ955" t="s">
        <v>125</v>
      </c>
      <c r="CR955" t="s">
        <v>125</v>
      </c>
      <c r="CS955" t="s">
        <v>125</v>
      </c>
      <c r="CT955" t="s">
        <v>125</v>
      </c>
      <c r="CU955" t="s">
        <v>125</v>
      </c>
      <c r="CV955" t="s">
        <v>125</v>
      </c>
      <c r="CW955" t="s">
        <v>125</v>
      </c>
      <c r="CX955" t="s">
        <v>125</v>
      </c>
      <c r="CY955" t="s">
        <v>125</v>
      </c>
      <c r="CZ955" t="s">
        <v>125</v>
      </c>
      <c r="DA955" t="s">
        <v>125</v>
      </c>
      <c r="DB955" t="s">
        <v>125</v>
      </c>
      <c r="DC955" t="s">
        <v>125</v>
      </c>
      <c r="DD955" t="s">
        <v>125</v>
      </c>
      <c r="DE955" t="s">
        <v>125</v>
      </c>
      <c r="DJ955" t="s">
        <v>125</v>
      </c>
      <c r="DK955" t="s">
        <v>125</v>
      </c>
      <c r="DL955" t="s">
        <v>125</v>
      </c>
      <c r="DM955" t="s">
        <v>125</v>
      </c>
      <c r="DN955" t="s">
        <v>125</v>
      </c>
      <c r="DO955" t="s">
        <v>125</v>
      </c>
      <c r="DQ955" t="s">
        <v>126</v>
      </c>
    </row>
    <row r="956" spans="1:121" x14ac:dyDescent="0.15">
      <c r="A956">
        <v>2018</v>
      </c>
      <c r="B956" t="s">
        <v>191</v>
      </c>
      <c r="C956" t="str">
        <f t="shared" si="44"/>
        <v>1480011</v>
      </c>
      <c r="D956" t="s">
        <v>1104</v>
      </c>
      <c r="E956" t="str">
        <f>"1485211"</f>
        <v>1485211</v>
      </c>
      <c r="F956" t="s">
        <v>328</v>
      </c>
      <c r="G956">
        <v>6</v>
      </c>
      <c r="H956">
        <v>8</v>
      </c>
      <c r="I956" t="s">
        <v>330</v>
      </c>
      <c r="J956" t="s">
        <v>331</v>
      </c>
      <c r="K956">
        <v>587.07552399999997</v>
      </c>
      <c r="L956">
        <v>900</v>
      </c>
      <c r="M956">
        <v>65.230614000000003</v>
      </c>
      <c r="N956">
        <v>3</v>
      </c>
      <c r="O956">
        <v>1</v>
      </c>
      <c r="P956">
        <v>66.251356999999999</v>
      </c>
      <c r="Q956">
        <v>44.167572</v>
      </c>
      <c r="R956">
        <v>50</v>
      </c>
      <c r="S956">
        <v>56.764530000000001</v>
      </c>
      <c r="T956">
        <v>73.282465999999999</v>
      </c>
      <c r="U956">
        <v>37.843020000000003</v>
      </c>
      <c r="V956">
        <v>50</v>
      </c>
      <c r="W956">
        <v>58.313628999999999</v>
      </c>
      <c r="X956">
        <v>38.875753000000003</v>
      </c>
      <c r="Y956">
        <v>50</v>
      </c>
      <c r="Z956">
        <v>65.342178000000004</v>
      </c>
      <c r="AA956">
        <v>48.821196999999998</v>
      </c>
      <c r="AB956">
        <v>32.547465000000003</v>
      </c>
      <c r="AC956">
        <v>50</v>
      </c>
      <c r="AD956">
        <v>58.818848000000003</v>
      </c>
      <c r="AE956">
        <v>39.212566000000002</v>
      </c>
      <c r="AF956">
        <v>50</v>
      </c>
      <c r="AG956">
        <v>50.803879000000002</v>
      </c>
      <c r="AH956">
        <v>64.974345</v>
      </c>
      <c r="AI956">
        <v>33.869253</v>
      </c>
      <c r="AJ956">
        <v>50</v>
      </c>
      <c r="AK956">
        <v>16.510000000000002</v>
      </c>
      <c r="AL956">
        <v>16.52</v>
      </c>
      <c r="AM956">
        <v>14.17</v>
      </c>
      <c r="AN956">
        <v>0.535242</v>
      </c>
      <c r="AO956">
        <v>53.524239000000001</v>
      </c>
      <c r="AP956">
        <v>100</v>
      </c>
      <c r="AQ956">
        <v>0.46610499999999999</v>
      </c>
      <c r="AR956">
        <v>46.610498</v>
      </c>
      <c r="AS956">
        <v>100</v>
      </c>
      <c r="AT956">
        <v>0.48662899999999998</v>
      </c>
      <c r="AU956">
        <v>0.56910099999999997</v>
      </c>
      <c r="AV956">
        <v>48.662883000000001</v>
      </c>
      <c r="AW956">
        <v>100</v>
      </c>
      <c r="AX956">
        <v>0.43004399999999998</v>
      </c>
      <c r="AY956">
        <v>0.49113099999999998</v>
      </c>
      <c r="AZ956">
        <v>43.004365</v>
      </c>
      <c r="BA956">
        <v>100</v>
      </c>
      <c r="BB956" t="s">
        <v>125</v>
      </c>
      <c r="BC956" t="s">
        <v>125</v>
      </c>
      <c r="BD956" t="s">
        <v>125</v>
      </c>
      <c r="BE956" t="s">
        <v>125</v>
      </c>
      <c r="BF956" t="s">
        <v>125</v>
      </c>
      <c r="BG956" t="s">
        <v>125</v>
      </c>
      <c r="BH956">
        <v>0</v>
      </c>
      <c r="BI956">
        <v>0.98039200000000004</v>
      </c>
      <c r="BJ956">
        <v>0.98596499999999998</v>
      </c>
      <c r="BK956">
        <v>0.97619</v>
      </c>
      <c r="BL956">
        <v>0.97737600000000002</v>
      </c>
      <c r="BM956">
        <v>0.982456</v>
      </c>
      <c r="BN956">
        <v>0.97354499999999999</v>
      </c>
      <c r="BO956">
        <v>0.96982800000000002</v>
      </c>
      <c r="BP956">
        <v>0.98039200000000004</v>
      </c>
      <c r="BQ956">
        <v>0.961538</v>
      </c>
      <c r="BR956">
        <v>6.0422999999999998E-2</v>
      </c>
      <c r="BS956">
        <v>47.915407999999999</v>
      </c>
      <c r="BT956">
        <v>50</v>
      </c>
      <c r="BU956">
        <v>9.9265000000000006E-2</v>
      </c>
      <c r="BV956">
        <v>40.147058999999999</v>
      </c>
      <c r="BW956">
        <v>50</v>
      </c>
      <c r="BX956" t="s">
        <v>125</v>
      </c>
      <c r="BY956" t="s">
        <v>125</v>
      </c>
      <c r="BZ956" t="s">
        <v>125</v>
      </c>
      <c r="CA956" t="s">
        <v>125</v>
      </c>
      <c r="CB956" t="s">
        <v>125</v>
      </c>
      <c r="CC956" t="s">
        <v>125</v>
      </c>
      <c r="CD956">
        <v>0.991031</v>
      </c>
      <c r="CE956">
        <v>50</v>
      </c>
      <c r="CF956">
        <v>50</v>
      </c>
      <c r="CG956" t="s">
        <v>125</v>
      </c>
      <c r="CH956" t="s">
        <v>125</v>
      </c>
      <c r="CI956" t="s">
        <v>125</v>
      </c>
      <c r="CJ956" t="s">
        <v>125</v>
      </c>
      <c r="CK956" t="s">
        <v>125</v>
      </c>
      <c r="CL956" t="s">
        <v>125</v>
      </c>
      <c r="CM956" t="s">
        <v>125</v>
      </c>
      <c r="CN956" t="s">
        <v>125</v>
      </c>
      <c r="CO956" t="s">
        <v>125</v>
      </c>
      <c r="CP956" t="s">
        <v>125</v>
      </c>
      <c r="CQ956">
        <v>0.46043200000000001</v>
      </c>
      <c r="CR956">
        <v>0.91850200000000004</v>
      </c>
      <c r="CS956">
        <v>30.695443999999998</v>
      </c>
      <c r="CT956">
        <v>50</v>
      </c>
      <c r="CU956" t="s">
        <v>125</v>
      </c>
      <c r="CV956" t="s">
        <v>125</v>
      </c>
      <c r="CW956" t="s">
        <v>125</v>
      </c>
      <c r="CX956" t="s">
        <v>125</v>
      </c>
      <c r="CY956" t="s">
        <v>125</v>
      </c>
      <c r="CZ956" t="s">
        <v>125</v>
      </c>
      <c r="DA956">
        <v>15.314097</v>
      </c>
      <c r="DB956">
        <v>17.400950000000002</v>
      </c>
      <c r="DC956">
        <v>16.332519999999999</v>
      </c>
      <c r="DD956" t="s">
        <v>125</v>
      </c>
      <c r="DE956">
        <v>1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Q956" t="s">
        <v>126</v>
      </c>
    </row>
    <row r="957" spans="1:121" x14ac:dyDescent="0.15">
      <c r="A957">
        <v>2018</v>
      </c>
      <c r="B957" t="s">
        <v>191</v>
      </c>
      <c r="C957" t="str">
        <f t="shared" si="44"/>
        <v>1480011</v>
      </c>
      <c r="D957" t="s">
        <v>1105</v>
      </c>
      <c r="E957" t="str">
        <f>"1480911"</f>
        <v>1480911</v>
      </c>
      <c r="F957" t="s">
        <v>328</v>
      </c>
      <c r="G957" t="s">
        <v>329</v>
      </c>
      <c r="H957">
        <v>2</v>
      </c>
      <c r="I957" t="s">
        <v>330</v>
      </c>
      <c r="J957" t="s">
        <v>331</v>
      </c>
      <c r="K957">
        <v>87.029043000000001</v>
      </c>
      <c r="L957">
        <v>100</v>
      </c>
      <c r="M957">
        <v>87.029043000000001</v>
      </c>
      <c r="N957" t="s">
        <v>125</v>
      </c>
      <c r="O957" t="s">
        <v>125</v>
      </c>
      <c r="P957" t="s">
        <v>125</v>
      </c>
      <c r="Q957" t="s">
        <v>125</v>
      </c>
      <c r="R957" t="s">
        <v>125</v>
      </c>
      <c r="S957" t="s">
        <v>125</v>
      </c>
      <c r="T957" t="s">
        <v>125</v>
      </c>
      <c r="U957" t="s">
        <v>125</v>
      </c>
      <c r="V957" t="s">
        <v>125</v>
      </c>
      <c r="W957" t="s">
        <v>125</v>
      </c>
      <c r="X957" t="s">
        <v>125</v>
      </c>
      <c r="Y957" t="s">
        <v>125</v>
      </c>
      <c r="Z957" t="s">
        <v>125</v>
      </c>
      <c r="AA957" t="s">
        <v>125</v>
      </c>
      <c r="AB957" t="s">
        <v>125</v>
      </c>
      <c r="AC957" t="s">
        <v>125</v>
      </c>
      <c r="AD957" t="s">
        <v>125</v>
      </c>
      <c r="AE957" t="s">
        <v>125</v>
      </c>
      <c r="AF957" t="s">
        <v>125</v>
      </c>
      <c r="AG957" t="s">
        <v>125</v>
      </c>
      <c r="AH957" t="s">
        <v>125</v>
      </c>
      <c r="AI957" t="s">
        <v>125</v>
      </c>
      <c r="AJ957" t="s">
        <v>125</v>
      </c>
      <c r="AK957" t="s">
        <v>125</v>
      </c>
      <c r="AL957" t="s">
        <v>125</v>
      </c>
      <c r="AM957" t="s">
        <v>125</v>
      </c>
      <c r="AN957" t="s">
        <v>125</v>
      </c>
      <c r="AO957" t="s">
        <v>125</v>
      </c>
      <c r="AP957" t="s">
        <v>125</v>
      </c>
      <c r="AQ957" t="s">
        <v>125</v>
      </c>
      <c r="AR957" t="s">
        <v>125</v>
      </c>
      <c r="AS957" t="s">
        <v>125</v>
      </c>
      <c r="AT957" t="s">
        <v>125</v>
      </c>
      <c r="AU957" t="s">
        <v>125</v>
      </c>
      <c r="AV957" t="s">
        <v>125</v>
      </c>
      <c r="AW957" t="s">
        <v>125</v>
      </c>
      <c r="AX957" t="s">
        <v>125</v>
      </c>
      <c r="AY957" t="s">
        <v>125</v>
      </c>
      <c r="AZ957" t="s">
        <v>125</v>
      </c>
      <c r="BA957" t="s">
        <v>125</v>
      </c>
      <c r="BB957" t="s">
        <v>125</v>
      </c>
      <c r="BC957" t="s">
        <v>125</v>
      </c>
      <c r="BD957" t="s">
        <v>125</v>
      </c>
      <c r="BE957" t="s">
        <v>125</v>
      </c>
      <c r="BF957" t="s">
        <v>125</v>
      </c>
      <c r="BG957" t="s">
        <v>125</v>
      </c>
      <c r="BH957" t="s">
        <v>125</v>
      </c>
      <c r="BI957" t="s">
        <v>125</v>
      </c>
      <c r="BJ957" t="s">
        <v>125</v>
      </c>
      <c r="BK957" t="s">
        <v>125</v>
      </c>
      <c r="BL957" t="s">
        <v>125</v>
      </c>
      <c r="BM957" t="s">
        <v>125</v>
      </c>
      <c r="BN957" t="s">
        <v>125</v>
      </c>
      <c r="BO957" t="s">
        <v>125</v>
      </c>
      <c r="BP957" t="s">
        <v>125</v>
      </c>
      <c r="BQ957" t="s">
        <v>125</v>
      </c>
      <c r="BR957">
        <v>6.1150999999999997E-2</v>
      </c>
      <c r="BS957">
        <v>47.769784000000001</v>
      </c>
      <c r="BT957">
        <v>50</v>
      </c>
      <c r="BU957">
        <v>0.103704</v>
      </c>
      <c r="BV957">
        <v>39.259259</v>
      </c>
      <c r="BW957">
        <v>50</v>
      </c>
      <c r="BX957" t="s">
        <v>125</v>
      </c>
      <c r="BY957" t="s">
        <v>125</v>
      </c>
      <c r="BZ957" t="s">
        <v>125</v>
      </c>
      <c r="CA957" t="s">
        <v>125</v>
      </c>
      <c r="CB957" t="s">
        <v>125</v>
      </c>
      <c r="CC957" t="s">
        <v>125</v>
      </c>
      <c r="CD957" t="s">
        <v>125</v>
      </c>
      <c r="CE957" t="s">
        <v>125</v>
      </c>
      <c r="CF957" t="s">
        <v>125</v>
      </c>
      <c r="CG957" t="s">
        <v>125</v>
      </c>
      <c r="CH957" t="s">
        <v>125</v>
      </c>
      <c r="CI957" t="s">
        <v>125</v>
      </c>
      <c r="CJ957" t="s">
        <v>125</v>
      </c>
      <c r="CK957" t="s">
        <v>125</v>
      </c>
      <c r="CL957" t="s">
        <v>125</v>
      </c>
      <c r="CM957" t="s">
        <v>125</v>
      </c>
      <c r="CN957" t="s">
        <v>125</v>
      </c>
      <c r="CO957" t="s">
        <v>125</v>
      </c>
      <c r="CP957" t="s">
        <v>125</v>
      </c>
      <c r="CQ957" t="s">
        <v>125</v>
      </c>
      <c r="CR957" t="s">
        <v>125</v>
      </c>
      <c r="CS957" t="s">
        <v>125</v>
      </c>
      <c r="CT957" t="s">
        <v>125</v>
      </c>
      <c r="CU957" t="s">
        <v>125</v>
      </c>
      <c r="CV957" t="s">
        <v>125</v>
      </c>
      <c r="CW957" t="s">
        <v>125</v>
      </c>
      <c r="CX957" t="s">
        <v>125</v>
      </c>
      <c r="CY957" t="s">
        <v>125</v>
      </c>
      <c r="CZ957" t="s">
        <v>125</v>
      </c>
      <c r="DA957" t="s">
        <v>125</v>
      </c>
      <c r="DB957" t="s">
        <v>125</v>
      </c>
      <c r="DC957" t="s">
        <v>125</v>
      </c>
      <c r="DD957" t="s">
        <v>125</v>
      </c>
      <c r="DE957" t="s">
        <v>125</v>
      </c>
      <c r="DJ957" t="s">
        <v>125</v>
      </c>
      <c r="DK957" t="s">
        <v>125</v>
      </c>
      <c r="DL957" t="s">
        <v>125</v>
      </c>
      <c r="DM957" t="s">
        <v>125</v>
      </c>
      <c r="DN957" t="s">
        <v>125</v>
      </c>
      <c r="DO957" t="s">
        <v>125</v>
      </c>
      <c r="DQ957" t="s">
        <v>126</v>
      </c>
    </row>
    <row r="958" spans="1:121" x14ac:dyDescent="0.15">
      <c r="A958">
        <v>2018</v>
      </c>
      <c r="B958" t="s">
        <v>191</v>
      </c>
      <c r="C958" t="str">
        <f t="shared" si="44"/>
        <v>1480011</v>
      </c>
      <c r="D958" t="s">
        <v>447</v>
      </c>
      <c r="E958" t="str">
        <f>"1480211"</f>
        <v>1480211</v>
      </c>
      <c r="F958" t="s">
        <v>328</v>
      </c>
      <c r="G958" t="s">
        <v>329</v>
      </c>
      <c r="H958">
        <v>2</v>
      </c>
      <c r="J958" t="s">
        <v>331</v>
      </c>
      <c r="K958">
        <v>100</v>
      </c>
      <c r="L958">
        <v>100</v>
      </c>
      <c r="M958">
        <v>100</v>
      </c>
      <c r="N958" t="s">
        <v>125</v>
      </c>
      <c r="O958" t="s">
        <v>125</v>
      </c>
      <c r="P958" t="s">
        <v>125</v>
      </c>
      <c r="Q958" t="s">
        <v>125</v>
      </c>
      <c r="R958" t="s">
        <v>125</v>
      </c>
      <c r="S958" t="s">
        <v>125</v>
      </c>
      <c r="T958" t="s">
        <v>125</v>
      </c>
      <c r="U958" t="s">
        <v>125</v>
      </c>
      <c r="V958" t="s">
        <v>125</v>
      </c>
      <c r="W958" t="s">
        <v>125</v>
      </c>
      <c r="X958" t="s">
        <v>125</v>
      </c>
      <c r="Y958" t="s">
        <v>125</v>
      </c>
      <c r="Z958" t="s">
        <v>125</v>
      </c>
      <c r="AA958" t="s">
        <v>125</v>
      </c>
      <c r="AB958" t="s">
        <v>125</v>
      </c>
      <c r="AC958" t="s">
        <v>125</v>
      </c>
      <c r="AD958" t="s">
        <v>125</v>
      </c>
      <c r="AE958" t="s">
        <v>125</v>
      </c>
      <c r="AF958" t="s">
        <v>125</v>
      </c>
      <c r="AG958" t="s">
        <v>125</v>
      </c>
      <c r="AH958" t="s">
        <v>125</v>
      </c>
      <c r="AI958" t="s">
        <v>125</v>
      </c>
      <c r="AJ958" t="s">
        <v>125</v>
      </c>
      <c r="AK958" t="s">
        <v>125</v>
      </c>
      <c r="AL958" t="s">
        <v>125</v>
      </c>
      <c r="AM958" t="s">
        <v>125</v>
      </c>
      <c r="AN958" t="s">
        <v>125</v>
      </c>
      <c r="AO958" t="s">
        <v>125</v>
      </c>
      <c r="AP958" t="s">
        <v>125</v>
      </c>
      <c r="AQ958" t="s">
        <v>125</v>
      </c>
      <c r="AR958" t="s">
        <v>125</v>
      </c>
      <c r="AS958" t="s">
        <v>125</v>
      </c>
      <c r="AT958" t="s">
        <v>125</v>
      </c>
      <c r="AU958" t="s">
        <v>125</v>
      </c>
      <c r="AV958" t="s">
        <v>125</v>
      </c>
      <c r="AW958" t="s">
        <v>125</v>
      </c>
      <c r="AX958" t="s">
        <v>125</v>
      </c>
      <c r="AY958" t="s">
        <v>125</v>
      </c>
      <c r="AZ958" t="s">
        <v>125</v>
      </c>
      <c r="BA958" t="s">
        <v>125</v>
      </c>
      <c r="BB958" t="s">
        <v>125</v>
      </c>
      <c r="BC958" t="s">
        <v>125</v>
      </c>
      <c r="BD958" t="s">
        <v>125</v>
      </c>
      <c r="BE958" t="s">
        <v>125</v>
      </c>
      <c r="BF958" t="s">
        <v>125</v>
      </c>
      <c r="BG958" t="s">
        <v>125</v>
      </c>
      <c r="BH958" t="s">
        <v>125</v>
      </c>
      <c r="BI958" t="s">
        <v>125</v>
      </c>
      <c r="BJ958" t="s">
        <v>125</v>
      </c>
      <c r="BK958" t="s">
        <v>125</v>
      </c>
      <c r="BL958" t="s">
        <v>125</v>
      </c>
      <c r="BM958" t="s">
        <v>125</v>
      </c>
      <c r="BN958" t="s">
        <v>125</v>
      </c>
      <c r="BO958" t="s">
        <v>125</v>
      </c>
      <c r="BP958" t="s">
        <v>125</v>
      </c>
      <c r="BQ958" t="s">
        <v>125</v>
      </c>
      <c r="BR958">
        <v>2.7119000000000001E-2</v>
      </c>
      <c r="BS958">
        <v>50</v>
      </c>
      <c r="BT958">
        <v>50</v>
      </c>
      <c r="BU958">
        <v>3.8094999999999997E-2</v>
      </c>
      <c r="BV958">
        <v>50</v>
      </c>
      <c r="BW958">
        <v>50</v>
      </c>
      <c r="BX958" t="s">
        <v>125</v>
      </c>
      <c r="BY958" t="s">
        <v>125</v>
      </c>
      <c r="BZ958" t="s">
        <v>125</v>
      </c>
      <c r="CA958" t="s">
        <v>125</v>
      </c>
      <c r="CB958" t="s">
        <v>125</v>
      </c>
      <c r="CC958" t="s">
        <v>125</v>
      </c>
      <c r="CD958" t="s">
        <v>125</v>
      </c>
      <c r="CE958" t="s">
        <v>125</v>
      </c>
      <c r="CF958" t="s">
        <v>125</v>
      </c>
      <c r="CG958" t="s">
        <v>125</v>
      </c>
      <c r="CH958" t="s">
        <v>125</v>
      </c>
      <c r="CI958" t="s">
        <v>125</v>
      </c>
      <c r="CJ958" t="s">
        <v>125</v>
      </c>
      <c r="CK958" t="s">
        <v>125</v>
      </c>
      <c r="CL958" t="s">
        <v>125</v>
      </c>
      <c r="CM958" t="s">
        <v>125</v>
      </c>
      <c r="CN958" t="s">
        <v>125</v>
      </c>
      <c r="CO958" t="s">
        <v>125</v>
      </c>
      <c r="CP958" t="s">
        <v>125</v>
      </c>
      <c r="CQ958" t="s">
        <v>125</v>
      </c>
      <c r="CR958" t="s">
        <v>125</v>
      </c>
      <c r="CS958" t="s">
        <v>125</v>
      </c>
      <c r="CT958" t="s">
        <v>125</v>
      </c>
      <c r="CU958" t="s">
        <v>125</v>
      </c>
      <c r="CV958" t="s">
        <v>125</v>
      </c>
      <c r="CW958" t="s">
        <v>125</v>
      </c>
      <c r="CX958" t="s">
        <v>125</v>
      </c>
      <c r="CY958" t="s">
        <v>125</v>
      </c>
      <c r="CZ958" t="s">
        <v>125</v>
      </c>
      <c r="DA958" t="s">
        <v>125</v>
      </c>
      <c r="DB958" t="s">
        <v>125</v>
      </c>
      <c r="DC958" t="s">
        <v>125</v>
      </c>
      <c r="DD958" t="s">
        <v>125</v>
      </c>
      <c r="DE958" t="s">
        <v>125</v>
      </c>
      <c r="DJ958" t="s">
        <v>125</v>
      </c>
      <c r="DK958" t="s">
        <v>125</v>
      </c>
      <c r="DL958" t="s">
        <v>125</v>
      </c>
      <c r="DM958" t="s">
        <v>125</v>
      </c>
      <c r="DN958" t="s">
        <v>125</v>
      </c>
      <c r="DO958" t="s">
        <v>125</v>
      </c>
      <c r="DQ958" t="s">
        <v>126</v>
      </c>
    </row>
    <row r="959" spans="1:121" x14ac:dyDescent="0.15">
      <c r="A959">
        <v>2018</v>
      </c>
      <c r="B959" t="s">
        <v>191</v>
      </c>
      <c r="C959" t="str">
        <f t="shared" si="44"/>
        <v>1480011</v>
      </c>
      <c r="D959" t="s">
        <v>1106</v>
      </c>
      <c r="E959" t="str">
        <f>"1485311"</f>
        <v>1485311</v>
      </c>
      <c r="F959" t="s">
        <v>328</v>
      </c>
      <c r="G959">
        <v>6</v>
      </c>
      <c r="H959">
        <v>8</v>
      </c>
      <c r="J959" t="s">
        <v>331</v>
      </c>
      <c r="K959">
        <v>629.64223000000004</v>
      </c>
      <c r="L959">
        <v>900</v>
      </c>
      <c r="M959">
        <v>69.960248000000007</v>
      </c>
      <c r="N959">
        <v>3</v>
      </c>
      <c r="O959">
        <v>0</v>
      </c>
      <c r="P959">
        <v>69.546744000000004</v>
      </c>
      <c r="Q959">
        <v>46.364496000000003</v>
      </c>
      <c r="R959">
        <v>50</v>
      </c>
      <c r="S959">
        <v>61.193783000000003</v>
      </c>
      <c r="T959">
        <v>74.911255999999995</v>
      </c>
      <c r="U959">
        <v>40.795855000000003</v>
      </c>
      <c r="V959">
        <v>50</v>
      </c>
      <c r="W959">
        <v>62.117510000000003</v>
      </c>
      <c r="X959">
        <v>41.411673999999998</v>
      </c>
      <c r="Y959">
        <v>50</v>
      </c>
      <c r="Z959">
        <v>67.523964000000007</v>
      </c>
      <c r="AA959">
        <v>53.660626000000001</v>
      </c>
      <c r="AB959">
        <v>35.773750999999997</v>
      </c>
      <c r="AC959">
        <v>50</v>
      </c>
      <c r="AD959">
        <v>69.386972999999998</v>
      </c>
      <c r="AE959">
        <v>46.257981999999998</v>
      </c>
      <c r="AF959">
        <v>50</v>
      </c>
      <c r="AG959">
        <v>59.500771999999998</v>
      </c>
      <c r="AH959">
        <v>74.443275</v>
      </c>
      <c r="AI959">
        <v>39.667180999999999</v>
      </c>
      <c r="AJ959">
        <v>50</v>
      </c>
      <c r="AK959">
        <v>13.71</v>
      </c>
      <c r="AL959">
        <v>13.86</v>
      </c>
      <c r="AM959">
        <v>14.94</v>
      </c>
      <c r="AN959">
        <v>0.59204800000000002</v>
      </c>
      <c r="AO959">
        <v>59.204811999999997</v>
      </c>
      <c r="AP959">
        <v>100</v>
      </c>
      <c r="AQ959">
        <v>0.54130800000000001</v>
      </c>
      <c r="AR959">
        <v>54.13082</v>
      </c>
      <c r="AS959">
        <v>100</v>
      </c>
      <c r="AT959">
        <v>0.57041900000000001</v>
      </c>
      <c r="AU959">
        <v>0.60491399999999995</v>
      </c>
      <c r="AV959">
        <v>57.041882000000001</v>
      </c>
      <c r="AW959">
        <v>100</v>
      </c>
      <c r="AX959">
        <v>0.52911399999999997</v>
      </c>
      <c r="AY959">
        <v>0.54846899999999998</v>
      </c>
      <c r="AZ959">
        <v>52.911382000000003</v>
      </c>
      <c r="BA959">
        <v>100</v>
      </c>
      <c r="BB959" t="s">
        <v>125</v>
      </c>
      <c r="BC959" t="s">
        <v>125</v>
      </c>
      <c r="BD959" t="s">
        <v>125</v>
      </c>
      <c r="BE959" t="s">
        <v>125</v>
      </c>
      <c r="BF959" t="s">
        <v>125</v>
      </c>
      <c r="BG959" t="s">
        <v>125</v>
      </c>
      <c r="BH959">
        <v>0</v>
      </c>
      <c r="BI959">
        <v>0.982877</v>
      </c>
      <c r="BJ959">
        <v>0.98305100000000001</v>
      </c>
      <c r="BK959">
        <v>0.98275900000000005</v>
      </c>
      <c r="BL959">
        <v>0.98116400000000004</v>
      </c>
      <c r="BM959">
        <v>0.97881399999999996</v>
      </c>
      <c r="BN959">
        <v>0.98275900000000005</v>
      </c>
      <c r="BO959">
        <v>0.97572800000000004</v>
      </c>
      <c r="BP959">
        <v>0.97222200000000003</v>
      </c>
      <c r="BQ959">
        <v>0.97761200000000004</v>
      </c>
      <c r="BR959">
        <v>5.8219E-2</v>
      </c>
      <c r="BS959">
        <v>48.356164</v>
      </c>
      <c r="BT959">
        <v>50</v>
      </c>
      <c r="BU959">
        <v>0.123348</v>
      </c>
      <c r="BV959">
        <v>35.330396</v>
      </c>
      <c r="BW959">
        <v>50</v>
      </c>
      <c r="BX959" t="s">
        <v>125</v>
      </c>
      <c r="BY959" t="s">
        <v>125</v>
      </c>
      <c r="BZ959" t="s">
        <v>125</v>
      </c>
      <c r="CA959" t="s">
        <v>125</v>
      </c>
      <c r="CB959" t="s">
        <v>125</v>
      </c>
      <c r="CC959" t="s">
        <v>125</v>
      </c>
      <c r="CD959">
        <v>1</v>
      </c>
      <c r="CE959">
        <v>50</v>
      </c>
      <c r="CF959">
        <v>50</v>
      </c>
      <c r="CG959" t="s">
        <v>125</v>
      </c>
      <c r="CH959" t="s">
        <v>125</v>
      </c>
      <c r="CI959" t="s">
        <v>125</v>
      </c>
      <c r="CJ959" t="s">
        <v>125</v>
      </c>
      <c r="CK959" t="s">
        <v>125</v>
      </c>
      <c r="CL959" t="s">
        <v>125</v>
      </c>
      <c r="CM959" t="s">
        <v>125</v>
      </c>
      <c r="CN959" t="s">
        <v>125</v>
      </c>
      <c r="CO959" t="s">
        <v>125</v>
      </c>
      <c r="CP959" t="s">
        <v>125</v>
      </c>
      <c r="CQ959">
        <v>0.33593800000000001</v>
      </c>
      <c r="CR959">
        <v>0.97709900000000005</v>
      </c>
      <c r="CS959">
        <v>22.395833</v>
      </c>
      <c r="CT959">
        <v>50</v>
      </c>
      <c r="CU959" t="s">
        <v>125</v>
      </c>
      <c r="CV959" t="s">
        <v>125</v>
      </c>
      <c r="CW959" t="s">
        <v>125</v>
      </c>
      <c r="CX959" t="s">
        <v>125</v>
      </c>
      <c r="CY959" t="s">
        <v>125</v>
      </c>
      <c r="CZ959" t="s">
        <v>125</v>
      </c>
      <c r="DA959">
        <v>15.314097</v>
      </c>
      <c r="DB959">
        <v>17.400950000000002</v>
      </c>
      <c r="DC959">
        <v>16.332519999999999</v>
      </c>
      <c r="DD959" t="s">
        <v>125</v>
      </c>
      <c r="DE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Q959" t="s">
        <v>126</v>
      </c>
    </row>
    <row r="960" spans="1:121" x14ac:dyDescent="0.15">
      <c r="A960">
        <v>2018</v>
      </c>
      <c r="B960" t="s">
        <v>191</v>
      </c>
      <c r="C960" t="str">
        <f t="shared" si="44"/>
        <v>1480011</v>
      </c>
      <c r="D960" t="s">
        <v>1107</v>
      </c>
      <c r="E960" t="str">
        <f>"1486111"</f>
        <v>1486111</v>
      </c>
      <c r="F960" t="s">
        <v>328</v>
      </c>
      <c r="G960">
        <v>9</v>
      </c>
      <c r="H960">
        <v>12</v>
      </c>
      <c r="I960" t="s">
        <v>330</v>
      </c>
      <c r="J960" t="s">
        <v>331</v>
      </c>
      <c r="K960">
        <v>1138.722272</v>
      </c>
      <c r="L960">
        <v>1450</v>
      </c>
      <c r="M960">
        <v>78.532570000000007</v>
      </c>
      <c r="N960">
        <v>2</v>
      </c>
      <c r="O960">
        <v>0</v>
      </c>
      <c r="P960">
        <v>58.961438000000001</v>
      </c>
      <c r="Q960">
        <v>117.922876</v>
      </c>
      <c r="R960">
        <v>150</v>
      </c>
      <c r="S960">
        <v>49.243727999999997</v>
      </c>
      <c r="T960">
        <v>64.540122999999994</v>
      </c>
      <c r="U960">
        <v>98.487454999999997</v>
      </c>
      <c r="V960">
        <v>150</v>
      </c>
      <c r="W960">
        <v>54.906536000000003</v>
      </c>
      <c r="X960">
        <v>109.81307200000001</v>
      </c>
      <c r="Y960">
        <v>150</v>
      </c>
      <c r="Z960">
        <v>60.115226</v>
      </c>
      <c r="AA960">
        <v>45.833333000000003</v>
      </c>
      <c r="AB960">
        <v>91.666667000000004</v>
      </c>
      <c r="AC960">
        <v>150</v>
      </c>
      <c r="AD960">
        <v>64.304400000000001</v>
      </c>
      <c r="AE960">
        <v>85.739199999999997</v>
      </c>
      <c r="AF960">
        <v>100</v>
      </c>
      <c r="AG960">
        <v>55.329554999999999</v>
      </c>
      <c r="AH960">
        <v>69.567425999999998</v>
      </c>
      <c r="AI960">
        <v>73.772739999999999</v>
      </c>
      <c r="AJ960">
        <v>100</v>
      </c>
      <c r="AK960">
        <v>15.29</v>
      </c>
      <c r="AL960">
        <v>14.28</v>
      </c>
      <c r="AM960">
        <v>14.23</v>
      </c>
      <c r="AN960" t="s">
        <v>125</v>
      </c>
      <c r="AO960" t="s">
        <v>125</v>
      </c>
      <c r="AP960" t="s">
        <v>125</v>
      </c>
      <c r="AQ960" t="s">
        <v>125</v>
      </c>
      <c r="AR960" t="s">
        <v>125</v>
      </c>
      <c r="AS960" t="s">
        <v>125</v>
      </c>
      <c r="AT960" t="s">
        <v>125</v>
      </c>
      <c r="AU960" t="s">
        <v>125</v>
      </c>
      <c r="AV960" t="s">
        <v>125</v>
      </c>
      <c r="AW960" t="s">
        <v>125</v>
      </c>
      <c r="AX960" t="s">
        <v>125</v>
      </c>
      <c r="AY960" t="s">
        <v>125</v>
      </c>
      <c r="AZ960" t="s">
        <v>125</v>
      </c>
      <c r="BA960" t="s">
        <v>125</v>
      </c>
      <c r="BB960" t="s">
        <v>125</v>
      </c>
      <c r="BC960" t="s">
        <v>125</v>
      </c>
      <c r="BD960" t="s">
        <v>125</v>
      </c>
      <c r="BE960" t="s">
        <v>125</v>
      </c>
      <c r="BF960" t="s">
        <v>125</v>
      </c>
      <c r="BG960" t="s">
        <v>125</v>
      </c>
      <c r="BH960">
        <v>0</v>
      </c>
      <c r="BI960">
        <v>0.98461500000000002</v>
      </c>
      <c r="BJ960">
        <v>0.95918400000000004</v>
      </c>
      <c r="BK960">
        <v>1</v>
      </c>
      <c r="BL960">
        <v>0.98461500000000002</v>
      </c>
      <c r="BM960">
        <v>0.95918400000000004</v>
      </c>
      <c r="BN960">
        <v>1</v>
      </c>
      <c r="BO960">
        <v>0.99230799999999997</v>
      </c>
      <c r="BP960">
        <v>0.97959200000000002</v>
      </c>
      <c r="BQ960">
        <v>1</v>
      </c>
      <c r="BR960">
        <v>6.9260000000000002E-2</v>
      </c>
      <c r="BS960">
        <v>46.148007999999997</v>
      </c>
      <c r="BT960">
        <v>50</v>
      </c>
      <c r="BU960">
        <v>0.1275</v>
      </c>
      <c r="BV960">
        <v>34.5</v>
      </c>
      <c r="BW960">
        <v>50</v>
      </c>
      <c r="BX960">
        <v>0.87676799999999999</v>
      </c>
      <c r="BY960">
        <v>50</v>
      </c>
      <c r="BZ960">
        <v>50</v>
      </c>
      <c r="CA960">
        <v>0.42828300000000002</v>
      </c>
      <c r="CB960">
        <v>28.552188999999998</v>
      </c>
      <c r="CC960">
        <v>50</v>
      </c>
      <c r="CD960">
        <v>0.98790299999999998</v>
      </c>
      <c r="CE960">
        <v>50</v>
      </c>
      <c r="CF960">
        <v>50</v>
      </c>
      <c r="CG960">
        <v>0.95419799999999999</v>
      </c>
      <c r="CH960">
        <v>100</v>
      </c>
      <c r="CI960">
        <v>100</v>
      </c>
      <c r="CJ960">
        <v>0</v>
      </c>
      <c r="CK960">
        <v>0.90291299999999997</v>
      </c>
      <c r="CL960">
        <v>96.054534000000004</v>
      </c>
      <c r="CM960">
        <v>100</v>
      </c>
      <c r="CN960">
        <v>0.77290800000000004</v>
      </c>
      <c r="CO960">
        <v>100</v>
      </c>
      <c r="CP960">
        <v>100</v>
      </c>
      <c r="CQ960">
        <v>0.550562</v>
      </c>
      <c r="CR960">
        <v>0.85852099999999998</v>
      </c>
      <c r="CS960">
        <v>18.352060000000002</v>
      </c>
      <c r="CT960">
        <v>50</v>
      </c>
      <c r="CU960">
        <v>0.45256200000000002</v>
      </c>
      <c r="CV960">
        <v>37.713472000000003</v>
      </c>
      <c r="CW960">
        <v>50</v>
      </c>
      <c r="CX960">
        <v>0.90291299999999997</v>
      </c>
      <c r="CY960">
        <v>0.94</v>
      </c>
      <c r="CZ960">
        <v>3.7087000000000002E-2</v>
      </c>
      <c r="DA960">
        <v>15.314097</v>
      </c>
      <c r="DB960">
        <v>17.400950000000002</v>
      </c>
      <c r="DC960">
        <v>16.332519999999999</v>
      </c>
      <c r="DD960">
        <v>7.9891730000000001</v>
      </c>
      <c r="DE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Q960" t="s">
        <v>126</v>
      </c>
    </row>
    <row r="961" spans="1:121" x14ac:dyDescent="0.15">
      <c r="A961">
        <v>2018</v>
      </c>
      <c r="B961" t="s">
        <v>191</v>
      </c>
      <c r="C961" t="str">
        <f t="shared" si="44"/>
        <v>1480011</v>
      </c>
      <c r="D961" t="s">
        <v>1108</v>
      </c>
      <c r="E961" t="str">
        <f>"1486211"</f>
        <v>1486211</v>
      </c>
      <c r="F961" t="s">
        <v>328</v>
      </c>
      <c r="G961">
        <v>9</v>
      </c>
      <c r="H961">
        <v>12</v>
      </c>
      <c r="J961" t="s">
        <v>331</v>
      </c>
      <c r="K961">
        <v>1207.9678510000001</v>
      </c>
      <c r="L961">
        <v>1450</v>
      </c>
      <c r="M961">
        <v>83.308127999999996</v>
      </c>
      <c r="N961">
        <v>2</v>
      </c>
      <c r="O961">
        <v>0</v>
      </c>
      <c r="P961">
        <v>59.611395000000002</v>
      </c>
      <c r="Q961">
        <v>119.22278900000001</v>
      </c>
      <c r="R961">
        <v>150</v>
      </c>
      <c r="S961">
        <v>52.926229999999997</v>
      </c>
      <c r="T961">
        <v>62.632098999999997</v>
      </c>
      <c r="U961">
        <v>105.852459</v>
      </c>
      <c r="V961">
        <v>150</v>
      </c>
      <c r="W961">
        <v>57.160713999999999</v>
      </c>
      <c r="X961">
        <v>114.32142899999999</v>
      </c>
      <c r="Y961">
        <v>150</v>
      </c>
      <c r="Z961">
        <v>60.567900999999999</v>
      </c>
      <c r="AA961">
        <v>49.620218999999999</v>
      </c>
      <c r="AB961">
        <v>99.240437</v>
      </c>
      <c r="AC961">
        <v>150</v>
      </c>
      <c r="AD961">
        <v>66.738225999999997</v>
      </c>
      <c r="AE961">
        <v>88.984301000000002</v>
      </c>
      <c r="AF961">
        <v>100</v>
      </c>
      <c r="AG961">
        <v>60.493063999999997</v>
      </c>
      <c r="AH961">
        <v>69.560113999999999</v>
      </c>
      <c r="AI961">
        <v>80.657419000000004</v>
      </c>
      <c r="AJ961">
        <v>100</v>
      </c>
      <c r="AK961">
        <v>9.6999999999999993</v>
      </c>
      <c r="AL961">
        <v>10.94</v>
      </c>
      <c r="AM961">
        <v>9.06</v>
      </c>
      <c r="AN961" t="s">
        <v>125</v>
      </c>
      <c r="AO961" t="s">
        <v>125</v>
      </c>
      <c r="AP961" t="s">
        <v>125</v>
      </c>
      <c r="AQ961" t="s">
        <v>125</v>
      </c>
      <c r="AR961" t="s">
        <v>125</v>
      </c>
      <c r="AS961" t="s">
        <v>125</v>
      </c>
      <c r="AT961" t="s">
        <v>125</v>
      </c>
      <c r="AU961" t="s">
        <v>125</v>
      </c>
      <c r="AV961" t="s">
        <v>125</v>
      </c>
      <c r="AW961" t="s">
        <v>125</v>
      </c>
      <c r="AX961" t="s">
        <v>125</v>
      </c>
      <c r="AY961" t="s">
        <v>125</v>
      </c>
      <c r="AZ961" t="s">
        <v>125</v>
      </c>
      <c r="BA961" t="s">
        <v>125</v>
      </c>
      <c r="BB961" t="s">
        <v>125</v>
      </c>
      <c r="BC961" t="s">
        <v>125</v>
      </c>
      <c r="BD961" t="s">
        <v>125</v>
      </c>
      <c r="BE961" t="s">
        <v>125</v>
      </c>
      <c r="BF961" t="s">
        <v>125</v>
      </c>
      <c r="BG961" t="s">
        <v>125</v>
      </c>
      <c r="BH961">
        <v>0</v>
      </c>
      <c r="BI961">
        <v>0.98499999999999999</v>
      </c>
      <c r="BJ961">
        <v>0.953125</v>
      </c>
      <c r="BK961">
        <v>1</v>
      </c>
      <c r="BL961">
        <v>0.98499999999999999</v>
      </c>
      <c r="BM961">
        <v>0.953125</v>
      </c>
      <c r="BN961">
        <v>1</v>
      </c>
      <c r="BO961">
        <v>0.98499999999999999</v>
      </c>
      <c r="BP961">
        <v>0.953125</v>
      </c>
      <c r="BQ961">
        <v>1</v>
      </c>
      <c r="BR961">
        <v>3.1486E-2</v>
      </c>
      <c r="BS961">
        <v>50</v>
      </c>
      <c r="BT961">
        <v>50</v>
      </c>
      <c r="BU961">
        <v>7.4218999999999993E-2</v>
      </c>
      <c r="BV961">
        <v>45.15625</v>
      </c>
      <c r="BW961">
        <v>50</v>
      </c>
      <c r="BX961">
        <v>0.74683500000000003</v>
      </c>
      <c r="BY961">
        <v>49.789029999999997</v>
      </c>
      <c r="BZ961">
        <v>50</v>
      </c>
      <c r="CA961">
        <v>0.47341800000000001</v>
      </c>
      <c r="CB961">
        <v>31.561181000000001</v>
      </c>
      <c r="CC961">
        <v>50</v>
      </c>
      <c r="CD961">
        <v>1</v>
      </c>
      <c r="CE961">
        <v>50</v>
      </c>
      <c r="CF961">
        <v>50</v>
      </c>
      <c r="CG961">
        <v>0.97777800000000004</v>
      </c>
      <c r="CH961">
        <v>100</v>
      </c>
      <c r="CI961">
        <v>100</v>
      </c>
      <c r="CJ961">
        <v>0</v>
      </c>
      <c r="CK961">
        <v>0.87301600000000001</v>
      </c>
      <c r="CL961">
        <v>92.874028999999993</v>
      </c>
      <c r="CM961">
        <v>100</v>
      </c>
      <c r="CN961">
        <v>0.72777800000000004</v>
      </c>
      <c r="CO961">
        <v>97.037036999999998</v>
      </c>
      <c r="CP961">
        <v>100</v>
      </c>
      <c r="CQ961">
        <v>0.57526900000000003</v>
      </c>
      <c r="CR961">
        <v>1.0163930000000001</v>
      </c>
      <c r="CS961">
        <v>38.351253999999997</v>
      </c>
      <c r="CT961">
        <v>50</v>
      </c>
      <c r="CU961">
        <v>0.53904300000000005</v>
      </c>
      <c r="CV961">
        <v>44.920234999999998</v>
      </c>
      <c r="CW961">
        <v>50</v>
      </c>
      <c r="CX961">
        <v>0.87301600000000001</v>
      </c>
      <c r="CY961">
        <v>0.94</v>
      </c>
      <c r="CZ961">
        <v>6.6984000000000002E-2</v>
      </c>
      <c r="DA961">
        <v>15.314097</v>
      </c>
      <c r="DB961">
        <v>17.400950000000002</v>
      </c>
      <c r="DC961">
        <v>16.332519999999999</v>
      </c>
      <c r="DD961">
        <v>7.9891730000000001</v>
      </c>
      <c r="DE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Q961" t="s">
        <v>126</v>
      </c>
    </row>
    <row r="962" spans="1:121" x14ac:dyDescent="0.15">
      <c r="A962">
        <v>2018</v>
      </c>
      <c r="B962" t="s">
        <v>191</v>
      </c>
      <c r="C962" t="str">
        <f t="shared" si="44"/>
        <v>1480011</v>
      </c>
      <c r="D962" t="s">
        <v>1109</v>
      </c>
      <c r="E962" t="str">
        <f>"1480811"</f>
        <v>1480811</v>
      </c>
      <c r="F962" t="s">
        <v>328</v>
      </c>
      <c r="G962">
        <v>3</v>
      </c>
      <c r="H962">
        <v>5</v>
      </c>
      <c r="J962" t="s">
        <v>331</v>
      </c>
      <c r="K962">
        <v>641.27810199999999</v>
      </c>
      <c r="L962">
        <v>850</v>
      </c>
      <c r="M962">
        <v>75.444483000000005</v>
      </c>
      <c r="N962">
        <v>3</v>
      </c>
      <c r="O962">
        <v>0</v>
      </c>
      <c r="P962">
        <v>69.916711000000006</v>
      </c>
      <c r="Q962">
        <v>46.611141000000003</v>
      </c>
      <c r="R962">
        <v>50</v>
      </c>
      <c r="S962">
        <v>60.610785</v>
      </c>
      <c r="T962">
        <v>74.983812</v>
      </c>
      <c r="U962">
        <v>40.40719</v>
      </c>
      <c r="V962">
        <v>50</v>
      </c>
      <c r="W962">
        <v>67.461561000000003</v>
      </c>
      <c r="X962">
        <v>44.974373999999997</v>
      </c>
      <c r="Y962">
        <v>50</v>
      </c>
      <c r="Z962">
        <v>73.150576999999998</v>
      </c>
      <c r="AA962">
        <v>56.958761000000003</v>
      </c>
      <c r="AB962">
        <v>37.972507999999998</v>
      </c>
      <c r="AC962">
        <v>50</v>
      </c>
      <c r="AD962">
        <v>70.451612999999995</v>
      </c>
      <c r="AE962">
        <v>46.967742000000001</v>
      </c>
      <c r="AF962">
        <v>50</v>
      </c>
      <c r="AG962">
        <v>64.036009000000007</v>
      </c>
      <c r="AH962">
        <v>74.569090000000003</v>
      </c>
      <c r="AI962">
        <v>42.690672999999997</v>
      </c>
      <c r="AJ962">
        <v>50</v>
      </c>
      <c r="AK962">
        <v>14.37</v>
      </c>
      <c r="AL962">
        <v>16.190000000000001</v>
      </c>
      <c r="AM962">
        <v>10.53</v>
      </c>
      <c r="AN962">
        <v>0.64237699999999998</v>
      </c>
      <c r="AO962">
        <v>64.237702999999996</v>
      </c>
      <c r="AP962">
        <v>100</v>
      </c>
      <c r="AQ962">
        <v>0.649675</v>
      </c>
      <c r="AR962">
        <v>64.967506999999998</v>
      </c>
      <c r="AS962">
        <v>100</v>
      </c>
      <c r="AT962">
        <v>0.58397900000000003</v>
      </c>
      <c r="AU962">
        <v>0.67258300000000004</v>
      </c>
      <c r="AV962">
        <v>58.397936999999999</v>
      </c>
      <c r="AW962">
        <v>100</v>
      </c>
      <c r="AX962">
        <v>0.60234699999999997</v>
      </c>
      <c r="AY962">
        <v>0.673987</v>
      </c>
      <c r="AZ962">
        <v>60.234709000000002</v>
      </c>
      <c r="BA962">
        <v>100</v>
      </c>
      <c r="BB962" t="s">
        <v>125</v>
      </c>
      <c r="BC962" t="s">
        <v>125</v>
      </c>
      <c r="BD962" t="s">
        <v>125</v>
      </c>
      <c r="BE962" t="s">
        <v>125</v>
      </c>
      <c r="BF962" t="s">
        <v>125</v>
      </c>
      <c r="BG962" t="s">
        <v>125</v>
      </c>
      <c r="BH962">
        <v>1</v>
      </c>
      <c r="BI962">
        <v>0.98692800000000003</v>
      </c>
      <c r="BJ962">
        <v>0.97368399999999999</v>
      </c>
      <c r="BK962">
        <v>0.99479200000000001</v>
      </c>
      <c r="BL962">
        <v>0.99019599999999997</v>
      </c>
      <c r="BM962">
        <v>0.97368399999999999</v>
      </c>
      <c r="BN962">
        <v>1</v>
      </c>
      <c r="BO962">
        <v>0.96551699999999996</v>
      </c>
      <c r="BP962">
        <v>0.9375</v>
      </c>
      <c r="BQ962">
        <v>0.985294</v>
      </c>
      <c r="BR962">
        <v>3.9216000000000001E-2</v>
      </c>
      <c r="BS962">
        <v>50</v>
      </c>
      <c r="BT962">
        <v>50</v>
      </c>
      <c r="BU962">
        <v>9.1743000000000005E-2</v>
      </c>
      <c r="BV962">
        <v>41.651375999999999</v>
      </c>
      <c r="BW962">
        <v>50</v>
      </c>
      <c r="BX962" t="s">
        <v>125</v>
      </c>
      <c r="BY962" t="s">
        <v>125</v>
      </c>
      <c r="BZ962" t="s">
        <v>125</v>
      </c>
      <c r="CA962" t="s">
        <v>125</v>
      </c>
      <c r="CB962" t="s">
        <v>125</v>
      </c>
      <c r="CC962" t="s">
        <v>125</v>
      </c>
      <c r="CD962" t="s">
        <v>125</v>
      </c>
      <c r="CE962" t="s">
        <v>125</v>
      </c>
      <c r="CF962" t="s">
        <v>125</v>
      </c>
      <c r="CG962" t="s">
        <v>125</v>
      </c>
      <c r="CH962" t="s">
        <v>125</v>
      </c>
      <c r="CI962" t="s">
        <v>125</v>
      </c>
      <c r="CJ962" t="s">
        <v>125</v>
      </c>
      <c r="CK962" t="s">
        <v>125</v>
      </c>
      <c r="CL962" t="s">
        <v>125</v>
      </c>
      <c r="CM962" t="s">
        <v>125</v>
      </c>
      <c r="CN962" t="s">
        <v>125</v>
      </c>
      <c r="CO962" t="s">
        <v>125</v>
      </c>
      <c r="CP962" t="s">
        <v>125</v>
      </c>
      <c r="CQ962">
        <v>0.63247900000000001</v>
      </c>
      <c r="CR962">
        <v>1.026316</v>
      </c>
      <c r="CS962">
        <v>42.165241999999999</v>
      </c>
      <c r="CT962">
        <v>50</v>
      </c>
      <c r="CU962" t="s">
        <v>125</v>
      </c>
      <c r="CV962" t="s">
        <v>125</v>
      </c>
      <c r="CW962" t="s">
        <v>125</v>
      </c>
      <c r="CX962" t="s">
        <v>125</v>
      </c>
      <c r="CY962" t="s">
        <v>125</v>
      </c>
      <c r="CZ962" t="s">
        <v>125</v>
      </c>
      <c r="DA962">
        <v>15.314097</v>
      </c>
      <c r="DB962">
        <v>17.400950000000002</v>
      </c>
      <c r="DC962">
        <v>16.332519999999999</v>
      </c>
      <c r="DD962" t="s">
        <v>125</v>
      </c>
      <c r="DE962">
        <v>1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Q962" t="s">
        <v>126</v>
      </c>
    </row>
    <row r="963" spans="1:121" x14ac:dyDescent="0.15">
      <c r="A963">
        <v>2018</v>
      </c>
      <c r="B963" t="s">
        <v>191</v>
      </c>
      <c r="C963" t="str">
        <f t="shared" si="44"/>
        <v>1480011</v>
      </c>
      <c r="D963" t="s">
        <v>1110</v>
      </c>
      <c r="E963" t="str">
        <f>"1480111"</f>
        <v>1480111</v>
      </c>
      <c r="F963" t="s">
        <v>328</v>
      </c>
      <c r="G963" t="s">
        <v>329</v>
      </c>
      <c r="H963">
        <v>2</v>
      </c>
      <c r="J963" t="s">
        <v>331</v>
      </c>
      <c r="K963">
        <v>159.059788</v>
      </c>
      <c r="L963">
        <v>200</v>
      </c>
      <c r="M963">
        <v>79.529893999999999</v>
      </c>
      <c r="N963">
        <v>2</v>
      </c>
      <c r="O963" t="s">
        <v>125</v>
      </c>
      <c r="P963" t="s">
        <v>125</v>
      </c>
      <c r="Q963" t="s">
        <v>125</v>
      </c>
      <c r="R963" t="s">
        <v>125</v>
      </c>
      <c r="S963" t="s">
        <v>125</v>
      </c>
      <c r="T963" t="s">
        <v>125</v>
      </c>
      <c r="U963" t="s">
        <v>125</v>
      </c>
      <c r="V963" t="s">
        <v>125</v>
      </c>
      <c r="W963" t="s">
        <v>125</v>
      </c>
      <c r="X963" t="s">
        <v>125</v>
      </c>
      <c r="Y963" t="s">
        <v>125</v>
      </c>
      <c r="Z963" t="s">
        <v>125</v>
      </c>
      <c r="AA963" t="s">
        <v>125</v>
      </c>
      <c r="AB963" t="s">
        <v>125</v>
      </c>
      <c r="AC963" t="s">
        <v>125</v>
      </c>
      <c r="AD963" t="s">
        <v>125</v>
      </c>
      <c r="AE963" t="s">
        <v>125</v>
      </c>
      <c r="AF963" t="s">
        <v>125</v>
      </c>
      <c r="AG963" t="s">
        <v>125</v>
      </c>
      <c r="AH963" t="s">
        <v>125</v>
      </c>
      <c r="AI963" t="s">
        <v>125</v>
      </c>
      <c r="AJ963" t="s">
        <v>125</v>
      </c>
      <c r="AK963" t="s">
        <v>125</v>
      </c>
      <c r="AL963" t="s">
        <v>125</v>
      </c>
      <c r="AM963" t="s">
        <v>125</v>
      </c>
      <c r="AN963" t="s">
        <v>125</v>
      </c>
      <c r="AO963" t="s">
        <v>125</v>
      </c>
      <c r="AP963" t="s">
        <v>125</v>
      </c>
      <c r="AQ963" t="s">
        <v>125</v>
      </c>
      <c r="AR963" t="s">
        <v>125</v>
      </c>
      <c r="AS963" t="s">
        <v>125</v>
      </c>
      <c r="AT963" t="s">
        <v>125</v>
      </c>
      <c r="AU963" t="s">
        <v>125</v>
      </c>
      <c r="AV963" t="s">
        <v>125</v>
      </c>
      <c r="AW963" t="s">
        <v>125</v>
      </c>
      <c r="AX963" t="s">
        <v>125</v>
      </c>
      <c r="AY963" t="s">
        <v>125</v>
      </c>
      <c r="AZ963" t="s">
        <v>125</v>
      </c>
      <c r="BA963" t="s">
        <v>125</v>
      </c>
      <c r="BB963">
        <v>0.82397500000000001</v>
      </c>
      <c r="BC963">
        <v>41.198762000000002</v>
      </c>
      <c r="BD963">
        <v>50</v>
      </c>
      <c r="BE963">
        <v>0.656663</v>
      </c>
      <c r="BF963">
        <v>32.833156000000002</v>
      </c>
      <c r="BG963">
        <v>50</v>
      </c>
      <c r="BH963" t="s">
        <v>125</v>
      </c>
      <c r="BI963" t="s">
        <v>125</v>
      </c>
      <c r="BJ963" t="s">
        <v>125</v>
      </c>
      <c r="BK963" t="s">
        <v>125</v>
      </c>
      <c r="BL963" t="s">
        <v>125</v>
      </c>
      <c r="BM963" t="s">
        <v>125</v>
      </c>
      <c r="BN963" t="s">
        <v>125</v>
      </c>
      <c r="BO963" t="s">
        <v>125</v>
      </c>
      <c r="BP963" t="s">
        <v>125</v>
      </c>
      <c r="BQ963" t="s">
        <v>125</v>
      </c>
      <c r="BR963">
        <v>7.0513000000000006E-2</v>
      </c>
      <c r="BS963">
        <v>45.897435999999999</v>
      </c>
      <c r="BT963">
        <v>50</v>
      </c>
      <c r="BU963">
        <v>0.104348</v>
      </c>
      <c r="BV963">
        <v>39.130434999999999</v>
      </c>
      <c r="BW963">
        <v>50</v>
      </c>
      <c r="BX963" t="s">
        <v>125</v>
      </c>
      <c r="BY963" t="s">
        <v>125</v>
      </c>
      <c r="BZ963" t="s">
        <v>125</v>
      </c>
      <c r="CA963" t="s">
        <v>125</v>
      </c>
      <c r="CB963" t="s">
        <v>125</v>
      </c>
      <c r="CC963" t="s">
        <v>125</v>
      </c>
      <c r="CD963" t="s">
        <v>125</v>
      </c>
      <c r="CE963" t="s">
        <v>125</v>
      </c>
      <c r="CF963" t="s">
        <v>125</v>
      </c>
      <c r="CG963" t="s">
        <v>125</v>
      </c>
      <c r="CH963" t="s">
        <v>125</v>
      </c>
      <c r="CI963" t="s">
        <v>125</v>
      </c>
      <c r="CJ963" t="s">
        <v>125</v>
      </c>
      <c r="CK963" t="s">
        <v>125</v>
      </c>
      <c r="CL963" t="s">
        <v>125</v>
      </c>
      <c r="CM963" t="s">
        <v>125</v>
      </c>
      <c r="CN963" t="s">
        <v>125</v>
      </c>
      <c r="CO963" t="s">
        <v>125</v>
      </c>
      <c r="CP963" t="s">
        <v>125</v>
      </c>
      <c r="CQ963" t="s">
        <v>125</v>
      </c>
      <c r="CR963" t="s">
        <v>125</v>
      </c>
      <c r="CS963" t="s">
        <v>125</v>
      </c>
      <c r="CT963" t="s">
        <v>125</v>
      </c>
      <c r="CU963" t="s">
        <v>125</v>
      </c>
      <c r="CV963" t="s">
        <v>125</v>
      </c>
      <c r="CW963" t="s">
        <v>125</v>
      </c>
      <c r="CX963" t="s">
        <v>125</v>
      </c>
      <c r="CY963" t="s">
        <v>125</v>
      </c>
      <c r="CZ963" t="s">
        <v>125</v>
      </c>
      <c r="DA963" t="s">
        <v>125</v>
      </c>
      <c r="DB963" t="s">
        <v>125</v>
      </c>
      <c r="DC963" t="s">
        <v>125</v>
      </c>
      <c r="DD963" t="s">
        <v>125</v>
      </c>
      <c r="DE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Q963" t="s">
        <v>126</v>
      </c>
    </row>
    <row r="964" spans="1:121" x14ac:dyDescent="0.15">
      <c r="A964">
        <v>2018</v>
      </c>
      <c r="B964" t="s">
        <v>191</v>
      </c>
      <c r="C964" t="str">
        <f t="shared" si="44"/>
        <v>1480011</v>
      </c>
      <c r="D964" t="s">
        <v>1111</v>
      </c>
      <c r="E964" t="str">
        <f>"1480311"</f>
        <v>1480311</v>
      </c>
      <c r="F964" t="s">
        <v>328</v>
      </c>
      <c r="G964">
        <v>3</v>
      </c>
      <c r="H964">
        <v>5</v>
      </c>
      <c r="I964" t="s">
        <v>330</v>
      </c>
      <c r="J964" t="s">
        <v>331</v>
      </c>
      <c r="K964">
        <v>685.99697000000003</v>
      </c>
      <c r="L964">
        <v>950</v>
      </c>
      <c r="M964">
        <v>72.210206999999997</v>
      </c>
      <c r="N964">
        <v>2</v>
      </c>
      <c r="O964">
        <v>0</v>
      </c>
      <c r="P964">
        <v>70.018849000000003</v>
      </c>
      <c r="Q964">
        <v>46.679233000000004</v>
      </c>
      <c r="R964">
        <v>50</v>
      </c>
      <c r="S964">
        <v>62.539527999999997</v>
      </c>
      <c r="T964">
        <v>75</v>
      </c>
      <c r="U964">
        <v>41.693019</v>
      </c>
      <c r="V964">
        <v>50</v>
      </c>
      <c r="W964">
        <v>67.391345000000001</v>
      </c>
      <c r="X964">
        <v>44.927563999999997</v>
      </c>
      <c r="Y964">
        <v>50</v>
      </c>
      <c r="Z964">
        <v>75</v>
      </c>
      <c r="AA964">
        <v>60.116601000000003</v>
      </c>
      <c r="AB964">
        <v>40.077734</v>
      </c>
      <c r="AC964">
        <v>50</v>
      </c>
      <c r="AD964">
        <v>69.870170999999999</v>
      </c>
      <c r="AE964">
        <v>46.580114000000002</v>
      </c>
      <c r="AF964">
        <v>50</v>
      </c>
      <c r="AG964">
        <v>61.227460999999998</v>
      </c>
      <c r="AH964">
        <v>75</v>
      </c>
      <c r="AI964">
        <v>40.818306999999997</v>
      </c>
      <c r="AJ964">
        <v>50</v>
      </c>
      <c r="AK964">
        <v>12.46</v>
      </c>
      <c r="AL964">
        <v>14.88</v>
      </c>
      <c r="AM964">
        <v>13.77</v>
      </c>
      <c r="AN964">
        <v>0.58133100000000004</v>
      </c>
      <c r="AO964">
        <v>58.133088999999998</v>
      </c>
      <c r="AP964">
        <v>100</v>
      </c>
      <c r="AQ964">
        <v>0.70017200000000002</v>
      </c>
      <c r="AR964">
        <v>70.017235999999997</v>
      </c>
      <c r="AS964">
        <v>100</v>
      </c>
      <c r="AT964">
        <v>0.512185</v>
      </c>
      <c r="AU964">
        <v>0.65212300000000001</v>
      </c>
      <c r="AV964">
        <v>51.218482000000002</v>
      </c>
      <c r="AW964">
        <v>100</v>
      </c>
      <c r="AX964">
        <v>0.66829799999999995</v>
      </c>
      <c r="AY964">
        <v>0.73280500000000004</v>
      </c>
      <c r="AZ964">
        <v>66.829835000000003</v>
      </c>
      <c r="BA964">
        <v>100</v>
      </c>
      <c r="BB964">
        <v>0.46989300000000001</v>
      </c>
      <c r="BC964">
        <v>23.494629</v>
      </c>
      <c r="BD964">
        <v>50</v>
      </c>
      <c r="BE964">
        <v>0.34712399999999999</v>
      </c>
      <c r="BF964">
        <v>17.356197999999999</v>
      </c>
      <c r="BG964">
        <v>50</v>
      </c>
      <c r="BH964">
        <v>0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3.3333000000000002E-2</v>
      </c>
      <c r="BS964">
        <v>50</v>
      </c>
      <c r="BT964">
        <v>50</v>
      </c>
      <c r="BU964">
        <v>5.4795000000000003E-2</v>
      </c>
      <c r="BV964">
        <v>49.041096000000003</v>
      </c>
      <c r="BW964">
        <v>50</v>
      </c>
      <c r="BX964" t="s">
        <v>125</v>
      </c>
      <c r="BY964" t="s">
        <v>125</v>
      </c>
      <c r="BZ964" t="s">
        <v>125</v>
      </c>
      <c r="CA964" t="s">
        <v>125</v>
      </c>
      <c r="CB964" t="s">
        <v>125</v>
      </c>
      <c r="CC964" t="s">
        <v>125</v>
      </c>
      <c r="CD964" t="s">
        <v>125</v>
      </c>
      <c r="CE964" t="s">
        <v>125</v>
      </c>
      <c r="CF964" t="s">
        <v>125</v>
      </c>
      <c r="CG964" t="s">
        <v>125</v>
      </c>
      <c r="CH964" t="s">
        <v>125</v>
      </c>
      <c r="CI964" t="s">
        <v>125</v>
      </c>
      <c r="CJ964" t="s">
        <v>125</v>
      </c>
      <c r="CK964" t="s">
        <v>125</v>
      </c>
      <c r="CL964" t="s">
        <v>125</v>
      </c>
      <c r="CM964" t="s">
        <v>125</v>
      </c>
      <c r="CN964" t="s">
        <v>125</v>
      </c>
      <c r="CO964" t="s">
        <v>125</v>
      </c>
      <c r="CP964" t="s">
        <v>125</v>
      </c>
      <c r="CQ964">
        <v>0.58695699999999995</v>
      </c>
      <c r="CR964">
        <v>0.96842099999999998</v>
      </c>
      <c r="CS964">
        <v>39.130434999999999</v>
      </c>
      <c r="CT964">
        <v>50</v>
      </c>
      <c r="CU964" t="s">
        <v>125</v>
      </c>
      <c r="CV964" t="s">
        <v>125</v>
      </c>
      <c r="CW964" t="s">
        <v>125</v>
      </c>
      <c r="CX964" t="s">
        <v>125</v>
      </c>
      <c r="CY964" t="s">
        <v>125</v>
      </c>
      <c r="CZ964" t="s">
        <v>125</v>
      </c>
      <c r="DA964">
        <v>15.314097</v>
      </c>
      <c r="DB964">
        <v>17.400950000000002</v>
      </c>
      <c r="DC964">
        <v>16.332519999999999</v>
      </c>
      <c r="DD964" t="s">
        <v>125</v>
      </c>
      <c r="DE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Q964" t="s">
        <v>126</v>
      </c>
    </row>
    <row r="965" spans="1:121" x14ac:dyDescent="0.15">
      <c r="A965">
        <v>2018</v>
      </c>
      <c r="B965" t="s">
        <v>191</v>
      </c>
      <c r="C965" t="str">
        <f t="shared" si="44"/>
        <v>1480011</v>
      </c>
      <c r="D965" t="s">
        <v>1112</v>
      </c>
      <c r="E965" t="str">
        <f>"1481211"</f>
        <v>1481211</v>
      </c>
      <c r="F965" t="s">
        <v>328</v>
      </c>
      <c r="G965">
        <v>3</v>
      </c>
      <c r="H965">
        <v>5</v>
      </c>
      <c r="I965" t="s">
        <v>330</v>
      </c>
      <c r="J965" t="s">
        <v>331</v>
      </c>
      <c r="K965">
        <v>676.08992000000001</v>
      </c>
      <c r="L965">
        <v>950</v>
      </c>
      <c r="M965">
        <v>71.167360000000002</v>
      </c>
      <c r="N965">
        <v>2</v>
      </c>
      <c r="O965">
        <v>0</v>
      </c>
      <c r="P965">
        <v>70.215911000000006</v>
      </c>
      <c r="Q965">
        <v>46.810606999999997</v>
      </c>
      <c r="R965">
        <v>50</v>
      </c>
      <c r="S965">
        <v>62.967030999999999</v>
      </c>
      <c r="T965">
        <v>75</v>
      </c>
      <c r="U965">
        <v>41.978020999999998</v>
      </c>
      <c r="V965">
        <v>50</v>
      </c>
      <c r="W965">
        <v>64.860516000000004</v>
      </c>
      <c r="X965">
        <v>43.240344</v>
      </c>
      <c r="Y965">
        <v>50</v>
      </c>
      <c r="Z965">
        <v>71.041082000000003</v>
      </c>
      <c r="AA965">
        <v>56.873320999999997</v>
      </c>
      <c r="AB965">
        <v>37.915548000000001</v>
      </c>
      <c r="AC965">
        <v>50</v>
      </c>
      <c r="AD965">
        <v>68.930806000000004</v>
      </c>
      <c r="AE965">
        <v>45.953870999999999</v>
      </c>
      <c r="AF965">
        <v>50</v>
      </c>
      <c r="AG965">
        <v>61.345461</v>
      </c>
      <c r="AH965">
        <v>74.653084000000007</v>
      </c>
      <c r="AI965">
        <v>40.896974</v>
      </c>
      <c r="AJ965">
        <v>50</v>
      </c>
      <c r="AK965">
        <v>12.03</v>
      </c>
      <c r="AL965">
        <v>14.16</v>
      </c>
      <c r="AM965">
        <v>13.3</v>
      </c>
      <c r="AN965">
        <v>0.61898200000000003</v>
      </c>
      <c r="AO965">
        <v>61.898153999999998</v>
      </c>
      <c r="AP965">
        <v>100</v>
      </c>
      <c r="AQ965">
        <v>0.607684</v>
      </c>
      <c r="AR965">
        <v>60.768352</v>
      </c>
      <c r="AS965">
        <v>100</v>
      </c>
      <c r="AT965">
        <v>0.54012099999999996</v>
      </c>
      <c r="AU965">
        <v>0.67280700000000004</v>
      </c>
      <c r="AV965">
        <v>54.012141</v>
      </c>
      <c r="AW965">
        <v>100</v>
      </c>
      <c r="AX965">
        <v>0.497363</v>
      </c>
      <c r="AY965">
        <v>0.68298199999999998</v>
      </c>
      <c r="AZ965">
        <v>49.736314</v>
      </c>
      <c r="BA965">
        <v>100</v>
      </c>
      <c r="BB965">
        <v>0.70277599999999996</v>
      </c>
      <c r="BC965">
        <v>35.138804999999998</v>
      </c>
      <c r="BD965">
        <v>50</v>
      </c>
      <c r="BE965">
        <v>0.42363299999999998</v>
      </c>
      <c r="BF965">
        <v>21.181650999999999</v>
      </c>
      <c r="BG965">
        <v>50</v>
      </c>
      <c r="BH965">
        <v>0</v>
      </c>
      <c r="BI965">
        <v>0.99671100000000001</v>
      </c>
      <c r="BJ965">
        <v>0.99259299999999995</v>
      </c>
      <c r="BK965">
        <v>1</v>
      </c>
      <c r="BL965">
        <v>0.99671100000000001</v>
      </c>
      <c r="BM965">
        <v>0.99259299999999995</v>
      </c>
      <c r="BN965">
        <v>1</v>
      </c>
      <c r="BO965">
        <v>1</v>
      </c>
      <c r="BP965">
        <v>1</v>
      </c>
      <c r="BQ965">
        <v>1</v>
      </c>
      <c r="BR965">
        <v>3.2895000000000001E-2</v>
      </c>
      <c r="BS965">
        <v>50</v>
      </c>
      <c r="BT965">
        <v>50</v>
      </c>
      <c r="BU965">
        <v>2.9850999999999999E-2</v>
      </c>
      <c r="BV965">
        <v>50</v>
      </c>
      <c r="BW965">
        <v>50</v>
      </c>
      <c r="BX965" t="s">
        <v>125</v>
      </c>
      <c r="BY965" t="s">
        <v>125</v>
      </c>
      <c r="BZ965" t="s">
        <v>125</v>
      </c>
      <c r="CA965" t="s">
        <v>125</v>
      </c>
      <c r="CB965" t="s">
        <v>125</v>
      </c>
      <c r="CC965" t="s">
        <v>125</v>
      </c>
      <c r="CD965" t="s">
        <v>125</v>
      </c>
      <c r="CE965" t="s">
        <v>125</v>
      </c>
      <c r="CF965" t="s">
        <v>125</v>
      </c>
      <c r="CG965" t="s">
        <v>125</v>
      </c>
      <c r="CH965" t="s">
        <v>125</v>
      </c>
      <c r="CI965" t="s">
        <v>125</v>
      </c>
      <c r="CJ965" t="s">
        <v>125</v>
      </c>
      <c r="CK965" t="s">
        <v>125</v>
      </c>
      <c r="CL965" t="s">
        <v>125</v>
      </c>
      <c r="CM965" t="s">
        <v>125</v>
      </c>
      <c r="CN965" t="s">
        <v>125</v>
      </c>
      <c r="CO965" t="s">
        <v>125</v>
      </c>
      <c r="CP965" t="s">
        <v>125</v>
      </c>
      <c r="CQ965">
        <v>0.54838699999999996</v>
      </c>
      <c r="CR965">
        <v>1.0598289999999999</v>
      </c>
      <c r="CS965">
        <v>36.559139999999999</v>
      </c>
      <c r="CT965">
        <v>50</v>
      </c>
      <c r="CU965" t="s">
        <v>125</v>
      </c>
      <c r="CV965" t="s">
        <v>125</v>
      </c>
      <c r="CW965" t="s">
        <v>125</v>
      </c>
      <c r="CX965" t="s">
        <v>125</v>
      </c>
      <c r="CY965" t="s">
        <v>125</v>
      </c>
      <c r="CZ965" t="s">
        <v>125</v>
      </c>
      <c r="DA965">
        <v>15.314097</v>
      </c>
      <c r="DB965">
        <v>17.400950000000002</v>
      </c>
      <c r="DC965">
        <v>16.332519999999999</v>
      </c>
      <c r="DD965" t="s">
        <v>125</v>
      </c>
      <c r="DE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Q965" t="s">
        <v>126</v>
      </c>
    </row>
    <row r="966" spans="1:121" x14ac:dyDescent="0.15">
      <c r="A966">
        <v>2018</v>
      </c>
      <c r="B966" t="s">
        <v>191</v>
      </c>
      <c r="C966" t="str">
        <f t="shared" si="44"/>
        <v>1480011</v>
      </c>
      <c r="D966" t="s">
        <v>1113</v>
      </c>
      <c r="E966" t="str">
        <f>"1480411"</f>
        <v>1480411</v>
      </c>
      <c r="F966" t="s">
        <v>328</v>
      </c>
      <c r="G966">
        <v>3</v>
      </c>
      <c r="H966">
        <v>5</v>
      </c>
      <c r="I966" t="s">
        <v>330</v>
      </c>
      <c r="J966" t="s">
        <v>331</v>
      </c>
      <c r="K966">
        <v>683.209881</v>
      </c>
      <c r="L966">
        <v>950</v>
      </c>
      <c r="M966">
        <v>71.916830000000004</v>
      </c>
      <c r="N966">
        <v>3</v>
      </c>
      <c r="O966">
        <v>1</v>
      </c>
      <c r="P966">
        <v>68.593686000000005</v>
      </c>
      <c r="Q966">
        <v>45.729123999999999</v>
      </c>
      <c r="R966">
        <v>50</v>
      </c>
      <c r="S966">
        <v>58.257168999999998</v>
      </c>
      <c r="T966">
        <v>75</v>
      </c>
      <c r="U966">
        <v>38.838113</v>
      </c>
      <c r="V966">
        <v>50</v>
      </c>
      <c r="W966">
        <v>65.920715000000001</v>
      </c>
      <c r="X966">
        <v>43.947142999999997</v>
      </c>
      <c r="Y966">
        <v>50</v>
      </c>
      <c r="Z966">
        <v>72.523651000000001</v>
      </c>
      <c r="AA966">
        <v>55.930185999999999</v>
      </c>
      <c r="AB966">
        <v>37.286791000000001</v>
      </c>
      <c r="AC966">
        <v>50</v>
      </c>
      <c r="AD966">
        <v>67.486942999999997</v>
      </c>
      <c r="AE966">
        <v>44.991295000000001</v>
      </c>
      <c r="AF966">
        <v>50</v>
      </c>
      <c r="AG966">
        <v>56.341462999999997</v>
      </c>
      <c r="AH966">
        <v>74.627015999999998</v>
      </c>
      <c r="AI966">
        <v>37.560975999999997</v>
      </c>
      <c r="AJ966">
        <v>50</v>
      </c>
      <c r="AK966">
        <v>16.739999999999998</v>
      </c>
      <c r="AL966">
        <v>16.59</v>
      </c>
      <c r="AM966">
        <v>18.28</v>
      </c>
      <c r="AN966">
        <v>0.62066100000000002</v>
      </c>
      <c r="AO966">
        <v>62.066110000000002</v>
      </c>
      <c r="AP966">
        <v>100</v>
      </c>
      <c r="AQ966">
        <v>0.69330899999999995</v>
      </c>
      <c r="AR966">
        <v>69.330869000000007</v>
      </c>
      <c r="AS966">
        <v>100</v>
      </c>
      <c r="AT966">
        <v>0.58334200000000003</v>
      </c>
      <c r="AU966">
        <v>0.64795899999999995</v>
      </c>
      <c r="AV966">
        <v>58.334201</v>
      </c>
      <c r="AW966">
        <v>100</v>
      </c>
      <c r="AX966">
        <v>0.68710199999999999</v>
      </c>
      <c r="AY966">
        <v>0.69777500000000003</v>
      </c>
      <c r="AZ966">
        <v>68.710243000000006</v>
      </c>
      <c r="BA966">
        <v>100</v>
      </c>
      <c r="BB966">
        <v>0.70558600000000005</v>
      </c>
      <c r="BC966">
        <v>35.279318000000004</v>
      </c>
      <c r="BD966">
        <v>50</v>
      </c>
      <c r="BE966">
        <v>0.46173900000000001</v>
      </c>
      <c r="BF966">
        <v>23.086970999999998</v>
      </c>
      <c r="BG966">
        <v>50</v>
      </c>
      <c r="BH966">
        <v>0</v>
      </c>
      <c r="BI966">
        <v>0.99041500000000005</v>
      </c>
      <c r="BJ966">
        <v>0.98461500000000002</v>
      </c>
      <c r="BK966">
        <v>0.99453599999999998</v>
      </c>
      <c r="BL966">
        <v>0.99041500000000005</v>
      </c>
      <c r="BM966">
        <v>0.98461500000000002</v>
      </c>
      <c r="BN966">
        <v>0.99453599999999998</v>
      </c>
      <c r="BO966">
        <v>1</v>
      </c>
      <c r="BP966">
        <v>1</v>
      </c>
      <c r="BQ966">
        <v>1</v>
      </c>
      <c r="BR966">
        <v>6.0703E-2</v>
      </c>
      <c r="BS966">
        <v>47.859425000000002</v>
      </c>
      <c r="BT966">
        <v>50</v>
      </c>
      <c r="BU966">
        <v>9.9237000000000006E-2</v>
      </c>
      <c r="BV966">
        <v>40.152672000000003</v>
      </c>
      <c r="BW966">
        <v>50</v>
      </c>
      <c r="BX966" t="s">
        <v>125</v>
      </c>
      <c r="BY966" t="s">
        <v>125</v>
      </c>
      <c r="BZ966" t="s">
        <v>125</v>
      </c>
      <c r="CA966" t="s">
        <v>125</v>
      </c>
      <c r="CB966" t="s">
        <v>125</v>
      </c>
      <c r="CC966" t="s">
        <v>125</v>
      </c>
      <c r="CD966" t="s">
        <v>125</v>
      </c>
      <c r="CE966" t="s">
        <v>125</v>
      </c>
      <c r="CF966" t="s">
        <v>125</v>
      </c>
      <c r="CG966" t="s">
        <v>125</v>
      </c>
      <c r="CH966" t="s">
        <v>125</v>
      </c>
      <c r="CI966" t="s">
        <v>125</v>
      </c>
      <c r="CJ966" t="s">
        <v>125</v>
      </c>
      <c r="CK966" t="s">
        <v>125</v>
      </c>
      <c r="CL966" t="s">
        <v>125</v>
      </c>
      <c r="CM966" t="s">
        <v>125</v>
      </c>
      <c r="CN966" t="s">
        <v>125</v>
      </c>
      <c r="CO966" t="s">
        <v>125</v>
      </c>
      <c r="CP966" t="s">
        <v>125</v>
      </c>
      <c r="CQ966">
        <v>0.45054899999999998</v>
      </c>
      <c r="CR966">
        <v>0.96808499999999997</v>
      </c>
      <c r="CS966">
        <v>30.036629999999999</v>
      </c>
      <c r="CT966">
        <v>50</v>
      </c>
      <c r="CU966" t="s">
        <v>125</v>
      </c>
      <c r="CV966" t="s">
        <v>125</v>
      </c>
      <c r="CW966" t="s">
        <v>125</v>
      </c>
      <c r="CX966" t="s">
        <v>125</v>
      </c>
      <c r="CY966" t="s">
        <v>125</v>
      </c>
      <c r="CZ966" t="s">
        <v>125</v>
      </c>
      <c r="DA966">
        <v>15.314097</v>
      </c>
      <c r="DB966">
        <v>17.400950000000002</v>
      </c>
      <c r="DC966">
        <v>16.332519999999999</v>
      </c>
      <c r="DD966" t="s">
        <v>125</v>
      </c>
      <c r="DE966">
        <v>1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Q966" t="s">
        <v>126</v>
      </c>
    </row>
    <row r="967" spans="1:121" x14ac:dyDescent="0.15">
      <c r="A967">
        <v>2018</v>
      </c>
      <c r="B967" t="s">
        <v>143</v>
      </c>
      <c r="C967" t="str">
        <f t="shared" ref="C967:C995" si="45">"1510011"</f>
        <v>1510011</v>
      </c>
      <c r="D967" t="s">
        <v>1114</v>
      </c>
      <c r="E967" t="str">
        <f>"1512111"</f>
        <v>1512111</v>
      </c>
      <c r="F967" t="s">
        <v>328</v>
      </c>
      <c r="G967" t="s">
        <v>339</v>
      </c>
      <c r="H967">
        <v>5</v>
      </c>
      <c r="I967" t="s">
        <v>336</v>
      </c>
      <c r="J967" t="s">
        <v>331</v>
      </c>
      <c r="K967">
        <v>644.25316599999996</v>
      </c>
      <c r="L967">
        <v>950</v>
      </c>
      <c r="M967">
        <v>67.816123000000005</v>
      </c>
      <c r="N967">
        <v>3</v>
      </c>
      <c r="O967">
        <v>0</v>
      </c>
      <c r="P967">
        <v>59.858935000000002</v>
      </c>
      <c r="Q967">
        <v>39.905957000000001</v>
      </c>
      <c r="R967">
        <v>50</v>
      </c>
      <c r="S967">
        <v>58.28875</v>
      </c>
      <c r="T967">
        <v>68.728362000000004</v>
      </c>
      <c r="U967">
        <v>38.859166999999999</v>
      </c>
      <c r="V967">
        <v>50</v>
      </c>
      <c r="W967">
        <v>54.521743000000001</v>
      </c>
      <c r="X967">
        <v>36.347828999999997</v>
      </c>
      <c r="Y967">
        <v>50</v>
      </c>
      <c r="Z967">
        <v>61.540073</v>
      </c>
      <c r="AA967">
        <v>53.279263999999998</v>
      </c>
      <c r="AB967">
        <v>35.519508999999999</v>
      </c>
      <c r="AC967">
        <v>50</v>
      </c>
      <c r="AD967">
        <v>59.279440000000001</v>
      </c>
      <c r="AE967">
        <v>39.519627</v>
      </c>
      <c r="AF967">
        <v>50</v>
      </c>
      <c r="AG967">
        <v>57.483871000000001</v>
      </c>
      <c r="AH967" t="s">
        <v>125</v>
      </c>
      <c r="AI967">
        <v>38.322581</v>
      </c>
      <c r="AJ967">
        <v>50</v>
      </c>
      <c r="AK967">
        <v>10.43</v>
      </c>
      <c r="AL967">
        <v>8.26</v>
      </c>
      <c r="AM967" t="s">
        <v>125</v>
      </c>
      <c r="AN967">
        <v>0.56660600000000005</v>
      </c>
      <c r="AO967">
        <v>56.660634999999999</v>
      </c>
      <c r="AP967">
        <v>100</v>
      </c>
      <c r="AQ967">
        <v>0.59571799999999997</v>
      </c>
      <c r="AR967">
        <v>59.571841999999997</v>
      </c>
      <c r="AS967">
        <v>100</v>
      </c>
      <c r="AT967">
        <v>0.54927700000000002</v>
      </c>
      <c r="AU967">
        <v>0.67130500000000004</v>
      </c>
      <c r="AV967">
        <v>54.927691000000003</v>
      </c>
      <c r="AW967">
        <v>100</v>
      </c>
      <c r="AX967">
        <v>0.59573900000000002</v>
      </c>
      <c r="AY967">
        <v>0.59559700000000004</v>
      </c>
      <c r="AZ967">
        <v>59.573855000000002</v>
      </c>
      <c r="BA967">
        <v>100</v>
      </c>
      <c r="BB967">
        <v>0.52684500000000001</v>
      </c>
      <c r="BC967">
        <v>26.342229</v>
      </c>
      <c r="BD967">
        <v>50</v>
      </c>
      <c r="BE967">
        <v>0.47661100000000001</v>
      </c>
      <c r="BF967">
        <v>23.830570999999999</v>
      </c>
      <c r="BG967">
        <v>50</v>
      </c>
      <c r="BH967">
        <v>0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 t="s">
        <v>125</v>
      </c>
      <c r="BR967">
        <v>8.0292000000000002E-2</v>
      </c>
      <c r="BS967">
        <v>43.941606</v>
      </c>
      <c r="BT967">
        <v>50</v>
      </c>
      <c r="BU967">
        <v>9.1303999999999996E-2</v>
      </c>
      <c r="BV967">
        <v>41.739130000000003</v>
      </c>
      <c r="BW967">
        <v>50</v>
      </c>
      <c r="BX967" t="s">
        <v>125</v>
      </c>
      <c r="BY967" t="s">
        <v>125</v>
      </c>
      <c r="BZ967" t="s">
        <v>125</v>
      </c>
      <c r="CA967" t="s">
        <v>125</v>
      </c>
      <c r="CB967" t="s">
        <v>125</v>
      </c>
      <c r="CC967" t="s">
        <v>125</v>
      </c>
      <c r="CD967" t="s">
        <v>125</v>
      </c>
      <c r="CE967" t="s">
        <v>125</v>
      </c>
      <c r="CF967" t="s">
        <v>125</v>
      </c>
      <c r="CG967" t="s">
        <v>125</v>
      </c>
      <c r="CH967" t="s">
        <v>125</v>
      </c>
      <c r="CI967" t="s">
        <v>125</v>
      </c>
      <c r="CJ967" t="s">
        <v>125</v>
      </c>
      <c r="CK967" t="s">
        <v>125</v>
      </c>
      <c r="CL967" t="s">
        <v>125</v>
      </c>
      <c r="CM967" t="s">
        <v>125</v>
      </c>
      <c r="CN967" t="s">
        <v>125</v>
      </c>
      <c r="CO967" t="s">
        <v>125</v>
      </c>
      <c r="CP967" t="s">
        <v>125</v>
      </c>
      <c r="CQ967">
        <v>0.73786399999999996</v>
      </c>
      <c r="CR967">
        <v>0.98095200000000005</v>
      </c>
      <c r="CS967">
        <v>49.190939</v>
      </c>
      <c r="CT967">
        <v>50</v>
      </c>
      <c r="CU967" t="s">
        <v>125</v>
      </c>
      <c r="CV967" t="s">
        <v>125</v>
      </c>
      <c r="CW967" t="s">
        <v>125</v>
      </c>
      <c r="CX967" t="s">
        <v>125</v>
      </c>
      <c r="CY967" t="s">
        <v>125</v>
      </c>
      <c r="CZ967" t="s">
        <v>125</v>
      </c>
      <c r="DA967">
        <v>15.314097</v>
      </c>
      <c r="DB967">
        <v>17.400950000000002</v>
      </c>
      <c r="DC967">
        <v>16.332519999999999</v>
      </c>
      <c r="DD967" t="s">
        <v>125</v>
      </c>
      <c r="DE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Q967" t="s">
        <v>126</v>
      </c>
    </row>
    <row r="968" spans="1:121" x14ac:dyDescent="0.15">
      <c r="A968">
        <v>2018</v>
      </c>
      <c r="B968" t="s">
        <v>143</v>
      </c>
      <c r="C968" t="str">
        <f t="shared" si="45"/>
        <v>1510011</v>
      </c>
      <c r="D968" t="s">
        <v>1115</v>
      </c>
      <c r="E968" t="str">
        <f>"1510511"</f>
        <v>1510511</v>
      </c>
      <c r="F968" t="s">
        <v>328</v>
      </c>
      <c r="G968" t="s">
        <v>329</v>
      </c>
      <c r="H968">
        <v>5</v>
      </c>
      <c r="I968" t="s">
        <v>336</v>
      </c>
      <c r="J968" t="s">
        <v>331</v>
      </c>
      <c r="K968">
        <v>605.02357700000005</v>
      </c>
      <c r="L968">
        <v>950</v>
      </c>
      <c r="M968">
        <v>63.686692000000001</v>
      </c>
      <c r="N968">
        <v>3</v>
      </c>
      <c r="O968">
        <v>0</v>
      </c>
      <c r="P968">
        <v>57.806494000000001</v>
      </c>
      <c r="Q968">
        <v>38.537663000000002</v>
      </c>
      <c r="R968">
        <v>50</v>
      </c>
      <c r="S968">
        <v>56.843620000000001</v>
      </c>
      <c r="T968" t="s">
        <v>125</v>
      </c>
      <c r="U968">
        <v>37.895747</v>
      </c>
      <c r="V968">
        <v>50</v>
      </c>
      <c r="W968">
        <v>52.103386</v>
      </c>
      <c r="X968">
        <v>34.735590999999999</v>
      </c>
      <c r="Y968">
        <v>50</v>
      </c>
      <c r="Z968" t="s">
        <v>125</v>
      </c>
      <c r="AA968">
        <v>51.355964</v>
      </c>
      <c r="AB968">
        <v>34.237309000000003</v>
      </c>
      <c r="AC968">
        <v>50</v>
      </c>
      <c r="AD968">
        <v>62.568697999999998</v>
      </c>
      <c r="AE968">
        <v>41.712465000000002</v>
      </c>
      <c r="AF968">
        <v>50</v>
      </c>
      <c r="AG968">
        <v>61.258065000000002</v>
      </c>
      <c r="AH968" t="s">
        <v>125</v>
      </c>
      <c r="AI968">
        <v>40.838709999999999</v>
      </c>
      <c r="AJ968">
        <v>50</v>
      </c>
      <c r="AK968" t="s">
        <v>125</v>
      </c>
      <c r="AL968" t="s">
        <v>125</v>
      </c>
      <c r="AM968" t="s">
        <v>125</v>
      </c>
      <c r="AN968">
        <v>0.653895</v>
      </c>
      <c r="AO968">
        <v>65.389537000000004</v>
      </c>
      <c r="AP968">
        <v>100</v>
      </c>
      <c r="AQ968">
        <v>0.66253899999999999</v>
      </c>
      <c r="AR968">
        <v>66.253882000000004</v>
      </c>
      <c r="AS968">
        <v>100</v>
      </c>
      <c r="AT968">
        <v>0.63082700000000003</v>
      </c>
      <c r="AU968" t="s">
        <v>125</v>
      </c>
      <c r="AV968">
        <v>63.082732999999998</v>
      </c>
      <c r="AW968">
        <v>100</v>
      </c>
      <c r="AX968">
        <v>0.664354</v>
      </c>
      <c r="AY968" t="s">
        <v>125</v>
      </c>
      <c r="AZ968">
        <v>66.435355999999999</v>
      </c>
      <c r="BA968">
        <v>100</v>
      </c>
      <c r="BB968">
        <v>0.48296099999999997</v>
      </c>
      <c r="BC968">
        <v>24.148070000000001</v>
      </c>
      <c r="BD968">
        <v>50</v>
      </c>
      <c r="BE968">
        <v>0.378965</v>
      </c>
      <c r="BF968">
        <v>18.948242</v>
      </c>
      <c r="BG968">
        <v>50</v>
      </c>
      <c r="BH968">
        <v>0</v>
      </c>
      <c r="BI968">
        <v>1</v>
      </c>
      <c r="BJ968">
        <v>1</v>
      </c>
      <c r="BK968" t="s">
        <v>125</v>
      </c>
      <c r="BL968">
        <v>1</v>
      </c>
      <c r="BM968">
        <v>1</v>
      </c>
      <c r="BN968" t="s">
        <v>125</v>
      </c>
      <c r="BO968">
        <v>1</v>
      </c>
      <c r="BP968">
        <v>1</v>
      </c>
      <c r="BQ968" t="s">
        <v>125</v>
      </c>
      <c r="BR968">
        <v>0.18548400000000001</v>
      </c>
      <c r="BS968">
        <v>22.903226</v>
      </c>
      <c r="BT968">
        <v>50</v>
      </c>
      <c r="BU968">
        <v>0.18840599999999999</v>
      </c>
      <c r="BV968">
        <v>22.318840999999999</v>
      </c>
      <c r="BW968">
        <v>50</v>
      </c>
      <c r="BX968" t="s">
        <v>125</v>
      </c>
      <c r="BY968" t="s">
        <v>125</v>
      </c>
      <c r="BZ968" t="s">
        <v>125</v>
      </c>
      <c r="CA968" t="s">
        <v>125</v>
      </c>
      <c r="CB968" t="s">
        <v>125</v>
      </c>
      <c r="CC968" t="s">
        <v>125</v>
      </c>
      <c r="CD968" t="s">
        <v>125</v>
      </c>
      <c r="CE968" t="s">
        <v>125</v>
      </c>
      <c r="CF968" t="s">
        <v>125</v>
      </c>
      <c r="CG968" t="s">
        <v>125</v>
      </c>
      <c r="CH968" t="s">
        <v>125</v>
      </c>
      <c r="CI968" t="s">
        <v>125</v>
      </c>
      <c r="CJ968" t="s">
        <v>125</v>
      </c>
      <c r="CK968" t="s">
        <v>125</v>
      </c>
      <c r="CL968" t="s">
        <v>125</v>
      </c>
      <c r="CM968" t="s">
        <v>125</v>
      </c>
      <c r="CN968" t="s">
        <v>125</v>
      </c>
      <c r="CO968" t="s">
        <v>125</v>
      </c>
      <c r="CP968" t="s">
        <v>125</v>
      </c>
      <c r="CQ968">
        <v>0.41379300000000002</v>
      </c>
      <c r="CR968">
        <v>1</v>
      </c>
      <c r="CS968">
        <v>27.586207000000002</v>
      </c>
      <c r="CT968">
        <v>50</v>
      </c>
      <c r="CU968" t="s">
        <v>125</v>
      </c>
      <c r="CV968" t="s">
        <v>125</v>
      </c>
      <c r="CW968" t="s">
        <v>125</v>
      </c>
      <c r="CX968" t="s">
        <v>125</v>
      </c>
      <c r="CY968" t="s">
        <v>125</v>
      </c>
      <c r="CZ968" t="s">
        <v>125</v>
      </c>
      <c r="DA968">
        <v>15.314097</v>
      </c>
      <c r="DB968">
        <v>17.400950000000002</v>
      </c>
      <c r="DC968">
        <v>16.332519999999999</v>
      </c>
      <c r="DD968" t="s">
        <v>125</v>
      </c>
      <c r="DE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Q968" t="s">
        <v>126</v>
      </c>
    </row>
    <row r="969" spans="1:121" x14ac:dyDescent="0.15">
      <c r="A969">
        <v>2018</v>
      </c>
      <c r="B969" t="s">
        <v>143</v>
      </c>
      <c r="C969" t="str">
        <f t="shared" si="45"/>
        <v>1510011</v>
      </c>
      <c r="D969" t="s">
        <v>1116</v>
      </c>
      <c r="E969" t="str">
        <f>"1510611"</f>
        <v>1510611</v>
      </c>
      <c r="F969" t="s">
        <v>328</v>
      </c>
      <c r="G969" t="s">
        <v>329</v>
      </c>
      <c r="H969">
        <v>5</v>
      </c>
      <c r="I969" t="s">
        <v>336</v>
      </c>
      <c r="J969" t="s">
        <v>331</v>
      </c>
      <c r="K969">
        <v>590.71946400000002</v>
      </c>
      <c r="L969">
        <v>950</v>
      </c>
      <c r="M969">
        <v>62.180996</v>
      </c>
      <c r="N969">
        <v>3</v>
      </c>
      <c r="O969">
        <v>0</v>
      </c>
      <c r="P969">
        <v>56.889887999999999</v>
      </c>
      <c r="Q969">
        <v>37.926591999999999</v>
      </c>
      <c r="R969">
        <v>50</v>
      </c>
      <c r="S969">
        <v>56.344150999999997</v>
      </c>
      <c r="T969" t="s">
        <v>125</v>
      </c>
      <c r="U969">
        <v>37.562767999999998</v>
      </c>
      <c r="V969">
        <v>50</v>
      </c>
      <c r="W969">
        <v>52.088341</v>
      </c>
      <c r="X969">
        <v>34.725560999999999</v>
      </c>
      <c r="Y969">
        <v>50</v>
      </c>
      <c r="Z969" t="s">
        <v>125</v>
      </c>
      <c r="AA969">
        <v>51.749993000000003</v>
      </c>
      <c r="AB969">
        <v>34.499994999999998</v>
      </c>
      <c r="AC969">
        <v>50</v>
      </c>
      <c r="AD969">
        <v>56.926284000000003</v>
      </c>
      <c r="AE969">
        <v>37.950856000000002</v>
      </c>
      <c r="AF969">
        <v>50</v>
      </c>
      <c r="AG969">
        <v>56.640773000000003</v>
      </c>
      <c r="AH969" t="s">
        <v>125</v>
      </c>
      <c r="AI969">
        <v>37.760514999999998</v>
      </c>
      <c r="AJ969">
        <v>50</v>
      </c>
      <c r="AK969" t="s">
        <v>125</v>
      </c>
      <c r="AL969" t="s">
        <v>125</v>
      </c>
      <c r="AM969" t="s">
        <v>125</v>
      </c>
      <c r="AN969">
        <v>0.48656899999999997</v>
      </c>
      <c r="AO969">
        <v>48.656908000000001</v>
      </c>
      <c r="AP969">
        <v>100</v>
      </c>
      <c r="AQ969">
        <v>0.58106500000000005</v>
      </c>
      <c r="AR969">
        <v>58.106544999999997</v>
      </c>
      <c r="AS969">
        <v>100</v>
      </c>
      <c r="AT969">
        <v>0.48524200000000001</v>
      </c>
      <c r="AU969" t="s">
        <v>125</v>
      </c>
      <c r="AV969">
        <v>48.524160000000002</v>
      </c>
      <c r="AW969">
        <v>100</v>
      </c>
      <c r="AX969">
        <v>0.58681499999999998</v>
      </c>
      <c r="AY969" t="s">
        <v>125</v>
      </c>
      <c r="AZ969">
        <v>58.681458999999997</v>
      </c>
      <c r="BA969">
        <v>100</v>
      </c>
      <c r="BB969">
        <v>0.61208600000000002</v>
      </c>
      <c r="BC969">
        <v>30.604285999999998</v>
      </c>
      <c r="BD969">
        <v>50</v>
      </c>
      <c r="BE969">
        <v>0.40240100000000001</v>
      </c>
      <c r="BF969">
        <v>20.120042000000002</v>
      </c>
      <c r="BG969">
        <v>50</v>
      </c>
      <c r="BH969">
        <v>0</v>
      </c>
      <c r="BI969">
        <v>1</v>
      </c>
      <c r="BJ969">
        <v>1</v>
      </c>
      <c r="BK969" t="s">
        <v>125</v>
      </c>
      <c r="BL969">
        <v>1</v>
      </c>
      <c r="BM969">
        <v>1</v>
      </c>
      <c r="BN969" t="s">
        <v>125</v>
      </c>
      <c r="BO969">
        <v>1</v>
      </c>
      <c r="BP969">
        <v>1</v>
      </c>
      <c r="BQ969" t="s">
        <v>125</v>
      </c>
      <c r="BR969">
        <v>0.154525</v>
      </c>
      <c r="BS969">
        <v>29.094923000000001</v>
      </c>
      <c r="BT969">
        <v>50</v>
      </c>
      <c r="BU969">
        <v>0.16747600000000001</v>
      </c>
      <c r="BV969">
        <v>26.504854000000002</v>
      </c>
      <c r="BW969">
        <v>50</v>
      </c>
      <c r="BX969" t="s">
        <v>125</v>
      </c>
      <c r="BY969" t="s">
        <v>125</v>
      </c>
      <c r="BZ969" t="s">
        <v>125</v>
      </c>
      <c r="CA969" t="s">
        <v>125</v>
      </c>
      <c r="CB969" t="s">
        <v>125</v>
      </c>
      <c r="CC969" t="s">
        <v>125</v>
      </c>
      <c r="CD969" t="s">
        <v>125</v>
      </c>
      <c r="CE969" t="s">
        <v>125</v>
      </c>
      <c r="CF969" t="s">
        <v>125</v>
      </c>
      <c r="CG969" t="s">
        <v>125</v>
      </c>
      <c r="CH969" t="s">
        <v>125</v>
      </c>
      <c r="CI969" t="s">
        <v>125</v>
      </c>
      <c r="CJ969" t="s">
        <v>125</v>
      </c>
      <c r="CK969" t="s">
        <v>125</v>
      </c>
      <c r="CL969" t="s">
        <v>125</v>
      </c>
      <c r="CM969" t="s">
        <v>125</v>
      </c>
      <c r="CN969" t="s">
        <v>125</v>
      </c>
      <c r="CO969" t="s">
        <v>125</v>
      </c>
      <c r="CP969" t="s">
        <v>125</v>
      </c>
      <c r="CQ969">
        <v>0.83783799999999997</v>
      </c>
      <c r="CR969">
        <v>1.0136989999999999</v>
      </c>
      <c r="CS969">
        <v>50</v>
      </c>
      <c r="CT969">
        <v>50</v>
      </c>
      <c r="CU969" t="s">
        <v>125</v>
      </c>
      <c r="CV969" t="s">
        <v>125</v>
      </c>
      <c r="CW969" t="s">
        <v>125</v>
      </c>
      <c r="CX969" t="s">
        <v>125</v>
      </c>
      <c r="CY969" t="s">
        <v>125</v>
      </c>
      <c r="CZ969" t="s">
        <v>125</v>
      </c>
      <c r="DA969">
        <v>15.314097</v>
      </c>
      <c r="DB969">
        <v>17.400950000000002</v>
      </c>
      <c r="DC969">
        <v>16.332519999999999</v>
      </c>
      <c r="DD969" t="s">
        <v>125</v>
      </c>
      <c r="DE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Q969" t="s">
        <v>126</v>
      </c>
    </row>
    <row r="970" spans="1:121" x14ac:dyDescent="0.15">
      <c r="A970">
        <v>2018</v>
      </c>
      <c r="B970" t="s">
        <v>143</v>
      </c>
      <c r="C970" t="str">
        <f t="shared" si="45"/>
        <v>1510011</v>
      </c>
      <c r="D970" t="s">
        <v>1117</v>
      </c>
      <c r="E970" t="str">
        <f>"1512711"</f>
        <v>1512711</v>
      </c>
      <c r="F970" t="s">
        <v>328</v>
      </c>
      <c r="G970" t="s">
        <v>329</v>
      </c>
      <c r="H970">
        <v>8</v>
      </c>
      <c r="I970" t="s">
        <v>336</v>
      </c>
      <c r="J970" t="s">
        <v>331</v>
      </c>
      <c r="K970">
        <v>726.28858600000001</v>
      </c>
      <c r="L970">
        <v>1000</v>
      </c>
      <c r="M970">
        <v>72.628859000000006</v>
      </c>
      <c r="N970">
        <v>2</v>
      </c>
      <c r="O970">
        <v>0</v>
      </c>
      <c r="P970">
        <v>64.707946000000007</v>
      </c>
      <c r="Q970">
        <v>43.138630999999997</v>
      </c>
      <c r="R970">
        <v>50</v>
      </c>
      <c r="S970">
        <v>61.574677000000001</v>
      </c>
      <c r="T970">
        <v>75</v>
      </c>
      <c r="U970">
        <v>41.049785</v>
      </c>
      <c r="V970">
        <v>50</v>
      </c>
      <c r="W970">
        <v>57.722425999999999</v>
      </c>
      <c r="X970">
        <v>38.481617</v>
      </c>
      <c r="Y970">
        <v>50</v>
      </c>
      <c r="Z970">
        <v>69.752562999999995</v>
      </c>
      <c r="AA970">
        <v>55.070112000000002</v>
      </c>
      <c r="AB970">
        <v>36.713408000000001</v>
      </c>
      <c r="AC970">
        <v>50</v>
      </c>
      <c r="AD970">
        <v>60.609121000000002</v>
      </c>
      <c r="AE970">
        <v>40.406081</v>
      </c>
      <c r="AF970">
        <v>50</v>
      </c>
      <c r="AG970">
        <v>57.827298999999996</v>
      </c>
      <c r="AH970">
        <v>72.398750000000007</v>
      </c>
      <c r="AI970">
        <v>38.551532000000002</v>
      </c>
      <c r="AJ970">
        <v>50</v>
      </c>
      <c r="AK970">
        <v>13.42</v>
      </c>
      <c r="AL970">
        <v>14.68</v>
      </c>
      <c r="AM970">
        <v>14.57</v>
      </c>
      <c r="AN970">
        <v>0.65522999999999998</v>
      </c>
      <c r="AO970">
        <v>65.523005999999995</v>
      </c>
      <c r="AP970">
        <v>100</v>
      </c>
      <c r="AQ970">
        <v>0.63178599999999996</v>
      </c>
      <c r="AR970">
        <v>63.178604</v>
      </c>
      <c r="AS970">
        <v>100</v>
      </c>
      <c r="AT970">
        <v>0.64799200000000001</v>
      </c>
      <c r="AU970">
        <v>0.68865100000000001</v>
      </c>
      <c r="AV970">
        <v>64.799150999999995</v>
      </c>
      <c r="AW970">
        <v>100</v>
      </c>
      <c r="AX970">
        <v>0.61546199999999995</v>
      </c>
      <c r="AY970">
        <v>0.70715499999999998</v>
      </c>
      <c r="AZ970">
        <v>61.546185999999999</v>
      </c>
      <c r="BA970">
        <v>100</v>
      </c>
      <c r="BB970">
        <v>0.49351499999999998</v>
      </c>
      <c r="BC970">
        <v>24.675739</v>
      </c>
      <c r="BD970">
        <v>50</v>
      </c>
      <c r="BE970">
        <v>0.46581499999999998</v>
      </c>
      <c r="BF970">
        <v>23.290742000000002</v>
      </c>
      <c r="BG970">
        <v>50</v>
      </c>
      <c r="BH970">
        <v>0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5.0208999999999997E-2</v>
      </c>
      <c r="BS970">
        <v>49.958159000000002</v>
      </c>
      <c r="BT970">
        <v>50</v>
      </c>
      <c r="BU970">
        <v>4.6996999999999997E-2</v>
      </c>
      <c r="BV970">
        <v>50</v>
      </c>
      <c r="BW970">
        <v>50</v>
      </c>
      <c r="BX970" t="s">
        <v>125</v>
      </c>
      <c r="BY970" t="s">
        <v>125</v>
      </c>
      <c r="BZ970" t="s">
        <v>125</v>
      </c>
      <c r="CA970" t="s">
        <v>125</v>
      </c>
      <c r="CB970" t="s">
        <v>125</v>
      </c>
      <c r="CC970" t="s">
        <v>125</v>
      </c>
      <c r="CD970">
        <v>0.80952400000000002</v>
      </c>
      <c r="CE970">
        <v>43.059776999999997</v>
      </c>
      <c r="CF970">
        <v>50</v>
      </c>
      <c r="CG970" t="s">
        <v>125</v>
      </c>
      <c r="CH970" t="s">
        <v>125</v>
      </c>
      <c r="CI970" t="s">
        <v>125</v>
      </c>
      <c r="CJ970" t="s">
        <v>125</v>
      </c>
      <c r="CK970" t="s">
        <v>125</v>
      </c>
      <c r="CL970" t="s">
        <v>125</v>
      </c>
      <c r="CM970" t="s">
        <v>125</v>
      </c>
      <c r="CN970" t="s">
        <v>125</v>
      </c>
      <c r="CO970" t="s">
        <v>125</v>
      </c>
      <c r="CP970" t="s">
        <v>125</v>
      </c>
      <c r="CQ970">
        <v>0.62874300000000005</v>
      </c>
      <c r="CR970">
        <v>0.98235300000000003</v>
      </c>
      <c r="CS970">
        <v>41.916167999999999</v>
      </c>
      <c r="CT970">
        <v>50</v>
      </c>
      <c r="CU970" t="s">
        <v>125</v>
      </c>
      <c r="CV970" t="s">
        <v>125</v>
      </c>
      <c r="CW970" t="s">
        <v>125</v>
      </c>
      <c r="CX970" t="s">
        <v>125</v>
      </c>
      <c r="CY970" t="s">
        <v>125</v>
      </c>
      <c r="CZ970" t="s">
        <v>125</v>
      </c>
      <c r="DA970">
        <v>15.314097</v>
      </c>
      <c r="DB970">
        <v>17.400950000000002</v>
      </c>
      <c r="DC970">
        <v>16.332519999999999</v>
      </c>
      <c r="DD970" t="s">
        <v>125</v>
      </c>
      <c r="DE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Q970" t="s">
        <v>126</v>
      </c>
    </row>
    <row r="971" spans="1:121" x14ac:dyDescent="0.15">
      <c r="A971">
        <v>2018</v>
      </c>
      <c r="B971" t="s">
        <v>143</v>
      </c>
      <c r="C971" t="str">
        <f t="shared" si="45"/>
        <v>1510011</v>
      </c>
      <c r="D971" t="s">
        <v>1118</v>
      </c>
      <c r="E971" t="str">
        <f>"1516211"</f>
        <v>1516211</v>
      </c>
      <c r="F971" t="s">
        <v>328</v>
      </c>
      <c r="G971">
        <v>9</v>
      </c>
      <c r="H971">
        <v>12</v>
      </c>
      <c r="I971" t="s">
        <v>336</v>
      </c>
      <c r="J971" t="s">
        <v>331</v>
      </c>
      <c r="K971">
        <v>823.233204</v>
      </c>
      <c r="L971">
        <v>1550</v>
      </c>
      <c r="M971">
        <v>53.111820000000002</v>
      </c>
      <c r="N971">
        <v>5</v>
      </c>
      <c r="O971">
        <v>0</v>
      </c>
      <c r="P971">
        <v>39.727880999999996</v>
      </c>
      <c r="Q971">
        <v>79.455760999999995</v>
      </c>
      <c r="R971">
        <v>150</v>
      </c>
      <c r="S971">
        <v>39.459443999999998</v>
      </c>
      <c r="T971" t="s">
        <v>125</v>
      </c>
      <c r="U971">
        <v>78.918888999999993</v>
      </c>
      <c r="V971">
        <v>150</v>
      </c>
      <c r="W971">
        <v>33.851595000000003</v>
      </c>
      <c r="X971">
        <v>67.703188999999995</v>
      </c>
      <c r="Y971">
        <v>150</v>
      </c>
      <c r="Z971" t="s">
        <v>125</v>
      </c>
      <c r="AA971">
        <v>33.626389000000003</v>
      </c>
      <c r="AB971">
        <v>67.252778000000006</v>
      </c>
      <c r="AC971">
        <v>150</v>
      </c>
      <c r="AD971">
        <v>40.927700000000002</v>
      </c>
      <c r="AE971">
        <v>54.570267000000001</v>
      </c>
      <c r="AF971">
        <v>100</v>
      </c>
      <c r="AG971">
        <v>40.745756</v>
      </c>
      <c r="AH971" t="s">
        <v>125</v>
      </c>
      <c r="AI971">
        <v>54.327674000000002</v>
      </c>
      <c r="AJ971">
        <v>100</v>
      </c>
      <c r="AK971" t="s">
        <v>125</v>
      </c>
      <c r="AL971" t="s">
        <v>125</v>
      </c>
      <c r="AM971" t="s">
        <v>125</v>
      </c>
      <c r="AN971" t="s">
        <v>125</v>
      </c>
      <c r="AO971" t="s">
        <v>125</v>
      </c>
      <c r="AP971" t="s">
        <v>125</v>
      </c>
      <c r="AQ971" t="s">
        <v>125</v>
      </c>
      <c r="AR971" t="s">
        <v>125</v>
      </c>
      <c r="AS971" t="s">
        <v>125</v>
      </c>
      <c r="AT971" t="s">
        <v>125</v>
      </c>
      <c r="AU971" t="s">
        <v>125</v>
      </c>
      <c r="AV971" t="s">
        <v>125</v>
      </c>
      <c r="AW971" t="s">
        <v>125</v>
      </c>
      <c r="AX971" t="s">
        <v>125</v>
      </c>
      <c r="AY971" t="s">
        <v>125</v>
      </c>
      <c r="AZ971" t="s">
        <v>125</v>
      </c>
      <c r="BA971" t="s">
        <v>125</v>
      </c>
      <c r="BB971">
        <v>0.34111200000000003</v>
      </c>
      <c r="BC971">
        <v>17.055620999999999</v>
      </c>
      <c r="BD971">
        <v>50</v>
      </c>
      <c r="BE971">
        <v>0.42094100000000001</v>
      </c>
      <c r="BF971">
        <v>21.047035000000001</v>
      </c>
      <c r="BG971">
        <v>50</v>
      </c>
      <c r="BH971">
        <v>0</v>
      </c>
      <c r="BI971">
        <v>0.95785399999999998</v>
      </c>
      <c r="BJ971">
        <v>0.95833299999999999</v>
      </c>
      <c r="BK971">
        <v>0.95238100000000003</v>
      </c>
      <c r="BL971">
        <v>0.95785399999999998</v>
      </c>
      <c r="BM971">
        <v>0.95833299999999999</v>
      </c>
      <c r="BN971">
        <v>0.95238100000000003</v>
      </c>
      <c r="BO971">
        <v>0.97692299999999999</v>
      </c>
      <c r="BP971">
        <v>0.97489499999999996</v>
      </c>
      <c r="BQ971">
        <v>1</v>
      </c>
      <c r="BR971">
        <v>0.31891900000000001</v>
      </c>
      <c r="BS971">
        <v>0</v>
      </c>
      <c r="BT971">
        <v>50</v>
      </c>
      <c r="BU971">
        <v>0.33333299999999999</v>
      </c>
      <c r="BV971">
        <v>0</v>
      </c>
      <c r="BW971">
        <v>50</v>
      </c>
      <c r="BX971">
        <v>0.571963</v>
      </c>
      <c r="BY971">
        <v>38.130840999999997</v>
      </c>
      <c r="BZ971">
        <v>50</v>
      </c>
      <c r="CA971">
        <v>4.8598000000000002E-2</v>
      </c>
      <c r="CB971">
        <v>3.2398750000000001</v>
      </c>
      <c r="CC971">
        <v>50</v>
      </c>
      <c r="CD971">
        <v>0.79094100000000001</v>
      </c>
      <c r="CE971">
        <v>42.071317000000001</v>
      </c>
      <c r="CF971">
        <v>50</v>
      </c>
      <c r="CG971">
        <v>0.706897</v>
      </c>
      <c r="CH971">
        <v>75.201761000000005</v>
      </c>
      <c r="CI971">
        <v>100</v>
      </c>
      <c r="CJ971">
        <v>1</v>
      </c>
      <c r="CK971">
        <v>0.769679</v>
      </c>
      <c r="CL971">
        <v>81.880776999999995</v>
      </c>
      <c r="CM971">
        <v>100</v>
      </c>
      <c r="CN971">
        <v>0.60465100000000005</v>
      </c>
      <c r="CO971">
        <v>80.620154999999997</v>
      </c>
      <c r="CP971">
        <v>100</v>
      </c>
      <c r="CQ971">
        <v>0.36329600000000001</v>
      </c>
      <c r="CR971">
        <v>0.92708299999999999</v>
      </c>
      <c r="CS971">
        <v>24.219725</v>
      </c>
      <c r="CT971">
        <v>50</v>
      </c>
      <c r="CU971">
        <v>0.45045000000000002</v>
      </c>
      <c r="CV971">
        <v>37.537537999999998</v>
      </c>
      <c r="CW971">
        <v>50</v>
      </c>
      <c r="CX971">
        <v>0.769679</v>
      </c>
      <c r="CY971">
        <v>0.89361699999999999</v>
      </c>
      <c r="CZ971">
        <v>0.12393800000000001</v>
      </c>
      <c r="DA971">
        <v>15.314097</v>
      </c>
      <c r="DB971">
        <v>17.400950000000002</v>
      </c>
      <c r="DC971">
        <v>16.332519999999999</v>
      </c>
      <c r="DD971">
        <v>7.9891730000000001</v>
      </c>
      <c r="DE971">
        <v>1</v>
      </c>
      <c r="DF971" t="s">
        <v>385</v>
      </c>
      <c r="DG971" t="s">
        <v>386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Q971" t="s">
        <v>126</v>
      </c>
    </row>
    <row r="972" spans="1:121" x14ac:dyDescent="0.15">
      <c r="A972">
        <v>2018</v>
      </c>
      <c r="B972" t="s">
        <v>143</v>
      </c>
      <c r="C972" t="str">
        <f t="shared" si="45"/>
        <v>1510011</v>
      </c>
      <c r="D972" t="s">
        <v>1119</v>
      </c>
      <c r="E972" t="str">
        <f>"1510911"</f>
        <v>1510911</v>
      </c>
      <c r="F972" t="s">
        <v>328</v>
      </c>
      <c r="G972" t="s">
        <v>329</v>
      </c>
      <c r="H972">
        <v>5</v>
      </c>
      <c r="I972" t="s">
        <v>336</v>
      </c>
      <c r="J972" t="s">
        <v>331</v>
      </c>
      <c r="K972">
        <v>595.30879300000004</v>
      </c>
      <c r="L972">
        <v>950</v>
      </c>
      <c r="M972">
        <v>62.664082999999998</v>
      </c>
      <c r="N972">
        <v>3</v>
      </c>
      <c r="O972">
        <v>0</v>
      </c>
      <c r="P972">
        <v>55.91283</v>
      </c>
      <c r="Q972">
        <v>37.275219999999997</v>
      </c>
      <c r="R972">
        <v>50</v>
      </c>
      <c r="S972">
        <v>55.974668000000001</v>
      </c>
      <c r="T972" t="s">
        <v>125</v>
      </c>
      <c r="U972">
        <v>37.316445000000002</v>
      </c>
      <c r="V972">
        <v>50</v>
      </c>
      <c r="W972">
        <v>49.097380999999999</v>
      </c>
      <c r="X972">
        <v>32.731586999999998</v>
      </c>
      <c r="Y972">
        <v>50</v>
      </c>
      <c r="Z972" t="s">
        <v>125</v>
      </c>
      <c r="AA972">
        <v>49.107101999999998</v>
      </c>
      <c r="AB972">
        <v>32.738067999999998</v>
      </c>
      <c r="AC972">
        <v>50</v>
      </c>
      <c r="AD972">
        <v>54.954214</v>
      </c>
      <c r="AE972">
        <v>36.636142999999997</v>
      </c>
      <c r="AF972">
        <v>50</v>
      </c>
      <c r="AG972">
        <v>54.449387999999999</v>
      </c>
      <c r="AH972" t="s">
        <v>125</v>
      </c>
      <c r="AI972">
        <v>36.299591999999997</v>
      </c>
      <c r="AJ972">
        <v>50</v>
      </c>
      <c r="AK972" t="s">
        <v>125</v>
      </c>
      <c r="AL972" t="s">
        <v>125</v>
      </c>
      <c r="AM972" t="s">
        <v>125</v>
      </c>
      <c r="AN972">
        <v>0.61770099999999994</v>
      </c>
      <c r="AO972">
        <v>61.770138000000003</v>
      </c>
      <c r="AP972">
        <v>100</v>
      </c>
      <c r="AQ972">
        <v>0.54951099999999997</v>
      </c>
      <c r="AR972">
        <v>54.951132999999999</v>
      </c>
      <c r="AS972">
        <v>100</v>
      </c>
      <c r="AT972">
        <v>0.60959399999999997</v>
      </c>
      <c r="AU972" t="s">
        <v>125</v>
      </c>
      <c r="AV972">
        <v>60.959380000000003</v>
      </c>
      <c r="AW972">
        <v>100</v>
      </c>
      <c r="AX972">
        <v>0.54998800000000003</v>
      </c>
      <c r="AY972" t="s">
        <v>125</v>
      </c>
      <c r="AZ972">
        <v>54.998752000000003</v>
      </c>
      <c r="BA972">
        <v>100</v>
      </c>
      <c r="BB972">
        <v>0.48060799999999998</v>
      </c>
      <c r="BC972">
        <v>24.030401000000001</v>
      </c>
      <c r="BD972">
        <v>50</v>
      </c>
      <c r="BE972">
        <v>0.25642399999999999</v>
      </c>
      <c r="BF972">
        <v>12.821192999999999</v>
      </c>
      <c r="BG972">
        <v>50</v>
      </c>
      <c r="BH972">
        <v>0</v>
      </c>
      <c r="BI972">
        <v>0.99574499999999999</v>
      </c>
      <c r="BJ972">
        <v>1</v>
      </c>
      <c r="BK972" t="s">
        <v>125</v>
      </c>
      <c r="BL972">
        <v>0.99565199999999998</v>
      </c>
      <c r="BM972">
        <v>1</v>
      </c>
      <c r="BN972" t="s">
        <v>125</v>
      </c>
      <c r="BO972">
        <v>1</v>
      </c>
      <c r="BP972">
        <v>1</v>
      </c>
      <c r="BQ972" t="s">
        <v>125</v>
      </c>
      <c r="BR972">
        <v>0.13375799999999999</v>
      </c>
      <c r="BS972">
        <v>33.248407999999998</v>
      </c>
      <c r="BT972">
        <v>50</v>
      </c>
      <c r="BU972">
        <v>0.136465</v>
      </c>
      <c r="BV972">
        <v>32.706935000000001</v>
      </c>
      <c r="BW972">
        <v>50</v>
      </c>
      <c r="BX972" t="s">
        <v>125</v>
      </c>
      <c r="BY972" t="s">
        <v>125</v>
      </c>
      <c r="BZ972" t="s">
        <v>125</v>
      </c>
      <c r="CA972" t="s">
        <v>125</v>
      </c>
      <c r="CB972" t="s">
        <v>125</v>
      </c>
      <c r="CC972" t="s">
        <v>125</v>
      </c>
      <c r="CD972" t="s">
        <v>125</v>
      </c>
      <c r="CE972" t="s">
        <v>125</v>
      </c>
      <c r="CF972" t="s">
        <v>125</v>
      </c>
      <c r="CG972" t="s">
        <v>125</v>
      </c>
      <c r="CH972" t="s">
        <v>125</v>
      </c>
      <c r="CI972" t="s">
        <v>125</v>
      </c>
      <c r="CJ972" t="s">
        <v>125</v>
      </c>
      <c r="CK972" t="s">
        <v>125</v>
      </c>
      <c r="CL972" t="s">
        <v>125</v>
      </c>
      <c r="CM972" t="s">
        <v>125</v>
      </c>
      <c r="CN972" t="s">
        <v>125</v>
      </c>
      <c r="CO972" t="s">
        <v>125</v>
      </c>
      <c r="CP972" t="s">
        <v>125</v>
      </c>
      <c r="CQ972">
        <v>0.70238100000000003</v>
      </c>
      <c r="CR972">
        <v>1</v>
      </c>
      <c r="CS972">
        <v>46.825397000000002</v>
      </c>
      <c r="CT972">
        <v>50</v>
      </c>
      <c r="CU972" t="s">
        <v>125</v>
      </c>
      <c r="CV972" t="s">
        <v>125</v>
      </c>
      <c r="CW972" t="s">
        <v>125</v>
      </c>
      <c r="CX972" t="s">
        <v>125</v>
      </c>
      <c r="CY972" t="s">
        <v>125</v>
      </c>
      <c r="CZ972" t="s">
        <v>125</v>
      </c>
      <c r="DA972">
        <v>15.314097</v>
      </c>
      <c r="DB972">
        <v>17.400950000000002</v>
      </c>
      <c r="DC972">
        <v>16.332519999999999</v>
      </c>
      <c r="DD972" t="s">
        <v>125</v>
      </c>
      <c r="DE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Q972" t="s">
        <v>126</v>
      </c>
    </row>
    <row r="973" spans="1:121" x14ac:dyDescent="0.15">
      <c r="A973">
        <v>2018</v>
      </c>
      <c r="B973" t="s">
        <v>143</v>
      </c>
      <c r="C973" t="str">
        <f t="shared" si="45"/>
        <v>1510011</v>
      </c>
      <c r="D973" t="s">
        <v>1120</v>
      </c>
      <c r="E973" t="str">
        <f>"1511611"</f>
        <v>1511611</v>
      </c>
      <c r="F973" t="s">
        <v>328</v>
      </c>
      <c r="G973" t="s">
        <v>329</v>
      </c>
      <c r="H973">
        <v>8</v>
      </c>
      <c r="I973" t="s">
        <v>336</v>
      </c>
      <c r="J973" t="s">
        <v>331</v>
      </c>
      <c r="K973">
        <v>720.49213399999996</v>
      </c>
      <c r="L973">
        <v>1000</v>
      </c>
      <c r="M973">
        <v>72.049212999999995</v>
      </c>
      <c r="N973">
        <v>2</v>
      </c>
      <c r="O973">
        <v>0</v>
      </c>
      <c r="P973">
        <v>63.367800000000003</v>
      </c>
      <c r="Q973">
        <v>42.245199999999997</v>
      </c>
      <c r="R973">
        <v>50</v>
      </c>
      <c r="S973">
        <v>62.959598999999997</v>
      </c>
      <c r="T973" t="s">
        <v>125</v>
      </c>
      <c r="U973">
        <v>41.973066000000003</v>
      </c>
      <c r="V973">
        <v>50</v>
      </c>
      <c r="W973">
        <v>56.473484999999997</v>
      </c>
      <c r="X973">
        <v>37.648989999999998</v>
      </c>
      <c r="Y973">
        <v>50</v>
      </c>
      <c r="Z973" t="s">
        <v>125</v>
      </c>
      <c r="AA973">
        <v>56.268863000000003</v>
      </c>
      <c r="AB973">
        <v>37.512574999999998</v>
      </c>
      <c r="AC973">
        <v>50</v>
      </c>
      <c r="AD973">
        <v>63.933937</v>
      </c>
      <c r="AE973">
        <v>42.622624999999999</v>
      </c>
      <c r="AF973">
        <v>50</v>
      </c>
      <c r="AG973">
        <v>64.095743999999996</v>
      </c>
      <c r="AH973" t="s">
        <v>125</v>
      </c>
      <c r="AI973">
        <v>42.730496000000002</v>
      </c>
      <c r="AJ973">
        <v>50</v>
      </c>
      <c r="AK973" t="s">
        <v>125</v>
      </c>
      <c r="AL973" t="s">
        <v>125</v>
      </c>
      <c r="AM973" t="s">
        <v>125</v>
      </c>
      <c r="AN973">
        <v>0.64954599999999996</v>
      </c>
      <c r="AO973">
        <v>64.954631000000006</v>
      </c>
      <c r="AP973">
        <v>100</v>
      </c>
      <c r="AQ973">
        <v>0.55995899999999998</v>
      </c>
      <c r="AR973">
        <v>55.995939</v>
      </c>
      <c r="AS973">
        <v>100</v>
      </c>
      <c r="AT973">
        <v>0.64698699999999998</v>
      </c>
      <c r="AU973" t="s">
        <v>125</v>
      </c>
      <c r="AV973">
        <v>64.698725999999994</v>
      </c>
      <c r="AW973">
        <v>100</v>
      </c>
      <c r="AX973">
        <v>0.55933299999999997</v>
      </c>
      <c r="AY973" t="s">
        <v>125</v>
      </c>
      <c r="AZ973">
        <v>55.933332</v>
      </c>
      <c r="BA973">
        <v>100</v>
      </c>
      <c r="BB973">
        <v>0.62909700000000002</v>
      </c>
      <c r="BC973">
        <v>31.454829</v>
      </c>
      <c r="BD973">
        <v>50</v>
      </c>
      <c r="BE973">
        <v>0.42290100000000003</v>
      </c>
      <c r="BF973">
        <v>21.145029000000001</v>
      </c>
      <c r="BG973">
        <v>50</v>
      </c>
      <c r="BH973">
        <v>0</v>
      </c>
      <c r="BI973">
        <v>1</v>
      </c>
      <c r="BJ973">
        <v>1</v>
      </c>
      <c r="BK973" t="s">
        <v>125</v>
      </c>
      <c r="BL973">
        <v>1</v>
      </c>
      <c r="BM973">
        <v>1</v>
      </c>
      <c r="BN973" t="s">
        <v>125</v>
      </c>
      <c r="BO973">
        <v>1</v>
      </c>
      <c r="BP973">
        <v>1</v>
      </c>
      <c r="BQ973" t="s">
        <v>125</v>
      </c>
      <c r="BR973">
        <v>7.5117000000000003E-2</v>
      </c>
      <c r="BS973">
        <v>44.976526</v>
      </c>
      <c r="BT973">
        <v>50</v>
      </c>
      <c r="BU973">
        <v>8.0808000000000005E-2</v>
      </c>
      <c r="BV973">
        <v>43.838383999999998</v>
      </c>
      <c r="BW973">
        <v>50</v>
      </c>
      <c r="BX973" t="s">
        <v>125</v>
      </c>
      <c r="BY973" t="s">
        <v>125</v>
      </c>
      <c r="BZ973" t="s">
        <v>125</v>
      </c>
      <c r="CA973" t="s">
        <v>125</v>
      </c>
      <c r="CB973" t="s">
        <v>125</v>
      </c>
      <c r="CC973" t="s">
        <v>125</v>
      </c>
      <c r="CD973">
        <v>0.80392200000000003</v>
      </c>
      <c r="CE973">
        <v>42.761786000000001</v>
      </c>
      <c r="CF973">
        <v>50</v>
      </c>
      <c r="CG973" t="s">
        <v>125</v>
      </c>
      <c r="CH973" t="s">
        <v>125</v>
      </c>
      <c r="CI973" t="s">
        <v>125</v>
      </c>
      <c r="CJ973" t="s">
        <v>125</v>
      </c>
      <c r="CK973" t="s">
        <v>125</v>
      </c>
      <c r="CL973" t="s">
        <v>125</v>
      </c>
      <c r="CM973" t="s">
        <v>125</v>
      </c>
      <c r="CN973" t="s">
        <v>125</v>
      </c>
      <c r="CO973" t="s">
        <v>125</v>
      </c>
      <c r="CP973" t="s">
        <v>125</v>
      </c>
      <c r="CQ973">
        <v>0.77083299999999999</v>
      </c>
      <c r="CR973">
        <v>1.0285709999999999</v>
      </c>
      <c r="CS973">
        <v>50</v>
      </c>
      <c r="CT973">
        <v>50</v>
      </c>
      <c r="CU973" t="s">
        <v>125</v>
      </c>
      <c r="CV973" t="s">
        <v>125</v>
      </c>
      <c r="CW973" t="s">
        <v>125</v>
      </c>
      <c r="CX973" t="s">
        <v>125</v>
      </c>
      <c r="CY973" t="s">
        <v>125</v>
      </c>
      <c r="CZ973" t="s">
        <v>125</v>
      </c>
      <c r="DA973">
        <v>15.314097</v>
      </c>
      <c r="DB973">
        <v>17.400950000000002</v>
      </c>
      <c r="DC973">
        <v>16.332519999999999</v>
      </c>
      <c r="DD973" t="s">
        <v>125</v>
      </c>
      <c r="DE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Q973" t="s">
        <v>126</v>
      </c>
    </row>
    <row r="974" spans="1:121" x14ac:dyDescent="0.15">
      <c r="A974">
        <v>2018</v>
      </c>
      <c r="B974" t="s">
        <v>143</v>
      </c>
      <c r="C974" t="str">
        <f t="shared" si="45"/>
        <v>1510011</v>
      </c>
      <c r="D974" t="s">
        <v>1121</v>
      </c>
      <c r="E974" t="str">
        <f>"1511411"</f>
        <v>1511411</v>
      </c>
      <c r="F974" t="s">
        <v>328</v>
      </c>
      <c r="G974" t="s">
        <v>339</v>
      </c>
      <c r="H974">
        <v>5</v>
      </c>
      <c r="I974" t="s">
        <v>336</v>
      </c>
      <c r="J974" t="s">
        <v>331</v>
      </c>
      <c r="K974">
        <v>698.26223300000004</v>
      </c>
      <c r="L974">
        <v>950</v>
      </c>
      <c r="M974">
        <v>73.501288000000002</v>
      </c>
      <c r="N974">
        <v>2</v>
      </c>
      <c r="O974">
        <v>0</v>
      </c>
      <c r="P974">
        <v>60.672105999999999</v>
      </c>
      <c r="Q974">
        <v>40.448070999999999</v>
      </c>
      <c r="R974">
        <v>50</v>
      </c>
      <c r="S974">
        <v>60.360055000000003</v>
      </c>
      <c r="T974" t="s">
        <v>125</v>
      </c>
      <c r="U974">
        <v>40.240037000000001</v>
      </c>
      <c r="V974">
        <v>50</v>
      </c>
      <c r="W974">
        <v>57.422103999999997</v>
      </c>
      <c r="X974">
        <v>38.281402</v>
      </c>
      <c r="Y974">
        <v>50</v>
      </c>
      <c r="Z974" t="s">
        <v>125</v>
      </c>
      <c r="AA974">
        <v>57.238238000000003</v>
      </c>
      <c r="AB974">
        <v>38.158825</v>
      </c>
      <c r="AC974">
        <v>50</v>
      </c>
      <c r="AD974">
        <v>62.027650000000001</v>
      </c>
      <c r="AE974">
        <v>41.351767000000002</v>
      </c>
      <c r="AF974">
        <v>50</v>
      </c>
      <c r="AG974">
        <v>61.789887</v>
      </c>
      <c r="AH974" t="s">
        <v>125</v>
      </c>
      <c r="AI974">
        <v>41.193258</v>
      </c>
      <c r="AJ974">
        <v>50</v>
      </c>
      <c r="AK974" t="s">
        <v>125</v>
      </c>
      <c r="AL974" t="s">
        <v>125</v>
      </c>
      <c r="AM974" t="s">
        <v>125</v>
      </c>
      <c r="AN974">
        <v>0.55893499999999996</v>
      </c>
      <c r="AO974">
        <v>55.893481999999999</v>
      </c>
      <c r="AP974">
        <v>100</v>
      </c>
      <c r="AQ974">
        <v>0.670041</v>
      </c>
      <c r="AR974">
        <v>67.004099999999994</v>
      </c>
      <c r="AS974">
        <v>100</v>
      </c>
      <c r="AT974">
        <v>0.55535699999999999</v>
      </c>
      <c r="AU974" t="s">
        <v>125</v>
      </c>
      <c r="AV974">
        <v>55.535727000000001</v>
      </c>
      <c r="AW974">
        <v>100</v>
      </c>
      <c r="AX974">
        <v>0.663879</v>
      </c>
      <c r="AY974" t="s">
        <v>125</v>
      </c>
      <c r="AZ974">
        <v>66.387889000000001</v>
      </c>
      <c r="BA974">
        <v>100</v>
      </c>
      <c r="BB974">
        <v>0.96974000000000005</v>
      </c>
      <c r="BC974">
        <v>48.486998</v>
      </c>
      <c r="BD974">
        <v>50</v>
      </c>
      <c r="BE974">
        <v>0.69478600000000001</v>
      </c>
      <c r="BF974">
        <v>34.739297999999998</v>
      </c>
      <c r="BG974">
        <v>50</v>
      </c>
      <c r="BH974">
        <v>0</v>
      </c>
      <c r="BI974">
        <v>1</v>
      </c>
      <c r="BJ974">
        <v>1</v>
      </c>
      <c r="BK974" t="s">
        <v>125</v>
      </c>
      <c r="BL974">
        <v>1</v>
      </c>
      <c r="BM974">
        <v>1</v>
      </c>
      <c r="BN974" t="s">
        <v>125</v>
      </c>
      <c r="BO974">
        <v>1</v>
      </c>
      <c r="BP974">
        <v>1</v>
      </c>
      <c r="BQ974" t="s">
        <v>125</v>
      </c>
      <c r="BR974">
        <v>9.6000000000000002E-2</v>
      </c>
      <c r="BS974">
        <v>40.799999999999997</v>
      </c>
      <c r="BT974">
        <v>50</v>
      </c>
      <c r="BU974">
        <v>0.10129299999999999</v>
      </c>
      <c r="BV974">
        <v>39.741379000000002</v>
      </c>
      <c r="BW974">
        <v>50</v>
      </c>
      <c r="BX974" t="s">
        <v>125</v>
      </c>
      <c r="BY974" t="s">
        <v>125</v>
      </c>
      <c r="BZ974" t="s">
        <v>125</v>
      </c>
      <c r="CA974" t="s">
        <v>125</v>
      </c>
      <c r="CB974" t="s">
        <v>125</v>
      </c>
      <c r="CC974" t="s">
        <v>125</v>
      </c>
      <c r="CD974" t="s">
        <v>125</v>
      </c>
      <c r="CE974" t="s">
        <v>125</v>
      </c>
      <c r="CF974" t="s">
        <v>125</v>
      </c>
      <c r="CG974" t="s">
        <v>125</v>
      </c>
      <c r="CH974" t="s">
        <v>125</v>
      </c>
      <c r="CI974" t="s">
        <v>125</v>
      </c>
      <c r="CJ974" t="s">
        <v>125</v>
      </c>
      <c r="CK974" t="s">
        <v>125</v>
      </c>
      <c r="CL974" t="s">
        <v>125</v>
      </c>
      <c r="CM974" t="s">
        <v>125</v>
      </c>
      <c r="CN974" t="s">
        <v>125</v>
      </c>
      <c r="CO974" t="s">
        <v>125</v>
      </c>
      <c r="CP974" t="s">
        <v>125</v>
      </c>
      <c r="CQ974">
        <v>0.82352899999999996</v>
      </c>
      <c r="CR974">
        <v>1.0625</v>
      </c>
      <c r="CS974">
        <v>50</v>
      </c>
      <c r="CT974">
        <v>50</v>
      </c>
      <c r="CU974" t="s">
        <v>125</v>
      </c>
      <c r="CV974" t="s">
        <v>125</v>
      </c>
      <c r="CW974" t="s">
        <v>125</v>
      </c>
      <c r="CX974" t="s">
        <v>125</v>
      </c>
      <c r="CY974" t="s">
        <v>125</v>
      </c>
      <c r="CZ974" t="s">
        <v>125</v>
      </c>
      <c r="DA974">
        <v>15.314097</v>
      </c>
      <c r="DB974">
        <v>17.400950000000002</v>
      </c>
      <c r="DC974">
        <v>16.332519999999999</v>
      </c>
      <c r="DD974" t="s">
        <v>125</v>
      </c>
      <c r="DE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Q974" t="s">
        <v>126</v>
      </c>
    </row>
    <row r="975" spans="1:121" x14ac:dyDescent="0.15">
      <c r="A975">
        <v>2018</v>
      </c>
      <c r="B975" t="s">
        <v>143</v>
      </c>
      <c r="C975" t="str">
        <f t="shared" si="45"/>
        <v>1510011</v>
      </c>
      <c r="D975" t="s">
        <v>1122</v>
      </c>
      <c r="E975" t="str">
        <f>"1512611"</f>
        <v>1512611</v>
      </c>
      <c r="F975" t="s">
        <v>328</v>
      </c>
      <c r="G975" t="s">
        <v>329</v>
      </c>
      <c r="H975">
        <v>8</v>
      </c>
      <c r="I975" t="s">
        <v>336</v>
      </c>
      <c r="J975" t="s">
        <v>331</v>
      </c>
      <c r="K975">
        <v>592.088435</v>
      </c>
      <c r="L975">
        <v>1000</v>
      </c>
      <c r="M975">
        <v>59.208843000000002</v>
      </c>
      <c r="N975">
        <v>3</v>
      </c>
      <c r="O975">
        <v>0</v>
      </c>
      <c r="P975">
        <v>51.860827</v>
      </c>
      <c r="Q975">
        <v>34.573884999999997</v>
      </c>
      <c r="R975">
        <v>50</v>
      </c>
      <c r="S975">
        <v>51.022615000000002</v>
      </c>
      <c r="T975">
        <v>58.925750999999998</v>
      </c>
      <c r="U975">
        <v>34.015076999999998</v>
      </c>
      <c r="V975">
        <v>50</v>
      </c>
      <c r="W975">
        <v>47.572634999999998</v>
      </c>
      <c r="X975">
        <v>31.71509</v>
      </c>
      <c r="Y975">
        <v>50</v>
      </c>
      <c r="Z975">
        <v>55.901487000000003</v>
      </c>
      <c r="AA975">
        <v>46.584466999999997</v>
      </c>
      <c r="AB975">
        <v>31.056311000000001</v>
      </c>
      <c r="AC975">
        <v>50</v>
      </c>
      <c r="AD975">
        <v>49.464768999999997</v>
      </c>
      <c r="AE975">
        <v>32.976512999999997</v>
      </c>
      <c r="AF975">
        <v>50</v>
      </c>
      <c r="AG975">
        <v>49.000684999999997</v>
      </c>
      <c r="AH975" t="s">
        <v>125</v>
      </c>
      <c r="AI975">
        <v>32.667122999999997</v>
      </c>
      <c r="AJ975">
        <v>50</v>
      </c>
      <c r="AK975">
        <v>7.9</v>
      </c>
      <c r="AL975">
        <v>9.31</v>
      </c>
      <c r="AM975" t="s">
        <v>125</v>
      </c>
      <c r="AN975">
        <v>0.45885399999999998</v>
      </c>
      <c r="AO975">
        <v>45.885420000000003</v>
      </c>
      <c r="AP975">
        <v>100</v>
      </c>
      <c r="AQ975">
        <v>0.564415</v>
      </c>
      <c r="AR975">
        <v>56.441451999999998</v>
      </c>
      <c r="AS975">
        <v>100</v>
      </c>
      <c r="AT975">
        <v>0.44350299999999998</v>
      </c>
      <c r="AU975">
        <v>0.58566499999999999</v>
      </c>
      <c r="AV975">
        <v>44.350335999999999</v>
      </c>
      <c r="AW975">
        <v>100</v>
      </c>
      <c r="AX975">
        <v>0.55421200000000004</v>
      </c>
      <c r="AY975">
        <v>0.64869299999999996</v>
      </c>
      <c r="AZ975">
        <v>55.421241999999999</v>
      </c>
      <c r="BA975">
        <v>100</v>
      </c>
      <c r="BB975">
        <v>0.46465800000000002</v>
      </c>
      <c r="BC975">
        <v>23.232892</v>
      </c>
      <c r="BD975">
        <v>50</v>
      </c>
      <c r="BE975">
        <v>0.43506600000000001</v>
      </c>
      <c r="BF975">
        <v>21.753292999999999</v>
      </c>
      <c r="BG975">
        <v>50</v>
      </c>
      <c r="BH975">
        <v>0</v>
      </c>
      <c r="BI975">
        <v>0.99657499999999999</v>
      </c>
      <c r="BJ975">
        <v>0.996139</v>
      </c>
      <c r="BK975">
        <v>1</v>
      </c>
      <c r="BL975">
        <v>0.99657499999999999</v>
      </c>
      <c r="BM975">
        <v>0.996139</v>
      </c>
      <c r="BN975">
        <v>1</v>
      </c>
      <c r="BO975">
        <v>1</v>
      </c>
      <c r="BP975">
        <v>1</v>
      </c>
      <c r="BQ975" t="s">
        <v>125</v>
      </c>
      <c r="BR975">
        <v>0.11856800000000001</v>
      </c>
      <c r="BS975">
        <v>36.286352999999998</v>
      </c>
      <c r="BT975">
        <v>50</v>
      </c>
      <c r="BU975">
        <v>0.12911400000000001</v>
      </c>
      <c r="BV975">
        <v>34.177214999999997</v>
      </c>
      <c r="BW975">
        <v>50</v>
      </c>
      <c r="BX975" t="s">
        <v>125</v>
      </c>
      <c r="BY975" t="s">
        <v>125</v>
      </c>
      <c r="BZ975" t="s">
        <v>125</v>
      </c>
      <c r="CA975" t="s">
        <v>125</v>
      </c>
      <c r="CB975" t="s">
        <v>125</v>
      </c>
      <c r="CC975" t="s">
        <v>125</v>
      </c>
      <c r="CD975">
        <v>0.95744700000000005</v>
      </c>
      <c r="CE975">
        <v>50</v>
      </c>
      <c r="CF975">
        <v>50</v>
      </c>
      <c r="CG975" t="s">
        <v>125</v>
      </c>
      <c r="CH975" t="s">
        <v>125</v>
      </c>
      <c r="CI975" t="s">
        <v>125</v>
      </c>
      <c r="CJ975" t="s">
        <v>125</v>
      </c>
      <c r="CK975" t="s">
        <v>125</v>
      </c>
      <c r="CL975" t="s">
        <v>125</v>
      </c>
      <c r="CM975" t="s">
        <v>125</v>
      </c>
      <c r="CN975" t="s">
        <v>125</v>
      </c>
      <c r="CO975" t="s">
        <v>125</v>
      </c>
      <c r="CP975" t="s">
        <v>125</v>
      </c>
      <c r="CQ975">
        <v>0.41304299999999999</v>
      </c>
      <c r="CR975">
        <v>1.022222</v>
      </c>
      <c r="CS975">
        <v>27.536231999999998</v>
      </c>
      <c r="CT975">
        <v>50</v>
      </c>
      <c r="CU975" t="s">
        <v>125</v>
      </c>
      <c r="CV975" t="s">
        <v>125</v>
      </c>
      <c r="CW975" t="s">
        <v>125</v>
      </c>
      <c r="CX975" t="s">
        <v>125</v>
      </c>
      <c r="CY975" t="s">
        <v>125</v>
      </c>
      <c r="CZ975" t="s">
        <v>125</v>
      </c>
      <c r="DA975">
        <v>15.314097</v>
      </c>
      <c r="DB975">
        <v>17.400950000000002</v>
      </c>
      <c r="DC975">
        <v>16.332519999999999</v>
      </c>
      <c r="DD975" t="s">
        <v>125</v>
      </c>
      <c r="DE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Q975" t="s">
        <v>126</v>
      </c>
    </row>
    <row r="976" spans="1:121" x14ac:dyDescent="0.15">
      <c r="A976">
        <v>2018</v>
      </c>
      <c r="B976" t="s">
        <v>143</v>
      </c>
      <c r="C976" t="str">
        <f t="shared" si="45"/>
        <v>1510011</v>
      </c>
      <c r="D976" t="s">
        <v>1123</v>
      </c>
      <c r="E976" t="str">
        <f>"1510711"</f>
        <v>1510711</v>
      </c>
      <c r="F976" t="s">
        <v>328</v>
      </c>
      <c r="G976" t="s">
        <v>329</v>
      </c>
      <c r="H976">
        <v>5</v>
      </c>
      <c r="I976" t="s">
        <v>336</v>
      </c>
      <c r="J976" t="s">
        <v>331</v>
      </c>
      <c r="K976">
        <v>712.00580100000002</v>
      </c>
      <c r="L976">
        <v>950</v>
      </c>
      <c r="M976">
        <v>74.947979000000004</v>
      </c>
      <c r="N976">
        <v>2</v>
      </c>
      <c r="O976">
        <v>0</v>
      </c>
      <c r="P976">
        <v>63.895983999999999</v>
      </c>
      <c r="Q976">
        <v>42.597321999999998</v>
      </c>
      <c r="R976">
        <v>50</v>
      </c>
      <c r="S976">
        <v>63.206511999999996</v>
      </c>
      <c r="T976">
        <v>71.783537999999993</v>
      </c>
      <c r="U976">
        <v>42.137675000000002</v>
      </c>
      <c r="V976">
        <v>50</v>
      </c>
      <c r="W976">
        <v>60.230752000000003</v>
      </c>
      <c r="X976">
        <v>40.153835000000001</v>
      </c>
      <c r="Y976">
        <v>50</v>
      </c>
      <c r="Z976">
        <v>71.780146999999999</v>
      </c>
      <c r="AA976">
        <v>59.247824999999999</v>
      </c>
      <c r="AB976">
        <v>39.498550000000002</v>
      </c>
      <c r="AC976">
        <v>50</v>
      </c>
      <c r="AD976">
        <v>58.962366000000003</v>
      </c>
      <c r="AE976">
        <v>39.308244000000002</v>
      </c>
      <c r="AF976">
        <v>50</v>
      </c>
      <c r="AG976">
        <v>58.742268000000003</v>
      </c>
      <c r="AH976" t="s">
        <v>125</v>
      </c>
      <c r="AI976">
        <v>39.161512000000002</v>
      </c>
      <c r="AJ976">
        <v>50</v>
      </c>
      <c r="AK976">
        <v>8.57</v>
      </c>
      <c r="AL976">
        <v>12.53</v>
      </c>
      <c r="AM976" t="s">
        <v>125</v>
      </c>
      <c r="AN976">
        <v>0.71190299999999995</v>
      </c>
      <c r="AO976">
        <v>71.190291999999999</v>
      </c>
      <c r="AP976">
        <v>100</v>
      </c>
      <c r="AQ976">
        <v>0.71613800000000005</v>
      </c>
      <c r="AR976">
        <v>71.613833999999997</v>
      </c>
      <c r="AS976">
        <v>100</v>
      </c>
      <c r="AT976">
        <v>0.71258200000000005</v>
      </c>
      <c r="AU976" t="s">
        <v>125</v>
      </c>
      <c r="AV976">
        <v>71.258222000000004</v>
      </c>
      <c r="AW976">
        <v>100</v>
      </c>
      <c r="AX976">
        <v>0.71351500000000001</v>
      </c>
      <c r="AY976" t="s">
        <v>125</v>
      </c>
      <c r="AZ976">
        <v>71.351547999999994</v>
      </c>
      <c r="BA976">
        <v>100</v>
      </c>
      <c r="BB976">
        <v>0.62159399999999998</v>
      </c>
      <c r="BC976">
        <v>31.079716999999999</v>
      </c>
      <c r="BD976">
        <v>50</v>
      </c>
      <c r="BE976">
        <v>0.46477600000000002</v>
      </c>
      <c r="BF976">
        <v>23.238811999999999</v>
      </c>
      <c r="BG976">
        <v>50</v>
      </c>
      <c r="BH976">
        <v>0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 t="s">
        <v>125</v>
      </c>
      <c r="BR976">
        <v>8.0597000000000002E-2</v>
      </c>
      <c r="BS976">
        <v>43.880597000000002</v>
      </c>
      <c r="BT976">
        <v>50</v>
      </c>
      <c r="BU976">
        <v>8.9375999999999997E-2</v>
      </c>
      <c r="BV976">
        <v>42.124789</v>
      </c>
      <c r="BW976">
        <v>50</v>
      </c>
      <c r="BX976" t="s">
        <v>125</v>
      </c>
      <c r="BY976" t="s">
        <v>125</v>
      </c>
      <c r="BZ976" t="s">
        <v>125</v>
      </c>
      <c r="CA976" t="s">
        <v>125</v>
      </c>
      <c r="CB976" t="s">
        <v>125</v>
      </c>
      <c r="CC976" t="s">
        <v>125</v>
      </c>
      <c r="CD976" t="s">
        <v>125</v>
      </c>
      <c r="CE976" t="s">
        <v>125</v>
      </c>
      <c r="CF976" t="s">
        <v>125</v>
      </c>
      <c r="CG976" t="s">
        <v>125</v>
      </c>
      <c r="CH976" t="s">
        <v>125</v>
      </c>
      <c r="CI976" t="s">
        <v>125</v>
      </c>
      <c r="CJ976" t="s">
        <v>125</v>
      </c>
      <c r="CK976" t="s">
        <v>125</v>
      </c>
      <c r="CL976" t="s">
        <v>125</v>
      </c>
      <c r="CM976" t="s">
        <v>125</v>
      </c>
      <c r="CN976" t="s">
        <v>125</v>
      </c>
      <c r="CO976" t="s">
        <v>125</v>
      </c>
      <c r="CP976" t="s">
        <v>125</v>
      </c>
      <c r="CQ976">
        <v>0.65116300000000005</v>
      </c>
      <c r="CR976">
        <v>1.032</v>
      </c>
      <c r="CS976">
        <v>43.410853000000003</v>
      </c>
      <c r="CT976">
        <v>50</v>
      </c>
      <c r="CU976" t="s">
        <v>125</v>
      </c>
      <c r="CV976" t="s">
        <v>125</v>
      </c>
      <c r="CW976" t="s">
        <v>125</v>
      </c>
      <c r="CX976" t="s">
        <v>125</v>
      </c>
      <c r="CY976" t="s">
        <v>125</v>
      </c>
      <c r="CZ976" t="s">
        <v>125</v>
      </c>
      <c r="DA976">
        <v>15.314097</v>
      </c>
      <c r="DB976">
        <v>17.400950000000002</v>
      </c>
      <c r="DC976">
        <v>16.332519999999999</v>
      </c>
      <c r="DD976" t="s">
        <v>125</v>
      </c>
      <c r="DE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Q976" t="s">
        <v>126</v>
      </c>
    </row>
    <row r="977" spans="1:121" x14ac:dyDescent="0.15">
      <c r="A977">
        <v>2018</v>
      </c>
      <c r="B977" t="s">
        <v>143</v>
      </c>
      <c r="C977" t="str">
        <f t="shared" si="45"/>
        <v>1510011</v>
      </c>
      <c r="D977" t="s">
        <v>1124</v>
      </c>
      <c r="E977" t="str">
        <f>"1511311"</f>
        <v>1511311</v>
      </c>
      <c r="F977" t="s">
        <v>328</v>
      </c>
      <c r="G977" t="s">
        <v>339</v>
      </c>
      <c r="H977">
        <v>5</v>
      </c>
      <c r="I977" t="s">
        <v>336</v>
      </c>
      <c r="J977" t="s">
        <v>331</v>
      </c>
      <c r="K977">
        <v>634.972398</v>
      </c>
      <c r="L977">
        <v>950</v>
      </c>
      <c r="M977">
        <v>66.839200000000005</v>
      </c>
      <c r="N977">
        <v>3</v>
      </c>
      <c r="O977">
        <v>0</v>
      </c>
      <c r="P977">
        <v>54.897315999999996</v>
      </c>
      <c r="Q977">
        <v>36.598210000000002</v>
      </c>
      <c r="R977">
        <v>50</v>
      </c>
      <c r="S977">
        <v>54.361065000000004</v>
      </c>
      <c r="T977" t="s">
        <v>125</v>
      </c>
      <c r="U977">
        <v>36.24071</v>
      </c>
      <c r="V977">
        <v>50</v>
      </c>
      <c r="W977">
        <v>48.378610999999999</v>
      </c>
      <c r="X977">
        <v>32.252406999999998</v>
      </c>
      <c r="Y977">
        <v>50</v>
      </c>
      <c r="Z977" t="s">
        <v>125</v>
      </c>
      <c r="AA977">
        <v>47.871912999999999</v>
      </c>
      <c r="AB977">
        <v>31.914608999999999</v>
      </c>
      <c r="AC977">
        <v>50</v>
      </c>
      <c r="AD977">
        <v>50.279186000000003</v>
      </c>
      <c r="AE977">
        <v>33.519457000000003</v>
      </c>
      <c r="AF977">
        <v>50</v>
      </c>
      <c r="AG977">
        <v>48.815136000000003</v>
      </c>
      <c r="AH977" t="s">
        <v>125</v>
      </c>
      <c r="AI977">
        <v>32.543424000000002</v>
      </c>
      <c r="AJ977">
        <v>50</v>
      </c>
      <c r="AK977" t="s">
        <v>125</v>
      </c>
      <c r="AL977" t="s">
        <v>125</v>
      </c>
      <c r="AM977" t="s">
        <v>125</v>
      </c>
      <c r="AN977">
        <v>0.522254</v>
      </c>
      <c r="AO977">
        <v>52.225445999999998</v>
      </c>
      <c r="AP977">
        <v>100</v>
      </c>
      <c r="AQ977">
        <v>0.64455300000000004</v>
      </c>
      <c r="AR977">
        <v>64.455344999999994</v>
      </c>
      <c r="AS977">
        <v>100</v>
      </c>
      <c r="AT977">
        <v>0.52128600000000003</v>
      </c>
      <c r="AU977" t="s">
        <v>125</v>
      </c>
      <c r="AV977">
        <v>52.128577</v>
      </c>
      <c r="AW977">
        <v>100</v>
      </c>
      <c r="AX977">
        <v>0.63759600000000005</v>
      </c>
      <c r="AY977" t="s">
        <v>125</v>
      </c>
      <c r="AZ977">
        <v>63.759630000000001</v>
      </c>
      <c r="BA977">
        <v>100</v>
      </c>
      <c r="BB977">
        <v>0.69728500000000004</v>
      </c>
      <c r="BC977">
        <v>34.864232000000001</v>
      </c>
      <c r="BD977">
        <v>50</v>
      </c>
      <c r="BE977">
        <v>0.61560599999999999</v>
      </c>
      <c r="BF977">
        <v>30.780275</v>
      </c>
      <c r="BG977">
        <v>50</v>
      </c>
      <c r="BH977">
        <v>0</v>
      </c>
      <c r="BI977">
        <v>1</v>
      </c>
      <c r="BJ977">
        <v>1</v>
      </c>
      <c r="BK977" t="s">
        <v>125</v>
      </c>
      <c r="BL977">
        <v>1</v>
      </c>
      <c r="BM977">
        <v>1</v>
      </c>
      <c r="BN977" t="s">
        <v>125</v>
      </c>
      <c r="BO977">
        <v>1</v>
      </c>
      <c r="BP977">
        <v>1</v>
      </c>
      <c r="BQ977" t="s">
        <v>125</v>
      </c>
      <c r="BR977">
        <v>8.7086999999999998E-2</v>
      </c>
      <c r="BS977">
        <v>42.582583</v>
      </c>
      <c r="BT977">
        <v>50</v>
      </c>
      <c r="BU977">
        <v>9.4463000000000005E-2</v>
      </c>
      <c r="BV977">
        <v>41.107492000000001</v>
      </c>
      <c r="BW977">
        <v>50</v>
      </c>
      <c r="BX977" t="s">
        <v>125</v>
      </c>
      <c r="BY977" t="s">
        <v>125</v>
      </c>
      <c r="BZ977" t="s">
        <v>125</v>
      </c>
      <c r="CA977" t="s">
        <v>125</v>
      </c>
      <c r="CB977" t="s">
        <v>125</v>
      </c>
      <c r="CC977" t="s">
        <v>125</v>
      </c>
      <c r="CD977" t="s">
        <v>125</v>
      </c>
      <c r="CE977" t="s">
        <v>125</v>
      </c>
      <c r="CF977" t="s">
        <v>125</v>
      </c>
      <c r="CG977" t="s">
        <v>125</v>
      </c>
      <c r="CH977" t="s">
        <v>125</v>
      </c>
      <c r="CI977" t="s">
        <v>125</v>
      </c>
      <c r="CJ977" t="s">
        <v>125</v>
      </c>
      <c r="CK977" t="s">
        <v>125</v>
      </c>
      <c r="CL977" t="s">
        <v>125</v>
      </c>
      <c r="CM977" t="s">
        <v>125</v>
      </c>
      <c r="CN977" t="s">
        <v>125</v>
      </c>
      <c r="CO977" t="s">
        <v>125</v>
      </c>
      <c r="CP977" t="s">
        <v>125</v>
      </c>
      <c r="CQ977">
        <v>0.76744199999999996</v>
      </c>
      <c r="CR977">
        <v>1.0238100000000001</v>
      </c>
      <c r="CS977">
        <v>50</v>
      </c>
      <c r="CT977">
        <v>50</v>
      </c>
      <c r="CU977" t="s">
        <v>125</v>
      </c>
      <c r="CV977" t="s">
        <v>125</v>
      </c>
      <c r="CW977" t="s">
        <v>125</v>
      </c>
      <c r="CX977" t="s">
        <v>125</v>
      </c>
      <c r="CY977" t="s">
        <v>125</v>
      </c>
      <c r="CZ977" t="s">
        <v>125</v>
      </c>
      <c r="DA977">
        <v>15.314097</v>
      </c>
      <c r="DB977">
        <v>17.400950000000002</v>
      </c>
      <c r="DC977">
        <v>16.332519999999999</v>
      </c>
      <c r="DD977" t="s">
        <v>125</v>
      </c>
      <c r="DE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Q977" t="s">
        <v>126</v>
      </c>
    </row>
    <row r="978" spans="1:121" x14ac:dyDescent="0.15">
      <c r="A978">
        <v>2018</v>
      </c>
      <c r="B978" t="s">
        <v>143</v>
      </c>
      <c r="C978" t="str">
        <f t="shared" si="45"/>
        <v>1510011</v>
      </c>
      <c r="D978" t="s">
        <v>1125</v>
      </c>
      <c r="E978" t="str">
        <f>"1516411"</f>
        <v>1516411</v>
      </c>
      <c r="F978" t="s">
        <v>328</v>
      </c>
      <c r="G978">
        <v>9</v>
      </c>
      <c r="H978">
        <v>12</v>
      </c>
      <c r="I978" t="s">
        <v>336</v>
      </c>
      <c r="J978" t="s">
        <v>331</v>
      </c>
      <c r="K978">
        <v>855.88757199999998</v>
      </c>
      <c r="L978">
        <v>1550</v>
      </c>
      <c r="M978">
        <v>55.218553</v>
      </c>
      <c r="N978">
        <v>4</v>
      </c>
      <c r="O978">
        <v>0</v>
      </c>
      <c r="P978">
        <v>42.430869000000001</v>
      </c>
      <c r="Q978">
        <v>84.861738000000003</v>
      </c>
      <c r="R978">
        <v>150</v>
      </c>
      <c r="S978">
        <v>41.448481000000001</v>
      </c>
      <c r="T978">
        <v>49.614583000000003</v>
      </c>
      <c r="U978">
        <v>82.896961000000005</v>
      </c>
      <c r="V978">
        <v>150</v>
      </c>
      <c r="W978">
        <v>37.087093000000003</v>
      </c>
      <c r="X978">
        <v>74.174184999999994</v>
      </c>
      <c r="Y978">
        <v>150</v>
      </c>
      <c r="Z978">
        <v>43.369791999999997</v>
      </c>
      <c r="AA978">
        <v>36.227919999999997</v>
      </c>
      <c r="AB978">
        <v>72.455839999999995</v>
      </c>
      <c r="AC978">
        <v>150</v>
      </c>
      <c r="AD978">
        <v>44.765270999999998</v>
      </c>
      <c r="AE978">
        <v>59.687029000000003</v>
      </c>
      <c r="AF978">
        <v>100</v>
      </c>
      <c r="AG978">
        <v>44.265529000000001</v>
      </c>
      <c r="AH978">
        <v>48.384614999999997</v>
      </c>
      <c r="AI978">
        <v>59.020705999999997</v>
      </c>
      <c r="AJ978">
        <v>100</v>
      </c>
      <c r="AK978">
        <v>8.16</v>
      </c>
      <c r="AL978">
        <v>7.14</v>
      </c>
      <c r="AM978">
        <v>4.1100000000000003</v>
      </c>
      <c r="AN978" t="s">
        <v>125</v>
      </c>
      <c r="AO978" t="s">
        <v>125</v>
      </c>
      <c r="AP978" t="s">
        <v>125</v>
      </c>
      <c r="AQ978" t="s">
        <v>125</v>
      </c>
      <c r="AR978" t="s">
        <v>125</v>
      </c>
      <c r="AS978" t="s">
        <v>125</v>
      </c>
      <c r="AT978" t="s">
        <v>125</v>
      </c>
      <c r="AU978" t="s">
        <v>125</v>
      </c>
      <c r="AV978" t="s">
        <v>125</v>
      </c>
      <c r="AW978" t="s">
        <v>125</v>
      </c>
      <c r="AX978" t="s">
        <v>125</v>
      </c>
      <c r="AY978" t="s">
        <v>125</v>
      </c>
      <c r="AZ978" t="s">
        <v>125</v>
      </c>
      <c r="BA978" t="s">
        <v>125</v>
      </c>
      <c r="BB978">
        <v>0.30154399999999998</v>
      </c>
      <c r="BC978">
        <v>15.077201000000001</v>
      </c>
      <c r="BD978">
        <v>50</v>
      </c>
      <c r="BE978">
        <v>0.36302699999999999</v>
      </c>
      <c r="BF978">
        <v>18.151329</v>
      </c>
      <c r="BG978">
        <v>50</v>
      </c>
      <c r="BH978">
        <v>1</v>
      </c>
      <c r="BI978">
        <v>0.94684400000000002</v>
      </c>
      <c r="BJ978">
        <v>0.94656499999999999</v>
      </c>
      <c r="BK978">
        <v>0.94871799999999995</v>
      </c>
      <c r="BL978">
        <v>0.94684400000000002</v>
      </c>
      <c r="BM978">
        <v>0.94656499999999999</v>
      </c>
      <c r="BN978">
        <v>0.94871799999999995</v>
      </c>
      <c r="BO978">
        <v>0.96026500000000004</v>
      </c>
      <c r="BP978">
        <v>0.96183200000000002</v>
      </c>
      <c r="BQ978">
        <v>0.95</v>
      </c>
      <c r="BR978">
        <v>0.26929700000000001</v>
      </c>
      <c r="BS978">
        <v>6.1406520000000002</v>
      </c>
      <c r="BT978">
        <v>50</v>
      </c>
      <c r="BU978">
        <v>0.28292699999999998</v>
      </c>
      <c r="BV978">
        <v>3.4146339999999999</v>
      </c>
      <c r="BW978">
        <v>50</v>
      </c>
      <c r="BX978">
        <v>0.59233400000000003</v>
      </c>
      <c r="BY978">
        <v>39.488965999999998</v>
      </c>
      <c r="BZ978">
        <v>50</v>
      </c>
      <c r="CA978">
        <v>0.130662</v>
      </c>
      <c r="CB978">
        <v>8.710801</v>
      </c>
      <c r="CC978">
        <v>50</v>
      </c>
      <c r="CD978">
        <v>0.79872200000000004</v>
      </c>
      <c r="CE978">
        <v>42.485214999999997</v>
      </c>
      <c r="CF978">
        <v>50</v>
      </c>
      <c r="CG978">
        <v>0.82267400000000002</v>
      </c>
      <c r="CH978">
        <v>87.518555000000006</v>
      </c>
      <c r="CI978">
        <v>100</v>
      </c>
      <c r="CJ978">
        <v>1</v>
      </c>
      <c r="CK978">
        <v>0.75483900000000004</v>
      </c>
      <c r="CL978">
        <v>80.301990000000004</v>
      </c>
      <c r="CM978">
        <v>100</v>
      </c>
      <c r="CN978">
        <v>0.62626300000000001</v>
      </c>
      <c r="CO978">
        <v>83.501683999999997</v>
      </c>
      <c r="CP978">
        <v>100</v>
      </c>
      <c r="CQ978">
        <v>0.19693099999999999</v>
      </c>
      <c r="CR978">
        <v>1.3964289999999999</v>
      </c>
      <c r="CS978">
        <v>13.128729999999999</v>
      </c>
      <c r="CT978">
        <v>50</v>
      </c>
      <c r="CU978">
        <v>0.298456</v>
      </c>
      <c r="CV978">
        <v>24.871355000000001</v>
      </c>
      <c r="CW978">
        <v>50</v>
      </c>
      <c r="CX978">
        <v>0.75483900000000004</v>
      </c>
      <c r="CY978">
        <v>0.88679200000000002</v>
      </c>
      <c r="CZ978">
        <v>0.13195399999999999</v>
      </c>
      <c r="DA978">
        <v>15.314097</v>
      </c>
      <c r="DB978">
        <v>17.400950000000002</v>
      </c>
      <c r="DC978">
        <v>16.332519999999999</v>
      </c>
      <c r="DD978">
        <v>7.9891730000000001</v>
      </c>
      <c r="DE978">
        <v>1</v>
      </c>
      <c r="DF978" t="s">
        <v>385</v>
      </c>
      <c r="DG978" t="s">
        <v>386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Q978" t="s">
        <v>126</v>
      </c>
    </row>
    <row r="979" spans="1:121" x14ac:dyDescent="0.15">
      <c r="A979">
        <v>2018</v>
      </c>
      <c r="B979" t="s">
        <v>143</v>
      </c>
      <c r="C979" t="str">
        <f t="shared" si="45"/>
        <v>1510011</v>
      </c>
      <c r="D979" t="s">
        <v>1126</v>
      </c>
      <c r="E979" t="str">
        <f>"1513111"</f>
        <v>1513111</v>
      </c>
      <c r="F979" t="s">
        <v>328</v>
      </c>
      <c r="G979" t="s">
        <v>329</v>
      </c>
      <c r="H979">
        <v>5</v>
      </c>
      <c r="I979" t="s">
        <v>336</v>
      </c>
      <c r="J979" t="s">
        <v>331</v>
      </c>
      <c r="K979">
        <v>737.26988900000003</v>
      </c>
      <c r="L979">
        <v>950</v>
      </c>
      <c r="M979">
        <v>77.607356999999993</v>
      </c>
      <c r="N979">
        <v>2</v>
      </c>
      <c r="O979">
        <v>0</v>
      </c>
      <c r="P979">
        <v>72.593073000000004</v>
      </c>
      <c r="Q979">
        <v>48.395381999999998</v>
      </c>
      <c r="R979">
        <v>50</v>
      </c>
      <c r="S979">
        <v>69.111524000000003</v>
      </c>
      <c r="T979">
        <v>75</v>
      </c>
      <c r="U979">
        <v>46.074350000000003</v>
      </c>
      <c r="V979">
        <v>50</v>
      </c>
      <c r="W979">
        <v>66.603617</v>
      </c>
      <c r="X979">
        <v>44.402411000000001</v>
      </c>
      <c r="Y979">
        <v>50</v>
      </c>
      <c r="Z979">
        <v>74.165049999999994</v>
      </c>
      <c r="AA979">
        <v>63.363002999999999</v>
      </c>
      <c r="AB979">
        <v>42.242001999999999</v>
      </c>
      <c r="AC979">
        <v>50</v>
      </c>
      <c r="AD979">
        <v>65.761669999999995</v>
      </c>
      <c r="AE979">
        <v>43.841113</v>
      </c>
      <c r="AF979">
        <v>50</v>
      </c>
      <c r="AG979">
        <v>62.788172000000003</v>
      </c>
      <c r="AH979">
        <v>72.898065000000003</v>
      </c>
      <c r="AI979">
        <v>41.858781</v>
      </c>
      <c r="AJ979">
        <v>50</v>
      </c>
      <c r="AK979">
        <v>5.88</v>
      </c>
      <c r="AL979">
        <v>10.8</v>
      </c>
      <c r="AM979">
        <v>10.1</v>
      </c>
      <c r="AN979">
        <v>0.63780000000000003</v>
      </c>
      <c r="AO979">
        <v>63.779957000000003</v>
      </c>
      <c r="AP979">
        <v>100</v>
      </c>
      <c r="AQ979">
        <v>0.70865400000000001</v>
      </c>
      <c r="AR979">
        <v>70.865384000000006</v>
      </c>
      <c r="AS979">
        <v>100</v>
      </c>
      <c r="AT979">
        <v>0.59197100000000002</v>
      </c>
      <c r="AU979">
        <v>0.74778800000000001</v>
      </c>
      <c r="AV979">
        <v>59.197124000000002</v>
      </c>
      <c r="AW979">
        <v>100</v>
      </c>
      <c r="AX979">
        <v>0.69195200000000001</v>
      </c>
      <c r="AY979">
        <v>0.74873900000000004</v>
      </c>
      <c r="AZ979">
        <v>69.195154000000002</v>
      </c>
      <c r="BA979">
        <v>100</v>
      </c>
      <c r="BB979">
        <v>0.71557899999999997</v>
      </c>
      <c r="BC979">
        <v>35.778948</v>
      </c>
      <c r="BD979">
        <v>50</v>
      </c>
      <c r="BE979">
        <v>0.432786</v>
      </c>
      <c r="BF979">
        <v>21.639282999999999</v>
      </c>
      <c r="BG979">
        <v>50</v>
      </c>
      <c r="BH979">
        <v>0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3.5362999999999999E-2</v>
      </c>
      <c r="BS979">
        <v>50</v>
      </c>
      <c r="BT979">
        <v>50</v>
      </c>
      <c r="BU979">
        <v>4.2682999999999999E-2</v>
      </c>
      <c r="BV979">
        <v>50</v>
      </c>
      <c r="BW979">
        <v>50</v>
      </c>
      <c r="BX979" t="s">
        <v>125</v>
      </c>
      <c r="BY979" t="s">
        <v>125</v>
      </c>
      <c r="BZ979" t="s">
        <v>125</v>
      </c>
      <c r="CA979" t="s">
        <v>125</v>
      </c>
      <c r="CB979" t="s">
        <v>125</v>
      </c>
      <c r="CC979" t="s">
        <v>125</v>
      </c>
      <c r="CD979" t="s">
        <v>125</v>
      </c>
      <c r="CE979" t="s">
        <v>125</v>
      </c>
      <c r="CF979" t="s">
        <v>125</v>
      </c>
      <c r="CG979" t="s">
        <v>125</v>
      </c>
      <c r="CH979" t="s">
        <v>125</v>
      </c>
      <c r="CI979" t="s">
        <v>125</v>
      </c>
      <c r="CJ979" t="s">
        <v>125</v>
      </c>
      <c r="CK979" t="s">
        <v>125</v>
      </c>
      <c r="CL979" t="s">
        <v>125</v>
      </c>
      <c r="CM979" t="s">
        <v>125</v>
      </c>
      <c r="CN979" t="s">
        <v>125</v>
      </c>
      <c r="CO979" t="s">
        <v>125</v>
      </c>
      <c r="CP979" t="s">
        <v>125</v>
      </c>
      <c r="CQ979">
        <v>0.81609200000000004</v>
      </c>
      <c r="CR979">
        <v>1.011628</v>
      </c>
      <c r="CS979">
        <v>50</v>
      </c>
      <c r="CT979">
        <v>50</v>
      </c>
      <c r="CU979" t="s">
        <v>125</v>
      </c>
      <c r="CV979" t="s">
        <v>125</v>
      </c>
      <c r="CW979" t="s">
        <v>125</v>
      </c>
      <c r="CX979" t="s">
        <v>125</v>
      </c>
      <c r="CY979" t="s">
        <v>125</v>
      </c>
      <c r="CZ979" t="s">
        <v>125</v>
      </c>
      <c r="DA979">
        <v>15.314097</v>
      </c>
      <c r="DB979">
        <v>17.400950000000002</v>
      </c>
      <c r="DC979">
        <v>16.332519999999999</v>
      </c>
      <c r="DD979" t="s">
        <v>125</v>
      </c>
      <c r="DE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Q979" t="s">
        <v>126</v>
      </c>
    </row>
    <row r="980" spans="1:121" x14ac:dyDescent="0.15">
      <c r="A980">
        <v>2018</v>
      </c>
      <c r="B980" t="s">
        <v>143</v>
      </c>
      <c r="C980" t="str">
        <f t="shared" si="45"/>
        <v>1510011</v>
      </c>
      <c r="D980" t="s">
        <v>1127</v>
      </c>
      <c r="E980" t="str">
        <f>"1511111"</f>
        <v>1511111</v>
      </c>
      <c r="F980" t="s">
        <v>328</v>
      </c>
      <c r="G980" t="s">
        <v>339</v>
      </c>
      <c r="H980">
        <v>5</v>
      </c>
      <c r="I980" t="s">
        <v>336</v>
      </c>
      <c r="J980" t="s">
        <v>331</v>
      </c>
      <c r="K980">
        <v>645.00826900000004</v>
      </c>
      <c r="L980">
        <v>950</v>
      </c>
      <c r="M980">
        <v>67.895606999999998</v>
      </c>
      <c r="N980">
        <v>3</v>
      </c>
      <c r="O980">
        <v>0</v>
      </c>
      <c r="P980">
        <v>63.219414</v>
      </c>
      <c r="Q980">
        <v>42.146276</v>
      </c>
      <c r="R980">
        <v>50</v>
      </c>
      <c r="S980">
        <v>62.550117999999998</v>
      </c>
      <c r="T980">
        <v>69.592274000000003</v>
      </c>
      <c r="U980">
        <v>41.700079000000002</v>
      </c>
      <c r="V980">
        <v>50</v>
      </c>
      <c r="W980">
        <v>56.037556000000002</v>
      </c>
      <c r="X980">
        <v>37.358370999999998</v>
      </c>
      <c r="Y980">
        <v>50</v>
      </c>
      <c r="Z980">
        <v>61.042769999999997</v>
      </c>
      <c r="AA980">
        <v>55.511893999999998</v>
      </c>
      <c r="AB980">
        <v>37.007930000000002</v>
      </c>
      <c r="AC980">
        <v>50</v>
      </c>
      <c r="AD980">
        <v>57.660805000000003</v>
      </c>
      <c r="AE980">
        <v>38.440536000000002</v>
      </c>
      <c r="AF980">
        <v>50</v>
      </c>
      <c r="AG980">
        <v>56.151592000000001</v>
      </c>
      <c r="AH980" t="s">
        <v>125</v>
      </c>
      <c r="AI980">
        <v>37.434395000000002</v>
      </c>
      <c r="AJ980">
        <v>50</v>
      </c>
      <c r="AK980">
        <v>7.04</v>
      </c>
      <c r="AL980">
        <v>5.53</v>
      </c>
      <c r="AM980" t="s">
        <v>125</v>
      </c>
      <c r="AN980">
        <v>0.60357000000000005</v>
      </c>
      <c r="AO980">
        <v>60.356991999999998</v>
      </c>
      <c r="AP980">
        <v>100</v>
      </c>
      <c r="AQ980">
        <v>0.66447299999999998</v>
      </c>
      <c r="AR980">
        <v>66.447266999999997</v>
      </c>
      <c r="AS980">
        <v>100</v>
      </c>
      <c r="AT980">
        <v>0.59098200000000001</v>
      </c>
      <c r="AU980" t="s">
        <v>125</v>
      </c>
      <c r="AV980">
        <v>59.098177</v>
      </c>
      <c r="AW980">
        <v>100</v>
      </c>
      <c r="AX980">
        <v>0.66431700000000005</v>
      </c>
      <c r="AY980" t="s">
        <v>125</v>
      </c>
      <c r="AZ980">
        <v>66.431685000000002</v>
      </c>
      <c r="BA980">
        <v>100</v>
      </c>
      <c r="BB980">
        <v>0.56930499999999995</v>
      </c>
      <c r="BC980">
        <v>28.465257999999999</v>
      </c>
      <c r="BD980">
        <v>50</v>
      </c>
      <c r="BE980">
        <v>0.468727</v>
      </c>
      <c r="BF980">
        <v>23.436368000000002</v>
      </c>
      <c r="BG980">
        <v>50</v>
      </c>
      <c r="BH980">
        <v>0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1</v>
      </c>
      <c r="BQ980" t="s">
        <v>125</v>
      </c>
      <c r="BR980">
        <v>8.5144999999999998E-2</v>
      </c>
      <c r="BS980">
        <v>42.971013999999997</v>
      </c>
      <c r="BT980">
        <v>50</v>
      </c>
      <c r="BU980">
        <v>8.6693999999999993E-2</v>
      </c>
      <c r="BV980">
        <v>42.661290000000001</v>
      </c>
      <c r="BW980">
        <v>50</v>
      </c>
      <c r="BX980" t="s">
        <v>125</v>
      </c>
      <c r="BY980" t="s">
        <v>125</v>
      </c>
      <c r="BZ980" t="s">
        <v>125</v>
      </c>
      <c r="CA980" t="s">
        <v>125</v>
      </c>
      <c r="CB980" t="s">
        <v>125</v>
      </c>
      <c r="CC980" t="s">
        <v>125</v>
      </c>
      <c r="CD980" t="s">
        <v>125</v>
      </c>
      <c r="CE980" t="s">
        <v>125</v>
      </c>
      <c r="CF980" t="s">
        <v>125</v>
      </c>
      <c r="CG980" t="s">
        <v>125</v>
      </c>
      <c r="CH980" t="s">
        <v>125</v>
      </c>
      <c r="CI980" t="s">
        <v>125</v>
      </c>
      <c r="CJ980" t="s">
        <v>125</v>
      </c>
      <c r="CK980" t="s">
        <v>125</v>
      </c>
      <c r="CL980" t="s">
        <v>125</v>
      </c>
      <c r="CM980" t="s">
        <v>125</v>
      </c>
      <c r="CN980" t="s">
        <v>125</v>
      </c>
      <c r="CO980" t="s">
        <v>125</v>
      </c>
      <c r="CP980" t="s">
        <v>125</v>
      </c>
      <c r="CQ980">
        <v>0.31578899999999999</v>
      </c>
      <c r="CR980">
        <v>0.96202500000000002</v>
      </c>
      <c r="CS980">
        <v>21.052631999999999</v>
      </c>
      <c r="CT980">
        <v>50</v>
      </c>
      <c r="CU980" t="s">
        <v>125</v>
      </c>
      <c r="CV980" t="s">
        <v>125</v>
      </c>
      <c r="CW980" t="s">
        <v>125</v>
      </c>
      <c r="CX980" t="s">
        <v>125</v>
      </c>
      <c r="CY980" t="s">
        <v>125</v>
      </c>
      <c r="CZ980" t="s">
        <v>125</v>
      </c>
      <c r="DA980">
        <v>15.314097</v>
      </c>
      <c r="DB980">
        <v>17.400950000000002</v>
      </c>
      <c r="DC980">
        <v>16.332519999999999</v>
      </c>
      <c r="DD980" t="s">
        <v>125</v>
      </c>
      <c r="DE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Q980" t="s">
        <v>126</v>
      </c>
    </row>
    <row r="981" spans="1:121" x14ac:dyDescent="0.15">
      <c r="A981">
        <v>2018</v>
      </c>
      <c r="B981" t="s">
        <v>143</v>
      </c>
      <c r="C981" t="str">
        <f t="shared" si="45"/>
        <v>1510011</v>
      </c>
      <c r="D981" t="s">
        <v>1128</v>
      </c>
      <c r="E981" t="str">
        <f>"1515111"</f>
        <v>1515111</v>
      </c>
      <c r="F981" t="s">
        <v>328</v>
      </c>
      <c r="G981">
        <v>6</v>
      </c>
      <c r="H981">
        <v>8</v>
      </c>
      <c r="I981" t="s">
        <v>336</v>
      </c>
      <c r="J981" t="s">
        <v>331</v>
      </c>
      <c r="K981">
        <v>598.30960700000003</v>
      </c>
      <c r="L981">
        <v>1000</v>
      </c>
      <c r="M981">
        <v>59.830961000000002</v>
      </c>
      <c r="N981">
        <v>5</v>
      </c>
      <c r="O981">
        <v>0</v>
      </c>
      <c r="P981">
        <v>54.502986</v>
      </c>
      <c r="Q981">
        <v>36.335324</v>
      </c>
      <c r="R981">
        <v>50</v>
      </c>
      <c r="S981">
        <v>53.415142000000003</v>
      </c>
      <c r="T981">
        <v>67.874409</v>
      </c>
      <c r="U981">
        <v>35.610095000000001</v>
      </c>
      <c r="V981">
        <v>50</v>
      </c>
      <c r="W981">
        <v>44.440812999999999</v>
      </c>
      <c r="X981">
        <v>29.627208</v>
      </c>
      <c r="Y981">
        <v>50</v>
      </c>
      <c r="Z981">
        <v>57.596857</v>
      </c>
      <c r="AA981">
        <v>43.372903999999998</v>
      </c>
      <c r="AB981">
        <v>28.915268999999999</v>
      </c>
      <c r="AC981">
        <v>50</v>
      </c>
      <c r="AD981">
        <v>48.221473000000003</v>
      </c>
      <c r="AE981">
        <v>32.147649000000001</v>
      </c>
      <c r="AF981">
        <v>50</v>
      </c>
      <c r="AG981">
        <v>47.696041000000001</v>
      </c>
      <c r="AH981">
        <v>56.024138000000001</v>
      </c>
      <c r="AI981">
        <v>31.797360999999999</v>
      </c>
      <c r="AJ981">
        <v>50</v>
      </c>
      <c r="AK981">
        <v>14.45</v>
      </c>
      <c r="AL981">
        <v>14.22</v>
      </c>
      <c r="AM981">
        <v>8.32</v>
      </c>
      <c r="AN981">
        <v>0.56901500000000005</v>
      </c>
      <c r="AO981">
        <v>56.901463</v>
      </c>
      <c r="AP981">
        <v>100</v>
      </c>
      <c r="AQ981">
        <v>0.47280499999999998</v>
      </c>
      <c r="AR981">
        <v>47.280543000000002</v>
      </c>
      <c r="AS981">
        <v>100</v>
      </c>
      <c r="AT981">
        <v>0.56143799999999999</v>
      </c>
      <c r="AU981">
        <v>0.66819600000000001</v>
      </c>
      <c r="AV981">
        <v>56.143825999999997</v>
      </c>
      <c r="AW981">
        <v>100</v>
      </c>
      <c r="AX981">
        <v>0.46737400000000001</v>
      </c>
      <c r="AY981">
        <v>0.54399600000000004</v>
      </c>
      <c r="AZ981">
        <v>46.737350999999997</v>
      </c>
      <c r="BA981">
        <v>100</v>
      </c>
      <c r="BB981">
        <v>0.46155600000000002</v>
      </c>
      <c r="BC981">
        <v>23.077791000000001</v>
      </c>
      <c r="BD981">
        <v>50</v>
      </c>
      <c r="BE981">
        <v>0.34542499999999998</v>
      </c>
      <c r="BF981">
        <v>17.271243999999999</v>
      </c>
      <c r="BG981">
        <v>50</v>
      </c>
      <c r="BH981">
        <v>0</v>
      </c>
      <c r="BI981">
        <v>0.99903699999999995</v>
      </c>
      <c r="BJ981">
        <v>0.99895400000000001</v>
      </c>
      <c r="BK981">
        <v>1</v>
      </c>
      <c r="BL981">
        <v>0.998081</v>
      </c>
      <c r="BM981">
        <v>0.99791700000000005</v>
      </c>
      <c r="BN981">
        <v>1</v>
      </c>
      <c r="BO981">
        <v>1</v>
      </c>
      <c r="BP981">
        <v>1</v>
      </c>
      <c r="BQ981">
        <v>1</v>
      </c>
      <c r="BR981">
        <v>0.127413</v>
      </c>
      <c r="BS981">
        <v>34.517375000000001</v>
      </c>
      <c r="BT981">
        <v>50</v>
      </c>
      <c r="BU981">
        <v>0.13340299999999999</v>
      </c>
      <c r="BV981">
        <v>33.319327999999999</v>
      </c>
      <c r="BW981">
        <v>50</v>
      </c>
      <c r="BX981" t="s">
        <v>125</v>
      </c>
      <c r="BY981" t="s">
        <v>125</v>
      </c>
      <c r="BZ981" t="s">
        <v>125</v>
      </c>
      <c r="CA981" t="s">
        <v>125</v>
      </c>
      <c r="CB981" t="s">
        <v>125</v>
      </c>
      <c r="CC981" t="s">
        <v>125</v>
      </c>
      <c r="CD981">
        <v>0.86510299999999996</v>
      </c>
      <c r="CE981">
        <v>46.016098</v>
      </c>
      <c r="CF981">
        <v>50</v>
      </c>
      <c r="CG981" t="s">
        <v>125</v>
      </c>
      <c r="CH981" t="s">
        <v>125</v>
      </c>
      <c r="CI981" t="s">
        <v>125</v>
      </c>
      <c r="CJ981" t="s">
        <v>125</v>
      </c>
      <c r="CK981" t="s">
        <v>125</v>
      </c>
      <c r="CL981" t="s">
        <v>125</v>
      </c>
      <c r="CM981" t="s">
        <v>125</v>
      </c>
      <c r="CN981" t="s">
        <v>125</v>
      </c>
      <c r="CO981" t="s">
        <v>125</v>
      </c>
      <c r="CP981" t="s">
        <v>125</v>
      </c>
      <c r="CQ981">
        <v>0.63917500000000005</v>
      </c>
      <c r="CR981">
        <v>0.98263400000000001</v>
      </c>
      <c r="CS981">
        <v>42.611683999999997</v>
      </c>
      <c r="CT981">
        <v>50</v>
      </c>
      <c r="CU981" t="s">
        <v>125</v>
      </c>
      <c r="CV981" t="s">
        <v>125</v>
      </c>
      <c r="CW981" t="s">
        <v>125</v>
      </c>
      <c r="CX981" t="s">
        <v>125</v>
      </c>
      <c r="CY981" t="s">
        <v>125</v>
      </c>
      <c r="CZ981" t="s">
        <v>125</v>
      </c>
      <c r="DA981">
        <v>15.314097</v>
      </c>
      <c r="DB981">
        <v>17.400950000000002</v>
      </c>
      <c r="DC981">
        <v>16.332519999999999</v>
      </c>
      <c r="DD981" t="s">
        <v>125</v>
      </c>
      <c r="DE981">
        <v>0</v>
      </c>
      <c r="DF981" t="s">
        <v>376</v>
      </c>
      <c r="DG981" t="s">
        <v>377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Q981" t="s">
        <v>126</v>
      </c>
    </row>
    <row r="982" spans="1:121" x14ac:dyDescent="0.15">
      <c r="A982">
        <v>2018</v>
      </c>
      <c r="B982" t="s">
        <v>143</v>
      </c>
      <c r="C982" t="str">
        <f t="shared" si="45"/>
        <v>1510011</v>
      </c>
      <c r="D982" t="s">
        <v>1129</v>
      </c>
      <c r="E982" t="str">
        <f>"1515311"</f>
        <v>1515311</v>
      </c>
      <c r="F982" t="s">
        <v>328</v>
      </c>
      <c r="G982">
        <v>6</v>
      </c>
      <c r="H982">
        <v>8</v>
      </c>
      <c r="I982" t="s">
        <v>336</v>
      </c>
      <c r="J982" t="s">
        <v>331</v>
      </c>
      <c r="K982">
        <v>626.43326200000001</v>
      </c>
      <c r="L982">
        <v>1000</v>
      </c>
      <c r="M982">
        <v>62.643326000000002</v>
      </c>
      <c r="N982">
        <v>5</v>
      </c>
      <c r="O982">
        <v>0</v>
      </c>
      <c r="P982">
        <v>54.294471999999999</v>
      </c>
      <c r="Q982">
        <v>36.196314999999998</v>
      </c>
      <c r="R982">
        <v>50</v>
      </c>
      <c r="S982">
        <v>53.534820000000003</v>
      </c>
      <c r="T982">
        <v>65.038120000000006</v>
      </c>
      <c r="U982">
        <v>35.689880000000002</v>
      </c>
      <c r="V982">
        <v>50</v>
      </c>
      <c r="W982">
        <v>44.405771999999999</v>
      </c>
      <c r="X982">
        <v>29.603847999999999</v>
      </c>
      <c r="Y982">
        <v>50</v>
      </c>
      <c r="Z982">
        <v>53.822608000000002</v>
      </c>
      <c r="AA982">
        <v>43.738250000000001</v>
      </c>
      <c r="AB982">
        <v>29.158833000000001</v>
      </c>
      <c r="AC982">
        <v>50</v>
      </c>
      <c r="AD982">
        <v>48.646079999999998</v>
      </c>
      <c r="AE982">
        <v>32.430720000000001</v>
      </c>
      <c r="AF982">
        <v>50</v>
      </c>
      <c r="AG982">
        <v>48.565206000000003</v>
      </c>
      <c r="AH982" t="s">
        <v>125</v>
      </c>
      <c r="AI982">
        <v>32.376804</v>
      </c>
      <c r="AJ982">
        <v>50</v>
      </c>
      <c r="AK982">
        <v>11.5</v>
      </c>
      <c r="AL982">
        <v>10.08</v>
      </c>
      <c r="AM982" t="s">
        <v>125</v>
      </c>
      <c r="AN982">
        <v>0.60660499999999995</v>
      </c>
      <c r="AO982">
        <v>60.660522</v>
      </c>
      <c r="AP982">
        <v>100</v>
      </c>
      <c r="AQ982">
        <v>0.511633</v>
      </c>
      <c r="AR982">
        <v>51.163338000000003</v>
      </c>
      <c r="AS982">
        <v>100</v>
      </c>
      <c r="AT982">
        <v>0.59766900000000001</v>
      </c>
      <c r="AU982">
        <v>0.73575400000000002</v>
      </c>
      <c r="AV982">
        <v>59.766933999999999</v>
      </c>
      <c r="AW982">
        <v>100</v>
      </c>
      <c r="AX982">
        <v>0.51114800000000005</v>
      </c>
      <c r="AY982">
        <v>0.51862200000000003</v>
      </c>
      <c r="AZ982">
        <v>51.114795999999998</v>
      </c>
      <c r="BA982">
        <v>100</v>
      </c>
      <c r="BB982">
        <v>0.471557</v>
      </c>
      <c r="BC982">
        <v>23.577869</v>
      </c>
      <c r="BD982">
        <v>50</v>
      </c>
      <c r="BE982">
        <v>0.38371100000000002</v>
      </c>
      <c r="BF982">
        <v>19.185572000000001</v>
      </c>
      <c r="BG982">
        <v>50</v>
      </c>
      <c r="BH982">
        <v>0</v>
      </c>
      <c r="BI982">
        <v>0.99892000000000003</v>
      </c>
      <c r="BJ982">
        <v>0.99883900000000003</v>
      </c>
      <c r="BK982">
        <v>1</v>
      </c>
      <c r="BL982">
        <v>0.99783500000000003</v>
      </c>
      <c r="BM982">
        <v>0.997672</v>
      </c>
      <c r="BN982">
        <v>1</v>
      </c>
      <c r="BO982">
        <v>0.99688500000000002</v>
      </c>
      <c r="BP982">
        <v>0.99665599999999999</v>
      </c>
      <c r="BQ982">
        <v>1</v>
      </c>
      <c r="BR982">
        <v>9.6320000000000003E-2</v>
      </c>
      <c r="BS982">
        <v>40.735931000000001</v>
      </c>
      <c r="BT982">
        <v>50</v>
      </c>
      <c r="BU982">
        <v>0.101517</v>
      </c>
      <c r="BV982">
        <v>39.696615999999999</v>
      </c>
      <c r="BW982">
        <v>50</v>
      </c>
      <c r="BX982" t="s">
        <v>125</v>
      </c>
      <c r="BY982" t="s">
        <v>125</v>
      </c>
      <c r="BZ982" t="s">
        <v>125</v>
      </c>
      <c r="CA982" t="s">
        <v>125</v>
      </c>
      <c r="CB982" t="s">
        <v>125</v>
      </c>
      <c r="CC982" t="s">
        <v>125</v>
      </c>
      <c r="CD982">
        <v>0.80524300000000004</v>
      </c>
      <c r="CE982">
        <v>42.832098000000002</v>
      </c>
      <c r="CF982">
        <v>50</v>
      </c>
      <c r="CG982" t="s">
        <v>125</v>
      </c>
      <c r="CH982" t="s">
        <v>125</v>
      </c>
      <c r="CI982" t="s">
        <v>125</v>
      </c>
      <c r="CJ982" t="s">
        <v>125</v>
      </c>
      <c r="CK982" t="s">
        <v>125</v>
      </c>
      <c r="CL982" t="s">
        <v>125</v>
      </c>
      <c r="CM982" t="s">
        <v>125</v>
      </c>
      <c r="CN982" t="s">
        <v>125</v>
      </c>
      <c r="CO982" t="s">
        <v>125</v>
      </c>
      <c r="CP982" t="s">
        <v>125</v>
      </c>
      <c r="CQ982">
        <v>0.63364799999999999</v>
      </c>
      <c r="CR982">
        <v>1</v>
      </c>
      <c r="CS982">
        <v>42.243186999999999</v>
      </c>
      <c r="CT982">
        <v>50</v>
      </c>
      <c r="CU982" t="s">
        <v>125</v>
      </c>
      <c r="CV982" t="s">
        <v>125</v>
      </c>
      <c r="CW982" t="s">
        <v>125</v>
      </c>
      <c r="CX982" t="s">
        <v>125</v>
      </c>
      <c r="CY982" t="s">
        <v>125</v>
      </c>
      <c r="CZ982" t="s">
        <v>125</v>
      </c>
      <c r="DA982">
        <v>15.314097</v>
      </c>
      <c r="DB982">
        <v>17.400950000000002</v>
      </c>
      <c r="DC982">
        <v>16.332519999999999</v>
      </c>
      <c r="DD982" t="s">
        <v>125</v>
      </c>
      <c r="DE982">
        <v>0</v>
      </c>
      <c r="DF982" t="s">
        <v>376</v>
      </c>
      <c r="DG982" t="s">
        <v>377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Q982" t="s">
        <v>126</v>
      </c>
    </row>
    <row r="983" spans="1:121" x14ac:dyDescent="0.15">
      <c r="A983">
        <v>2018</v>
      </c>
      <c r="B983" t="s">
        <v>143</v>
      </c>
      <c r="C983" t="str">
        <f t="shared" si="45"/>
        <v>1510011</v>
      </c>
      <c r="D983" t="s">
        <v>1130</v>
      </c>
      <c r="E983" t="str">
        <f>"1513411"</f>
        <v>1513411</v>
      </c>
      <c r="F983" t="s">
        <v>328</v>
      </c>
      <c r="G983" t="s">
        <v>329</v>
      </c>
      <c r="H983">
        <v>8</v>
      </c>
      <c r="I983" t="s">
        <v>336</v>
      </c>
      <c r="J983" t="s">
        <v>331</v>
      </c>
      <c r="K983">
        <v>681.49949800000002</v>
      </c>
      <c r="L983">
        <v>1000</v>
      </c>
      <c r="M983">
        <v>68.149950000000004</v>
      </c>
      <c r="N983">
        <v>3</v>
      </c>
      <c r="O983">
        <v>0</v>
      </c>
      <c r="P983">
        <v>59.380139999999997</v>
      </c>
      <c r="Q983">
        <v>39.586759999999998</v>
      </c>
      <c r="R983">
        <v>50</v>
      </c>
      <c r="S983">
        <v>59.348970000000001</v>
      </c>
      <c r="T983" t="s">
        <v>125</v>
      </c>
      <c r="U983">
        <v>39.565980000000003</v>
      </c>
      <c r="V983">
        <v>50</v>
      </c>
      <c r="W983">
        <v>53.396988999999998</v>
      </c>
      <c r="X983">
        <v>35.597991999999998</v>
      </c>
      <c r="Y983">
        <v>50</v>
      </c>
      <c r="Z983" t="s">
        <v>125</v>
      </c>
      <c r="AA983">
        <v>53.350439000000001</v>
      </c>
      <c r="AB983">
        <v>35.566958999999997</v>
      </c>
      <c r="AC983">
        <v>50</v>
      </c>
      <c r="AD983">
        <v>60.284585</v>
      </c>
      <c r="AE983">
        <v>40.189723000000001</v>
      </c>
      <c r="AF983">
        <v>50</v>
      </c>
      <c r="AG983">
        <v>60.319643999999997</v>
      </c>
      <c r="AH983" t="s">
        <v>125</v>
      </c>
      <c r="AI983">
        <v>40.213096</v>
      </c>
      <c r="AJ983">
        <v>50</v>
      </c>
      <c r="AK983" t="s">
        <v>125</v>
      </c>
      <c r="AL983" t="s">
        <v>125</v>
      </c>
      <c r="AM983" t="s">
        <v>125</v>
      </c>
      <c r="AN983">
        <v>0.58258299999999996</v>
      </c>
      <c r="AO983">
        <v>58.258311999999997</v>
      </c>
      <c r="AP983">
        <v>100</v>
      </c>
      <c r="AQ983">
        <v>0.57916000000000001</v>
      </c>
      <c r="AR983">
        <v>57.916006000000003</v>
      </c>
      <c r="AS983">
        <v>100</v>
      </c>
      <c r="AT983">
        <v>0.58045999999999998</v>
      </c>
      <c r="AU983" t="s">
        <v>125</v>
      </c>
      <c r="AV983">
        <v>58.045988000000001</v>
      </c>
      <c r="AW983">
        <v>100</v>
      </c>
      <c r="AX983">
        <v>0.58213899999999996</v>
      </c>
      <c r="AY983" t="s">
        <v>125</v>
      </c>
      <c r="AZ983">
        <v>58.213894000000003</v>
      </c>
      <c r="BA983">
        <v>100</v>
      </c>
      <c r="BB983">
        <v>0.48838100000000001</v>
      </c>
      <c r="BC983">
        <v>24.419027</v>
      </c>
      <c r="BD983">
        <v>50</v>
      </c>
      <c r="BE983">
        <v>0.36785800000000002</v>
      </c>
      <c r="BF983">
        <v>18.392883999999999</v>
      </c>
      <c r="BG983">
        <v>50</v>
      </c>
      <c r="BH983">
        <v>0</v>
      </c>
      <c r="BI983">
        <v>1</v>
      </c>
      <c r="BJ983">
        <v>1</v>
      </c>
      <c r="BK983" t="s">
        <v>125</v>
      </c>
      <c r="BL983">
        <v>1</v>
      </c>
      <c r="BM983">
        <v>1</v>
      </c>
      <c r="BN983" t="s">
        <v>125</v>
      </c>
      <c r="BO983">
        <v>1</v>
      </c>
      <c r="BP983">
        <v>1</v>
      </c>
      <c r="BQ983" t="s">
        <v>125</v>
      </c>
      <c r="BR983">
        <v>7.0294999999999996E-2</v>
      </c>
      <c r="BS983">
        <v>45.941043000000001</v>
      </c>
      <c r="BT983">
        <v>50</v>
      </c>
      <c r="BU983">
        <v>6.6350999999999993E-2</v>
      </c>
      <c r="BV983">
        <v>46.729858</v>
      </c>
      <c r="BW983">
        <v>50</v>
      </c>
      <c r="BX983" t="s">
        <v>125</v>
      </c>
      <c r="BY983" t="s">
        <v>125</v>
      </c>
      <c r="BZ983" t="s">
        <v>125</v>
      </c>
      <c r="CA983" t="s">
        <v>125</v>
      </c>
      <c r="CB983" t="s">
        <v>125</v>
      </c>
      <c r="CC983" t="s">
        <v>125</v>
      </c>
      <c r="CD983">
        <v>0.69767400000000002</v>
      </c>
      <c r="CE983">
        <v>37.110340999999998</v>
      </c>
      <c r="CF983">
        <v>50</v>
      </c>
      <c r="CG983" t="s">
        <v>125</v>
      </c>
      <c r="CH983" t="s">
        <v>125</v>
      </c>
      <c r="CI983" t="s">
        <v>125</v>
      </c>
      <c r="CJ983" t="s">
        <v>125</v>
      </c>
      <c r="CK983" t="s">
        <v>125</v>
      </c>
      <c r="CL983" t="s">
        <v>125</v>
      </c>
      <c r="CM983" t="s">
        <v>125</v>
      </c>
      <c r="CN983" t="s">
        <v>125</v>
      </c>
      <c r="CO983" t="s">
        <v>125</v>
      </c>
      <c r="CP983" t="s">
        <v>125</v>
      </c>
      <c r="CQ983">
        <v>0.68627499999999997</v>
      </c>
      <c r="CR983">
        <v>1.02</v>
      </c>
      <c r="CS983">
        <v>45.751634000000003</v>
      </c>
      <c r="CT983">
        <v>50</v>
      </c>
      <c r="CU983" t="s">
        <v>125</v>
      </c>
      <c r="CV983" t="s">
        <v>125</v>
      </c>
      <c r="CW983" t="s">
        <v>125</v>
      </c>
      <c r="CX983" t="s">
        <v>125</v>
      </c>
      <c r="CY983" t="s">
        <v>125</v>
      </c>
      <c r="CZ983" t="s">
        <v>125</v>
      </c>
      <c r="DA983">
        <v>15.314097</v>
      </c>
      <c r="DB983">
        <v>17.400950000000002</v>
      </c>
      <c r="DC983">
        <v>16.332519999999999</v>
      </c>
      <c r="DD983" t="s">
        <v>125</v>
      </c>
      <c r="DE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Q983" t="s">
        <v>126</v>
      </c>
    </row>
    <row r="984" spans="1:121" x14ac:dyDescent="0.15">
      <c r="A984">
        <v>2018</v>
      </c>
      <c r="B984" t="s">
        <v>143</v>
      </c>
      <c r="C984" t="str">
        <f t="shared" si="45"/>
        <v>1510011</v>
      </c>
      <c r="D984" t="s">
        <v>1131</v>
      </c>
      <c r="E984" t="str">
        <f>"1512811"</f>
        <v>1512811</v>
      </c>
      <c r="F984" t="s">
        <v>328</v>
      </c>
      <c r="G984" t="s">
        <v>339</v>
      </c>
      <c r="H984">
        <v>5</v>
      </c>
      <c r="I984" t="s">
        <v>336</v>
      </c>
      <c r="J984" t="s">
        <v>331</v>
      </c>
      <c r="K984">
        <v>679.46989799999994</v>
      </c>
      <c r="L984">
        <v>950</v>
      </c>
      <c r="M984">
        <v>71.523146999999994</v>
      </c>
      <c r="N984">
        <v>2</v>
      </c>
      <c r="O984">
        <v>0</v>
      </c>
      <c r="P984">
        <v>64.048524</v>
      </c>
      <c r="Q984">
        <v>42.699016</v>
      </c>
      <c r="R984">
        <v>50</v>
      </c>
      <c r="S984">
        <v>61.785811000000002</v>
      </c>
      <c r="T984" t="s">
        <v>125</v>
      </c>
      <c r="U984">
        <v>41.190539999999999</v>
      </c>
      <c r="V984">
        <v>50</v>
      </c>
      <c r="W984">
        <v>59.769886</v>
      </c>
      <c r="X984">
        <v>39.846590999999997</v>
      </c>
      <c r="Y984">
        <v>50</v>
      </c>
      <c r="Z984" t="s">
        <v>125</v>
      </c>
      <c r="AA984">
        <v>57.417766</v>
      </c>
      <c r="AB984">
        <v>38.278509999999997</v>
      </c>
      <c r="AC984">
        <v>50</v>
      </c>
      <c r="AD984">
        <v>60.811010000000003</v>
      </c>
      <c r="AE984">
        <v>40.540672999999998</v>
      </c>
      <c r="AF984">
        <v>50</v>
      </c>
      <c r="AG984">
        <v>58.569479000000001</v>
      </c>
      <c r="AH984" t="s">
        <v>125</v>
      </c>
      <c r="AI984">
        <v>39.046318999999997</v>
      </c>
      <c r="AJ984">
        <v>50</v>
      </c>
      <c r="AK984" t="s">
        <v>125</v>
      </c>
      <c r="AL984" t="s">
        <v>125</v>
      </c>
      <c r="AM984" t="s">
        <v>125</v>
      </c>
      <c r="AN984">
        <v>0.63420600000000005</v>
      </c>
      <c r="AO984">
        <v>63.420594999999999</v>
      </c>
      <c r="AP984">
        <v>100</v>
      </c>
      <c r="AQ984">
        <v>0.57540899999999995</v>
      </c>
      <c r="AR984">
        <v>57.540900000000001</v>
      </c>
      <c r="AS984">
        <v>100</v>
      </c>
      <c r="AT984">
        <v>0.58618599999999998</v>
      </c>
      <c r="AU984" t="s">
        <v>125</v>
      </c>
      <c r="AV984">
        <v>58.618575</v>
      </c>
      <c r="AW984">
        <v>100</v>
      </c>
      <c r="AX984">
        <v>0.56960200000000005</v>
      </c>
      <c r="AY984" t="s">
        <v>125</v>
      </c>
      <c r="AZ984">
        <v>56.960183999999998</v>
      </c>
      <c r="BA984">
        <v>100</v>
      </c>
      <c r="BB984">
        <v>0.56323900000000005</v>
      </c>
      <c r="BC984">
        <v>28.161960000000001</v>
      </c>
      <c r="BD984">
        <v>50</v>
      </c>
      <c r="BE984">
        <v>0.46332099999999998</v>
      </c>
      <c r="BF984">
        <v>23.166034</v>
      </c>
      <c r="BG984">
        <v>50</v>
      </c>
      <c r="BH984">
        <v>0</v>
      </c>
      <c r="BI984">
        <v>1</v>
      </c>
      <c r="BJ984">
        <v>1</v>
      </c>
      <c r="BK984" t="s">
        <v>125</v>
      </c>
      <c r="BL984">
        <v>1</v>
      </c>
      <c r="BM984">
        <v>1</v>
      </c>
      <c r="BN984" t="s">
        <v>125</v>
      </c>
      <c r="BO984">
        <v>1</v>
      </c>
      <c r="BP984">
        <v>1</v>
      </c>
      <c r="BQ984" t="s">
        <v>125</v>
      </c>
      <c r="BR984">
        <v>4.5455000000000002E-2</v>
      </c>
      <c r="BS984">
        <v>50</v>
      </c>
      <c r="BT984">
        <v>50</v>
      </c>
      <c r="BU984">
        <v>4.8035000000000001E-2</v>
      </c>
      <c r="BV984">
        <v>50</v>
      </c>
      <c r="BW984">
        <v>50</v>
      </c>
      <c r="BX984" t="s">
        <v>125</v>
      </c>
      <c r="BY984" t="s">
        <v>125</v>
      </c>
      <c r="BZ984" t="s">
        <v>125</v>
      </c>
      <c r="CA984" t="s">
        <v>125</v>
      </c>
      <c r="CB984" t="s">
        <v>125</v>
      </c>
      <c r="CC984" t="s">
        <v>125</v>
      </c>
      <c r="CD984" t="s">
        <v>125</v>
      </c>
      <c r="CE984" t="s">
        <v>125</v>
      </c>
      <c r="CF984" t="s">
        <v>125</v>
      </c>
      <c r="CG984" t="s">
        <v>125</v>
      </c>
      <c r="CH984" t="s">
        <v>125</v>
      </c>
      <c r="CI984" t="s">
        <v>125</v>
      </c>
      <c r="CJ984" t="s">
        <v>125</v>
      </c>
      <c r="CK984" t="s">
        <v>125</v>
      </c>
      <c r="CL984" t="s">
        <v>125</v>
      </c>
      <c r="CM984" t="s">
        <v>125</v>
      </c>
      <c r="CN984" t="s">
        <v>125</v>
      </c>
      <c r="CO984" t="s">
        <v>125</v>
      </c>
      <c r="CP984" t="s">
        <v>125</v>
      </c>
      <c r="CQ984">
        <v>0.81818199999999996</v>
      </c>
      <c r="CR984">
        <v>0.97777800000000004</v>
      </c>
      <c r="CS984">
        <v>50</v>
      </c>
      <c r="CT984">
        <v>50</v>
      </c>
      <c r="CU984" t="s">
        <v>125</v>
      </c>
      <c r="CV984" t="s">
        <v>125</v>
      </c>
      <c r="CW984" t="s">
        <v>125</v>
      </c>
      <c r="CX984" t="s">
        <v>125</v>
      </c>
      <c r="CY984" t="s">
        <v>125</v>
      </c>
      <c r="CZ984" t="s">
        <v>125</v>
      </c>
      <c r="DA984">
        <v>15.314097</v>
      </c>
      <c r="DB984">
        <v>17.400950000000002</v>
      </c>
      <c r="DC984">
        <v>16.332519999999999</v>
      </c>
      <c r="DD984" t="s">
        <v>125</v>
      </c>
      <c r="DE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Q984" t="s">
        <v>126</v>
      </c>
    </row>
    <row r="985" spans="1:121" x14ac:dyDescent="0.15">
      <c r="A985">
        <v>2018</v>
      </c>
      <c r="B985" t="s">
        <v>143</v>
      </c>
      <c r="C985" t="str">
        <f t="shared" si="45"/>
        <v>1510011</v>
      </c>
      <c r="D985" t="s">
        <v>1132</v>
      </c>
      <c r="E985" t="str">
        <f>"1513311"</f>
        <v>1513311</v>
      </c>
      <c r="F985" t="s">
        <v>328</v>
      </c>
      <c r="G985" t="s">
        <v>329</v>
      </c>
      <c r="H985">
        <v>5</v>
      </c>
      <c r="I985" t="s">
        <v>336</v>
      </c>
      <c r="J985" t="s">
        <v>331</v>
      </c>
      <c r="K985">
        <v>729.13510399999996</v>
      </c>
      <c r="L985">
        <v>850</v>
      </c>
      <c r="M985">
        <v>85.780600000000007</v>
      </c>
      <c r="N985">
        <v>1</v>
      </c>
      <c r="O985">
        <v>0</v>
      </c>
      <c r="P985">
        <v>73.770775</v>
      </c>
      <c r="Q985">
        <v>49.180517000000002</v>
      </c>
      <c r="R985">
        <v>50</v>
      </c>
      <c r="S985">
        <v>70.200232</v>
      </c>
      <c r="T985">
        <v>75</v>
      </c>
      <c r="U985">
        <v>46.800154999999997</v>
      </c>
      <c r="V985">
        <v>50</v>
      </c>
      <c r="W985">
        <v>69.951949999999997</v>
      </c>
      <c r="X985">
        <v>46.634633000000001</v>
      </c>
      <c r="Y985">
        <v>50</v>
      </c>
      <c r="Z985">
        <v>75</v>
      </c>
      <c r="AA985">
        <v>65.842881000000006</v>
      </c>
      <c r="AB985">
        <v>43.895254000000001</v>
      </c>
      <c r="AC985">
        <v>50</v>
      </c>
      <c r="AD985">
        <v>71.226478</v>
      </c>
      <c r="AE985">
        <v>47.484318999999999</v>
      </c>
      <c r="AF985">
        <v>50</v>
      </c>
      <c r="AG985">
        <v>67.508065000000002</v>
      </c>
      <c r="AH985">
        <v>75</v>
      </c>
      <c r="AI985">
        <v>45.005375999999998</v>
      </c>
      <c r="AJ985">
        <v>50</v>
      </c>
      <c r="AK985">
        <v>4.79</v>
      </c>
      <c r="AL985">
        <v>9.15</v>
      </c>
      <c r="AM985">
        <v>7.49</v>
      </c>
      <c r="AN985">
        <v>0.67161700000000002</v>
      </c>
      <c r="AO985">
        <v>67.161674000000005</v>
      </c>
      <c r="AP985">
        <v>100</v>
      </c>
      <c r="AQ985">
        <v>0.83616699999999999</v>
      </c>
      <c r="AR985">
        <v>83.616731000000001</v>
      </c>
      <c r="AS985">
        <v>100</v>
      </c>
      <c r="AT985">
        <v>0.64537599999999995</v>
      </c>
      <c r="AU985">
        <v>0.71972599999999998</v>
      </c>
      <c r="AV985">
        <v>64.537557000000007</v>
      </c>
      <c r="AW985">
        <v>100</v>
      </c>
      <c r="AX985">
        <v>0.84818899999999997</v>
      </c>
      <c r="AY985">
        <v>0.81430999999999998</v>
      </c>
      <c r="AZ985">
        <v>84.818888000000001</v>
      </c>
      <c r="BA985">
        <v>100</v>
      </c>
      <c r="BB985" t="s">
        <v>125</v>
      </c>
      <c r="BC985" t="s">
        <v>125</v>
      </c>
      <c r="BD985" t="s">
        <v>125</v>
      </c>
      <c r="BE985" t="s">
        <v>125</v>
      </c>
      <c r="BF985" t="s">
        <v>125</v>
      </c>
      <c r="BG985" t="s">
        <v>125</v>
      </c>
      <c r="BH985">
        <v>0</v>
      </c>
      <c r="BI985">
        <v>0.99642900000000001</v>
      </c>
      <c r="BJ985">
        <v>1</v>
      </c>
      <c r="BK985">
        <v>0.98912999999999995</v>
      </c>
      <c r="BL985">
        <v>0.99641599999999997</v>
      </c>
      <c r="BM985">
        <v>1</v>
      </c>
      <c r="BN985">
        <v>0.98912999999999995</v>
      </c>
      <c r="BO985">
        <v>1</v>
      </c>
      <c r="BP985">
        <v>1</v>
      </c>
      <c r="BQ985">
        <v>1</v>
      </c>
      <c r="BR985">
        <v>2.214E-2</v>
      </c>
      <c r="BS985">
        <v>50</v>
      </c>
      <c r="BT985">
        <v>50</v>
      </c>
      <c r="BU985">
        <v>3.2000000000000001E-2</v>
      </c>
      <c r="BV985">
        <v>50</v>
      </c>
      <c r="BW985">
        <v>50</v>
      </c>
      <c r="BX985" t="s">
        <v>125</v>
      </c>
      <c r="BY985" t="s">
        <v>125</v>
      </c>
      <c r="BZ985" t="s">
        <v>125</v>
      </c>
      <c r="CA985" t="s">
        <v>125</v>
      </c>
      <c r="CB985" t="s">
        <v>125</v>
      </c>
      <c r="CC985" t="s">
        <v>125</v>
      </c>
      <c r="CD985" t="s">
        <v>125</v>
      </c>
      <c r="CE985" t="s">
        <v>125</v>
      </c>
      <c r="CF985" t="s">
        <v>125</v>
      </c>
      <c r="CG985" t="s">
        <v>125</v>
      </c>
      <c r="CH985" t="s">
        <v>125</v>
      </c>
      <c r="CI985" t="s">
        <v>125</v>
      </c>
      <c r="CJ985" t="s">
        <v>125</v>
      </c>
      <c r="CK985" t="s">
        <v>125</v>
      </c>
      <c r="CL985" t="s">
        <v>125</v>
      </c>
      <c r="CM985" t="s">
        <v>125</v>
      </c>
      <c r="CN985" t="s">
        <v>125</v>
      </c>
      <c r="CO985" t="s">
        <v>125</v>
      </c>
      <c r="CP985" t="s">
        <v>125</v>
      </c>
      <c r="CQ985">
        <v>0.88421099999999997</v>
      </c>
      <c r="CR985">
        <v>0.98958299999999999</v>
      </c>
      <c r="CS985">
        <v>50</v>
      </c>
      <c r="CT985">
        <v>50</v>
      </c>
      <c r="CU985" t="s">
        <v>125</v>
      </c>
      <c r="CV985" t="s">
        <v>125</v>
      </c>
      <c r="CW985" t="s">
        <v>125</v>
      </c>
      <c r="CX985" t="s">
        <v>125</v>
      </c>
      <c r="CY985" t="s">
        <v>125</v>
      </c>
      <c r="CZ985" t="s">
        <v>125</v>
      </c>
      <c r="DA985">
        <v>15.314097</v>
      </c>
      <c r="DB985">
        <v>17.400950000000002</v>
      </c>
      <c r="DC985">
        <v>16.332519999999999</v>
      </c>
      <c r="DD985" t="s">
        <v>125</v>
      </c>
      <c r="DE985">
        <v>0</v>
      </c>
      <c r="DH985" t="s">
        <v>332</v>
      </c>
      <c r="DI985" t="s">
        <v>432</v>
      </c>
      <c r="DJ985">
        <v>0</v>
      </c>
      <c r="DK985">
        <v>0</v>
      </c>
      <c r="DL985">
        <v>0</v>
      </c>
      <c r="DM985">
        <v>0</v>
      </c>
      <c r="DN985">
        <v>1</v>
      </c>
      <c r="DO985">
        <v>0</v>
      </c>
      <c r="DQ985" t="s">
        <v>126</v>
      </c>
    </row>
    <row r="986" spans="1:121" x14ac:dyDescent="0.15">
      <c r="A986">
        <v>2018</v>
      </c>
      <c r="B986" t="s">
        <v>143</v>
      </c>
      <c r="C986" t="str">
        <f t="shared" si="45"/>
        <v>1510011</v>
      </c>
      <c r="D986" t="s">
        <v>1133</v>
      </c>
      <c r="E986" t="str">
        <f>"1512011"</f>
        <v>1512011</v>
      </c>
      <c r="F986" t="s">
        <v>328</v>
      </c>
      <c r="G986" t="s">
        <v>329</v>
      </c>
      <c r="H986">
        <v>5</v>
      </c>
      <c r="I986" t="s">
        <v>336</v>
      </c>
      <c r="J986" t="s">
        <v>331</v>
      </c>
      <c r="K986">
        <v>649.16051000000004</v>
      </c>
      <c r="L986">
        <v>950</v>
      </c>
      <c r="M986">
        <v>68.332684999999998</v>
      </c>
      <c r="N986">
        <v>3</v>
      </c>
      <c r="O986">
        <v>0</v>
      </c>
      <c r="P986">
        <v>55.446581999999999</v>
      </c>
      <c r="Q986">
        <v>36.964388</v>
      </c>
      <c r="R986">
        <v>50</v>
      </c>
      <c r="S986">
        <v>55.043968999999997</v>
      </c>
      <c r="T986" t="s">
        <v>125</v>
      </c>
      <c r="U986">
        <v>36.695979999999999</v>
      </c>
      <c r="V986">
        <v>50</v>
      </c>
      <c r="W986">
        <v>51.410716999999998</v>
      </c>
      <c r="X986">
        <v>34.273811000000002</v>
      </c>
      <c r="Y986">
        <v>50</v>
      </c>
      <c r="Z986" t="s">
        <v>125</v>
      </c>
      <c r="AA986">
        <v>50.914360000000002</v>
      </c>
      <c r="AB986">
        <v>33.942906999999998</v>
      </c>
      <c r="AC986">
        <v>50</v>
      </c>
      <c r="AD986">
        <v>57.600385000000003</v>
      </c>
      <c r="AE986">
        <v>38.400257000000003</v>
      </c>
      <c r="AF986">
        <v>50</v>
      </c>
      <c r="AG986">
        <v>57.407443999999998</v>
      </c>
      <c r="AH986" t="s">
        <v>125</v>
      </c>
      <c r="AI986">
        <v>38.271628999999997</v>
      </c>
      <c r="AJ986">
        <v>50</v>
      </c>
      <c r="AK986" t="s">
        <v>125</v>
      </c>
      <c r="AL986" t="s">
        <v>125</v>
      </c>
      <c r="AM986" t="s">
        <v>125</v>
      </c>
      <c r="AN986">
        <v>0.64004799999999995</v>
      </c>
      <c r="AO986">
        <v>64.004813999999996</v>
      </c>
      <c r="AP986">
        <v>100</v>
      </c>
      <c r="AQ986">
        <v>0.65846800000000005</v>
      </c>
      <c r="AR986">
        <v>65.846761000000001</v>
      </c>
      <c r="AS986">
        <v>100</v>
      </c>
      <c r="AT986">
        <v>0.64230500000000001</v>
      </c>
      <c r="AU986" t="s">
        <v>125</v>
      </c>
      <c r="AV986">
        <v>64.230462000000003</v>
      </c>
      <c r="AW986">
        <v>100</v>
      </c>
      <c r="AX986">
        <v>0.64620900000000003</v>
      </c>
      <c r="AY986" t="s">
        <v>125</v>
      </c>
      <c r="AZ986">
        <v>64.620945000000006</v>
      </c>
      <c r="BA986">
        <v>100</v>
      </c>
      <c r="BB986">
        <v>0.62652399999999997</v>
      </c>
      <c r="BC986">
        <v>31.326179</v>
      </c>
      <c r="BD986">
        <v>50</v>
      </c>
      <c r="BE986">
        <v>0.462752</v>
      </c>
      <c r="BF986">
        <v>23.137605000000001</v>
      </c>
      <c r="BG986">
        <v>50</v>
      </c>
      <c r="BH986">
        <v>0</v>
      </c>
      <c r="BI986">
        <v>1</v>
      </c>
      <c r="BJ986">
        <v>1</v>
      </c>
      <c r="BK986" t="s">
        <v>125</v>
      </c>
      <c r="BL986">
        <v>1</v>
      </c>
      <c r="BM986">
        <v>1</v>
      </c>
      <c r="BN986" t="s">
        <v>125</v>
      </c>
      <c r="BO986">
        <v>1</v>
      </c>
      <c r="BP986">
        <v>1</v>
      </c>
      <c r="BQ986" t="s">
        <v>125</v>
      </c>
      <c r="BR986">
        <v>0.12926799999999999</v>
      </c>
      <c r="BS986">
        <v>34.146341</v>
      </c>
      <c r="BT986">
        <v>50</v>
      </c>
      <c r="BU986">
        <v>0.13350799999999999</v>
      </c>
      <c r="BV986">
        <v>33.298428999999999</v>
      </c>
      <c r="BW986">
        <v>50</v>
      </c>
      <c r="BX986" t="s">
        <v>125</v>
      </c>
      <c r="BY986" t="s">
        <v>125</v>
      </c>
      <c r="BZ986" t="s">
        <v>125</v>
      </c>
      <c r="CA986" t="s">
        <v>125</v>
      </c>
      <c r="CB986" t="s">
        <v>125</v>
      </c>
      <c r="CC986" t="s">
        <v>125</v>
      </c>
      <c r="CD986" t="s">
        <v>125</v>
      </c>
      <c r="CE986" t="s">
        <v>125</v>
      </c>
      <c r="CF986" t="s">
        <v>125</v>
      </c>
      <c r="CG986" t="s">
        <v>125</v>
      </c>
      <c r="CH986" t="s">
        <v>125</v>
      </c>
      <c r="CI986" t="s">
        <v>125</v>
      </c>
      <c r="CJ986" t="s">
        <v>125</v>
      </c>
      <c r="CK986" t="s">
        <v>125</v>
      </c>
      <c r="CL986" t="s">
        <v>125</v>
      </c>
      <c r="CM986" t="s">
        <v>125</v>
      </c>
      <c r="CN986" t="s">
        <v>125</v>
      </c>
      <c r="CO986" t="s">
        <v>125</v>
      </c>
      <c r="CP986" t="s">
        <v>125</v>
      </c>
      <c r="CQ986">
        <v>0.86746999999999996</v>
      </c>
      <c r="CR986">
        <v>1.024691</v>
      </c>
      <c r="CS986">
        <v>50</v>
      </c>
      <c r="CT986">
        <v>50</v>
      </c>
      <c r="CU986" t="s">
        <v>125</v>
      </c>
      <c r="CV986" t="s">
        <v>125</v>
      </c>
      <c r="CW986" t="s">
        <v>125</v>
      </c>
      <c r="CX986" t="s">
        <v>125</v>
      </c>
      <c r="CY986" t="s">
        <v>125</v>
      </c>
      <c r="CZ986" t="s">
        <v>125</v>
      </c>
      <c r="DA986">
        <v>15.314097</v>
      </c>
      <c r="DB986">
        <v>17.400950000000002</v>
      </c>
      <c r="DC986">
        <v>16.332519999999999</v>
      </c>
      <c r="DD986" t="s">
        <v>125</v>
      </c>
      <c r="DE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Q986" t="s">
        <v>126</v>
      </c>
    </row>
    <row r="987" spans="1:121" x14ac:dyDescent="0.15">
      <c r="A987">
        <v>2018</v>
      </c>
      <c r="B987" t="s">
        <v>143</v>
      </c>
      <c r="C987" t="str">
        <f t="shared" si="45"/>
        <v>1510011</v>
      </c>
      <c r="D987" t="s">
        <v>1134</v>
      </c>
      <c r="E987" t="str">
        <f>"1512211"</f>
        <v>1512211</v>
      </c>
      <c r="F987" t="s">
        <v>328</v>
      </c>
      <c r="G987" t="s">
        <v>329</v>
      </c>
      <c r="H987">
        <v>5</v>
      </c>
      <c r="I987" t="s">
        <v>336</v>
      </c>
      <c r="J987" t="s">
        <v>331</v>
      </c>
      <c r="K987">
        <v>532.302908</v>
      </c>
      <c r="L987">
        <v>950</v>
      </c>
      <c r="M987">
        <v>56.031885000000003</v>
      </c>
      <c r="N987">
        <v>3</v>
      </c>
      <c r="O987">
        <v>0</v>
      </c>
      <c r="P987">
        <v>52.276584999999997</v>
      </c>
      <c r="Q987">
        <v>34.851056999999997</v>
      </c>
      <c r="R987">
        <v>50</v>
      </c>
      <c r="S987">
        <v>51.728965000000002</v>
      </c>
      <c r="T987" t="s">
        <v>125</v>
      </c>
      <c r="U987">
        <v>34.485976999999998</v>
      </c>
      <c r="V987">
        <v>50</v>
      </c>
      <c r="W987">
        <v>47.343935999999999</v>
      </c>
      <c r="X987">
        <v>31.562624</v>
      </c>
      <c r="Y987">
        <v>50</v>
      </c>
      <c r="Z987" t="s">
        <v>125</v>
      </c>
      <c r="AA987">
        <v>46.640002000000003</v>
      </c>
      <c r="AB987">
        <v>31.093335</v>
      </c>
      <c r="AC987">
        <v>50</v>
      </c>
      <c r="AD987">
        <v>50.653225999999997</v>
      </c>
      <c r="AE987">
        <v>33.768816999999999</v>
      </c>
      <c r="AF987">
        <v>50</v>
      </c>
      <c r="AG987">
        <v>50.636797999999999</v>
      </c>
      <c r="AH987" t="s">
        <v>125</v>
      </c>
      <c r="AI987">
        <v>33.757865000000002</v>
      </c>
      <c r="AJ987">
        <v>50</v>
      </c>
      <c r="AK987" t="s">
        <v>125</v>
      </c>
      <c r="AL987" t="s">
        <v>125</v>
      </c>
      <c r="AM987" t="s">
        <v>125</v>
      </c>
      <c r="AN987">
        <v>0.52251400000000003</v>
      </c>
      <c r="AO987">
        <v>52.251404999999998</v>
      </c>
      <c r="AP987">
        <v>100</v>
      </c>
      <c r="AQ987">
        <v>0.52943700000000005</v>
      </c>
      <c r="AR987">
        <v>52.943739999999998</v>
      </c>
      <c r="AS987">
        <v>100</v>
      </c>
      <c r="AT987">
        <v>0.50644299999999998</v>
      </c>
      <c r="AU987" t="s">
        <v>125</v>
      </c>
      <c r="AV987">
        <v>50.644272000000001</v>
      </c>
      <c r="AW987">
        <v>100</v>
      </c>
      <c r="AX987">
        <v>0.51661800000000002</v>
      </c>
      <c r="AY987" t="s">
        <v>125</v>
      </c>
      <c r="AZ987">
        <v>51.661791999999998</v>
      </c>
      <c r="BA987">
        <v>100</v>
      </c>
      <c r="BB987">
        <v>0.443355</v>
      </c>
      <c r="BC987">
        <v>22.167755</v>
      </c>
      <c r="BD987">
        <v>50</v>
      </c>
      <c r="BE987">
        <v>0.38939099999999999</v>
      </c>
      <c r="BF987">
        <v>19.469570999999998</v>
      </c>
      <c r="BG987">
        <v>50</v>
      </c>
      <c r="BH987">
        <v>0</v>
      </c>
      <c r="BI987">
        <v>0.99521499999999996</v>
      </c>
      <c r="BJ987">
        <v>0.99497500000000005</v>
      </c>
      <c r="BK987" t="s">
        <v>125</v>
      </c>
      <c r="BL987">
        <v>0.99523799999999996</v>
      </c>
      <c r="BM987">
        <v>0.995</v>
      </c>
      <c r="BN987" t="s">
        <v>125</v>
      </c>
      <c r="BO987">
        <v>1</v>
      </c>
      <c r="BP987">
        <v>1</v>
      </c>
      <c r="BQ987" t="s">
        <v>125</v>
      </c>
      <c r="BR987">
        <v>0.21259800000000001</v>
      </c>
      <c r="BS987">
        <v>17.480315000000001</v>
      </c>
      <c r="BT987">
        <v>50</v>
      </c>
      <c r="BU987">
        <v>0.21917800000000001</v>
      </c>
      <c r="BV987">
        <v>16.164383999999998</v>
      </c>
      <c r="BW987">
        <v>50</v>
      </c>
      <c r="BX987" t="s">
        <v>125</v>
      </c>
      <c r="BY987" t="s">
        <v>125</v>
      </c>
      <c r="BZ987" t="s">
        <v>125</v>
      </c>
      <c r="CA987" t="s">
        <v>125</v>
      </c>
      <c r="CB987" t="s">
        <v>125</v>
      </c>
      <c r="CC987" t="s">
        <v>125</v>
      </c>
      <c r="CD987" t="s">
        <v>125</v>
      </c>
      <c r="CE987" t="s">
        <v>125</v>
      </c>
      <c r="CF987" t="s">
        <v>125</v>
      </c>
      <c r="CG987" t="s">
        <v>125</v>
      </c>
      <c r="CH987" t="s">
        <v>125</v>
      </c>
      <c r="CI987" t="s">
        <v>125</v>
      </c>
      <c r="CJ987" t="s">
        <v>125</v>
      </c>
      <c r="CK987" t="s">
        <v>125</v>
      </c>
      <c r="CL987" t="s">
        <v>125</v>
      </c>
      <c r="CM987" t="s">
        <v>125</v>
      </c>
      <c r="CN987" t="s">
        <v>125</v>
      </c>
      <c r="CO987" t="s">
        <v>125</v>
      </c>
      <c r="CP987" t="s">
        <v>125</v>
      </c>
      <c r="CQ987">
        <v>0.77173899999999995</v>
      </c>
      <c r="CR987">
        <v>1.045455</v>
      </c>
      <c r="CS987">
        <v>50</v>
      </c>
      <c r="CT987">
        <v>50</v>
      </c>
      <c r="CU987" t="s">
        <v>125</v>
      </c>
      <c r="CV987" t="s">
        <v>125</v>
      </c>
      <c r="CW987" t="s">
        <v>125</v>
      </c>
      <c r="CX987" t="s">
        <v>125</v>
      </c>
      <c r="CY987" t="s">
        <v>125</v>
      </c>
      <c r="CZ987" t="s">
        <v>125</v>
      </c>
      <c r="DA987">
        <v>15.314097</v>
      </c>
      <c r="DB987">
        <v>17.400950000000002</v>
      </c>
      <c r="DC987">
        <v>16.332519999999999</v>
      </c>
      <c r="DD987" t="s">
        <v>125</v>
      </c>
      <c r="DE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Q987" t="s">
        <v>126</v>
      </c>
    </row>
    <row r="988" spans="1:121" x14ac:dyDescent="0.15">
      <c r="A988">
        <v>2018</v>
      </c>
      <c r="B988" t="s">
        <v>143</v>
      </c>
      <c r="C988" t="str">
        <f t="shared" si="45"/>
        <v>1510011</v>
      </c>
      <c r="D988" t="s">
        <v>736</v>
      </c>
      <c r="E988" t="str">
        <f>"1512311"</f>
        <v>1512311</v>
      </c>
      <c r="F988" t="s">
        <v>328</v>
      </c>
      <c r="G988" t="s">
        <v>329</v>
      </c>
      <c r="H988">
        <v>5</v>
      </c>
      <c r="I988" t="s">
        <v>336</v>
      </c>
      <c r="J988" t="s">
        <v>331</v>
      </c>
      <c r="K988">
        <v>682.73161300000004</v>
      </c>
      <c r="L988">
        <v>950</v>
      </c>
      <c r="M988">
        <v>71.866485999999995</v>
      </c>
      <c r="N988">
        <v>2</v>
      </c>
      <c r="O988">
        <v>0</v>
      </c>
      <c r="P988">
        <v>59.564891000000003</v>
      </c>
      <c r="Q988">
        <v>39.709927</v>
      </c>
      <c r="R988">
        <v>50</v>
      </c>
      <c r="S988">
        <v>59.209007</v>
      </c>
      <c r="T988" t="s">
        <v>125</v>
      </c>
      <c r="U988">
        <v>39.472670999999998</v>
      </c>
      <c r="V988">
        <v>50</v>
      </c>
      <c r="W988">
        <v>50.299067999999998</v>
      </c>
      <c r="X988">
        <v>33.532711999999997</v>
      </c>
      <c r="Y988">
        <v>50</v>
      </c>
      <c r="Z988" t="s">
        <v>125</v>
      </c>
      <c r="AA988">
        <v>49.851449000000002</v>
      </c>
      <c r="AB988">
        <v>33.234299999999998</v>
      </c>
      <c r="AC988">
        <v>50</v>
      </c>
      <c r="AD988">
        <v>58.966307999999998</v>
      </c>
      <c r="AE988">
        <v>39.310872000000003</v>
      </c>
      <c r="AF988">
        <v>50</v>
      </c>
      <c r="AG988">
        <v>58.721679999999999</v>
      </c>
      <c r="AH988" t="s">
        <v>125</v>
      </c>
      <c r="AI988">
        <v>39.147787000000001</v>
      </c>
      <c r="AJ988">
        <v>50</v>
      </c>
      <c r="AK988" t="s">
        <v>125</v>
      </c>
      <c r="AL988" t="s">
        <v>125</v>
      </c>
      <c r="AM988" t="s">
        <v>125</v>
      </c>
      <c r="AN988">
        <v>0.63585000000000003</v>
      </c>
      <c r="AO988">
        <v>63.585040999999997</v>
      </c>
      <c r="AP988">
        <v>100</v>
      </c>
      <c r="AQ988">
        <v>0.68309500000000001</v>
      </c>
      <c r="AR988">
        <v>68.309505999999999</v>
      </c>
      <c r="AS988">
        <v>100</v>
      </c>
      <c r="AT988">
        <v>0.63592599999999999</v>
      </c>
      <c r="AU988" t="s">
        <v>125</v>
      </c>
      <c r="AV988">
        <v>63.592643000000002</v>
      </c>
      <c r="AW988">
        <v>100</v>
      </c>
      <c r="AX988">
        <v>0.67461700000000002</v>
      </c>
      <c r="AY988" t="s">
        <v>125</v>
      </c>
      <c r="AZ988">
        <v>67.461668000000003</v>
      </c>
      <c r="BA988">
        <v>100</v>
      </c>
      <c r="BB988">
        <v>0.51234800000000003</v>
      </c>
      <c r="BC988">
        <v>25.617381999999999</v>
      </c>
      <c r="BD988">
        <v>50</v>
      </c>
      <c r="BE988">
        <v>0.48681600000000003</v>
      </c>
      <c r="BF988">
        <v>24.340790999999999</v>
      </c>
      <c r="BG988">
        <v>50</v>
      </c>
      <c r="BH988">
        <v>0</v>
      </c>
      <c r="BI988">
        <v>1</v>
      </c>
      <c r="BJ988">
        <v>1</v>
      </c>
      <c r="BK988" t="s">
        <v>125</v>
      </c>
      <c r="BL988">
        <v>1</v>
      </c>
      <c r="BM988">
        <v>1</v>
      </c>
      <c r="BN988" t="s">
        <v>125</v>
      </c>
      <c r="BO988">
        <v>1</v>
      </c>
      <c r="BP988">
        <v>1</v>
      </c>
      <c r="BQ988" t="s">
        <v>125</v>
      </c>
      <c r="BR988">
        <v>6.0200999999999998E-2</v>
      </c>
      <c r="BS988">
        <v>47.959865999999998</v>
      </c>
      <c r="BT988">
        <v>50</v>
      </c>
      <c r="BU988">
        <v>6.2717999999999996E-2</v>
      </c>
      <c r="BV988">
        <v>47.456446</v>
      </c>
      <c r="BW988">
        <v>50</v>
      </c>
      <c r="BX988" t="s">
        <v>125</v>
      </c>
      <c r="BY988" t="s">
        <v>125</v>
      </c>
      <c r="BZ988" t="s">
        <v>125</v>
      </c>
      <c r="CA988" t="s">
        <v>125</v>
      </c>
      <c r="CB988" t="s">
        <v>125</v>
      </c>
      <c r="CC988" t="s">
        <v>125</v>
      </c>
      <c r="CD988" t="s">
        <v>125</v>
      </c>
      <c r="CE988" t="s">
        <v>125</v>
      </c>
      <c r="CF988" t="s">
        <v>125</v>
      </c>
      <c r="CG988" t="s">
        <v>125</v>
      </c>
      <c r="CH988" t="s">
        <v>125</v>
      </c>
      <c r="CI988" t="s">
        <v>125</v>
      </c>
      <c r="CJ988" t="s">
        <v>125</v>
      </c>
      <c r="CK988" t="s">
        <v>125</v>
      </c>
      <c r="CL988" t="s">
        <v>125</v>
      </c>
      <c r="CM988" t="s">
        <v>125</v>
      </c>
      <c r="CN988" t="s">
        <v>125</v>
      </c>
      <c r="CO988" t="s">
        <v>125</v>
      </c>
      <c r="CP988" t="s">
        <v>125</v>
      </c>
      <c r="CQ988">
        <v>0.81481499999999996</v>
      </c>
      <c r="CR988">
        <v>1</v>
      </c>
      <c r="CS988">
        <v>50</v>
      </c>
      <c r="CT988">
        <v>50</v>
      </c>
      <c r="CU988" t="s">
        <v>125</v>
      </c>
      <c r="CV988" t="s">
        <v>125</v>
      </c>
      <c r="CW988" t="s">
        <v>125</v>
      </c>
      <c r="CX988" t="s">
        <v>125</v>
      </c>
      <c r="CY988" t="s">
        <v>125</v>
      </c>
      <c r="CZ988" t="s">
        <v>125</v>
      </c>
      <c r="DA988">
        <v>15.314097</v>
      </c>
      <c r="DB988">
        <v>17.400950000000002</v>
      </c>
      <c r="DC988">
        <v>16.332519999999999</v>
      </c>
      <c r="DD988" t="s">
        <v>125</v>
      </c>
      <c r="DE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Q988" t="s">
        <v>126</v>
      </c>
    </row>
    <row r="989" spans="1:121" x14ac:dyDescent="0.15">
      <c r="A989">
        <v>2018</v>
      </c>
      <c r="B989" t="s">
        <v>143</v>
      </c>
      <c r="C989" t="str">
        <f t="shared" si="45"/>
        <v>1510011</v>
      </c>
      <c r="D989" t="s">
        <v>1135</v>
      </c>
      <c r="E989" t="str">
        <f>"1516011"</f>
        <v>1516011</v>
      </c>
      <c r="F989" t="s">
        <v>328</v>
      </c>
      <c r="G989">
        <v>9</v>
      </c>
      <c r="H989">
        <v>12</v>
      </c>
      <c r="I989" t="s">
        <v>336</v>
      </c>
      <c r="J989" t="s">
        <v>331</v>
      </c>
      <c r="K989">
        <v>1003.3439</v>
      </c>
      <c r="L989">
        <v>1450</v>
      </c>
      <c r="M989">
        <v>69.196130999999994</v>
      </c>
      <c r="N989">
        <v>3</v>
      </c>
      <c r="O989">
        <v>1</v>
      </c>
      <c r="P989">
        <v>52.503669000000002</v>
      </c>
      <c r="Q989">
        <v>105.007338</v>
      </c>
      <c r="R989">
        <v>150</v>
      </c>
      <c r="S989">
        <v>47.365184999999997</v>
      </c>
      <c r="T989">
        <v>64.935484000000002</v>
      </c>
      <c r="U989">
        <v>94.730369999999994</v>
      </c>
      <c r="V989">
        <v>150</v>
      </c>
      <c r="W989">
        <v>45.037736000000002</v>
      </c>
      <c r="X989">
        <v>90.075472000000005</v>
      </c>
      <c r="Y989">
        <v>150</v>
      </c>
      <c r="Z989">
        <v>57.247312000000001</v>
      </c>
      <c r="AA989">
        <v>39.991110999999997</v>
      </c>
      <c r="AB989">
        <v>79.982221999999993</v>
      </c>
      <c r="AC989">
        <v>150</v>
      </c>
      <c r="AD989">
        <v>53.014128999999997</v>
      </c>
      <c r="AE989">
        <v>70.685505000000006</v>
      </c>
      <c r="AF989">
        <v>100</v>
      </c>
      <c r="AG989">
        <v>47.757053999999997</v>
      </c>
      <c r="AH989">
        <v>65.563275000000004</v>
      </c>
      <c r="AI989">
        <v>63.676071999999998</v>
      </c>
      <c r="AJ989">
        <v>100</v>
      </c>
      <c r="AK989">
        <v>17.57</v>
      </c>
      <c r="AL989">
        <v>17.25</v>
      </c>
      <c r="AM989">
        <v>17.8</v>
      </c>
      <c r="AN989" t="s">
        <v>125</v>
      </c>
      <c r="AO989" t="s">
        <v>125</v>
      </c>
      <c r="AP989" t="s">
        <v>125</v>
      </c>
      <c r="AQ989" t="s">
        <v>125</v>
      </c>
      <c r="AR989" t="s">
        <v>125</v>
      </c>
      <c r="AS989" t="s">
        <v>125</v>
      </c>
      <c r="AT989" t="s">
        <v>125</v>
      </c>
      <c r="AU989" t="s">
        <v>125</v>
      </c>
      <c r="AV989" t="s">
        <v>125</v>
      </c>
      <c r="AW989" t="s">
        <v>125</v>
      </c>
      <c r="AX989" t="s">
        <v>125</v>
      </c>
      <c r="AY989" t="s">
        <v>125</v>
      </c>
      <c r="AZ989" t="s">
        <v>125</v>
      </c>
      <c r="BA989" t="s">
        <v>125</v>
      </c>
      <c r="BB989" t="s">
        <v>125</v>
      </c>
      <c r="BC989" t="s">
        <v>125</v>
      </c>
      <c r="BD989" t="s">
        <v>125</v>
      </c>
      <c r="BE989" t="s">
        <v>125</v>
      </c>
      <c r="BF989" t="s">
        <v>125</v>
      </c>
      <c r="BG989" t="s">
        <v>125</v>
      </c>
      <c r="BH989">
        <v>0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0.14316699999999999</v>
      </c>
      <c r="BS989">
        <v>31.366593999999999</v>
      </c>
      <c r="BT989">
        <v>50</v>
      </c>
      <c r="BU989">
        <v>0.18240999999999999</v>
      </c>
      <c r="BV989">
        <v>23.517914999999999</v>
      </c>
      <c r="BW989">
        <v>50</v>
      </c>
      <c r="BX989">
        <v>0.35682799999999998</v>
      </c>
      <c r="BY989">
        <v>23.788546</v>
      </c>
      <c r="BZ989">
        <v>50</v>
      </c>
      <c r="CA989">
        <v>0.25110100000000002</v>
      </c>
      <c r="CB989">
        <v>16.740088</v>
      </c>
      <c r="CC989">
        <v>50</v>
      </c>
      <c r="CD989">
        <v>0.97479000000000005</v>
      </c>
      <c r="CE989">
        <v>50</v>
      </c>
      <c r="CF989">
        <v>50</v>
      </c>
      <c r="CG989">
        <v>0.91964299999999999</v>
      </c>
      <c r="CH989">
        <v>97.834346999999994</v>
      </c>
      <c r="CI989">
        <v>100</v>
      </c>
      <c r="CJ989">
        <v>0</v>
      </c>
      <c r="CK989">
        <v>0.95522399999999996</v>
      </c>
      <c r="CL989">
        <v>100</v>
      </c>
      <c r="CM989">
        <v>100</v>
      </c>
      <c r="CN989">
        <v>0.72897199999999995</v>
      </c>
      <c r="CO989">
        <v>97.196262000000004</v>
      </c>
      <c r="CP989">
        <v>100</v>
      </c>
      <c r="CQ989">
        <v>0.13114799999999999</v>
      </c>
      <c r="CR989">
        <v>1.06087</v>
      </c>
      <c r="CS989">
        <v>8.743169</v>
      </c>
      <c r="CT989">
        <v>50</v>
      </c>
      <c r="CU989">
        <v>0.99783100000000002</v>
      </c>
      <c r="CV989">
        <v>50</v>
      </c>
      <c r="CW989">
        <v>50</v>
      </c>
      <c r="CX989">
        <v>0.95522399999999996</v>
      </c>
      <c r="CY989">
        <v>0.9375</v>
      </c>
      <c r="CZ989">
        <v>-1.7724E-2</v>
      </c>
      <c r="DA989">
        <v>15.314097</v>
      </c>
      <c r="DB989">
        <v>17.400950000000002</v>
      </c>
      <c r="DC989">
        <v>16.332519999999999</v>
      </c>
      <c r="DD989">
        <v>7.9891730000000001</v>
      </c>
      <c r="DE989">
        <v>1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Q989" t="s">
        <v>126</v>
      </c>
    </row>
    <row r="990" spans="1:121" x14ac:dyDescent="0.15">
      <c r="A990">
        <v>2018</v>
      </c>
      <c r="B990" t="s">
        <v>143</v>
      </c>
      <c r="C990" t="str">
        <f t="shared" si="45"/>
        <v>1510011</v>
      </c>
      <c r="D990" t="s">
        <v>1136</v>
      </c>
      <c r="E990" t="str">
        <f>"1515011"</f>
        <v>1515011</v>
      </c>
      <c r="F990" t="s">
        <v>328</v>
      </c>
      <c r="G990">
        <v>6</v>
      </c>
      <c r="H990">
        <v>8</v>
      </c>
      <c r="I990" t="s">
        <v>336</v>
      </c>
      <c r="J990" t="s">
        <v>331</v>
      </c>
      <c r="K990">
        <v>555.07584699999995</v>
      </c>
      <c r="L990">
        <v>900</v>
      </c>
      <c r="M990">
        <v>61.675094000000001</v>
      </c>
      <c r="N990">
        <v>3</v>
      </c>
      <c r="O990">
        <v>0</v>
      </c>
      <c r="P990">
        <v>62.809207999999998</v>
      </c>
      <c r="Q990">
        <v>41.872805</v>
      </c>
      <c r="R990">
        <v>50</v>
      </c>
      <c r="S990">
        <v>58.222661000000002</v>
      </c>
      <c r="T990">
        <v>72.379212999999993</v>
      </c>
      <c r="U990">
        <v>38.815106999999998</v>
      </c>
      <c r="V990">
        <v>50</v>
      </c>
      <c r="W990">
        <v>54.732103000000002</v>
      </c>
      <c r="X990">
        <v>36.488069000000003</v>
      </c>
      <c r="Y990">
        <v>50</v>
      </c>
      <c r="Z990">
        <v>62.850810000000003</v>
      </c>
      <c r="AA990">
        <v>50.84111</v>
      </c>
      <c r="AB990">
        <v>33.894072999999999</v>
      </c>
      <c r="AC990">
        <v>50</v>
      </c>
      <c r="AD990">
        <v>54.859113000000001</v>
      </c>
      <c r="AE990">
        <v>36.572741999999998</v>
      </c>
      <c r="AF990">
        <v>50</v>
      </c>
      <c r="AG990">
        <v>51.278360999999997</v>
      </c>
      <c r="AH990">
        <v>61.722222000000002</v>
      </c>
      <c r="AI990">
        <v>34.185574000000003</v>
      </c>
      <c r="AJ990">
        <v>50</v>
      </c>
      <c r="AK990">
        <v>14.15</v>
      </c>
      <c r="AL990">
        <v>12</v>
      </c>
      <c r="AM990">
        <v>10.44</v>
      </c>
      <c r="AN990">
        <v>0.44312800000000002</v>
      </c>
      <c r="AO990">
        <v>44.312842000000003</v>
      </c>
      <c r="AP990">
        <v>100</v>
      </c>
      <c r="AQ990">
        <v>0.38081100000000001</v>
      </c>
      <c r="AR990">
        <v>38.081060999999998</v>
      </c>
      <c r="AS990">
        <v>100</v>
      </c>
      <c r="AT990">
        <v>0.41256300000000001</v>
      </c>
      <c r="AU990">
        <v>0.50950799999999996</v>
      </c>
      <c r="AV990">
        <v>41.256315999999998</v>
      </c>
      <c r="AW990">
        <v>100</v>
      </c>
      <c r="AX990">
        <v>0.40015899999999999</v>
      </c>
      <c r="AY990">
        <v>0.33879199999999998</v>
      </c>
      <c r="AZ990">
        <v>40.015861999999998</v>
      </c>
      <c r="BA990">
        <v>100</v>
      </c>
      <c r="BB990" t="s">
        <v>125</v>
      </c>
      <c r="BC990" t="s">
        <v>125</v>
      </c>
      <c r="BD990" t="s">
        <v>125</v>
      </c>
      <c r="BE990" t="s">
        <v>125</v>
      </c>
      <c r="BF990" t="s">
        <v>125</v>
      </c>
      <c r="BG990" t="s">
        <v>125</v>
      </c>
      <c r="BH990">
        <v>0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5.4053999999999998E-2</v>
      </c>
      <c r="BS990">
        <v>49.189188999999999</v>
      </c>
      <c r="BT990">
        <v>50</v>
      </c>
      <c r="BU990">
        <v>7.5893000000000002E-2</v>
      </c>
      <c r="BV990">
        <v>44.821429000000002</v>
      </c>
      <c r="BW990">
        <v>50</v>
      </c>
      <c r="BX990" t="s">
        <v>125</v>
      </c>
      <c r="BY990" t="s">
        <v>125</v>
      </c>
      <c r="BZ990" t="s">
        <v>125</v>
      </c>
      <c r="CA990" t="s">
        <v>125</v>
      </c>
      <c r="CB990" t="s">
        <v>125</v>
      </c>
      <c r="CC990" t="s">
        <v>125</v>
      </c>
      <c r="CD990">
        <v>0.98039200000000004</v>
      </c>
      <c r="CE990">
        <v>50</v>
      </c>
      <c r="CF990">
        <v>50</v>
      </c>
      <c r="CG990" t="s">
        <v>125</v>
      </c>
      <c r="CH990" t="s">
        <v>125</v>
      </c>
      <c r="CI990" t="s">
        <v>125</v>
      </c>
      <c r="CJ990" t="s">
        <v>125</v>
      </c>
      <c r="CK990" t="s">
        <v>125</v>
      </c>
      <c r="CL990" t="s">
        <v>125</v>
      </c>
      <c r="CM990" t="s">
        <v>125</v>
      </c>
      <c r="CN990" t="s">
        <v>125</v>
      </c>
      <c r="CO990" t="s">
        <v>125</v>
      </c>
      <c r="CP990" t="s">
        <v>125</v>
      </c>
      <c r="CQ990">
        <v>0.38356200000000001</v>
      </c>
      <c r="CR990">
        <v>0.98648599999999997</v>
      </c>
      <c r="CS990">
        <v>25.570775999999999</v>
      </c>
      <c r="CT990">
        <v>50</v>
      </c>
      <c r="CU990" t="s">
        <v>125</v>
      </c>
      <c r="CV990" t="s">
        <v>125</v>
      </c>
      <c r="CW990" t="s">
        <v>125</v>
      </c>
      <c r="CX990" t="s">
        <v>125</v>
      </c>
      <c r="CY990" t="s">
        <v>125</v>
      </c>
      <c r="CZ990" t="s">
        <v>125</v>
      </c>
      <c r="DA990">
        <v>15.314097</v>
      </c>
      <c r="DB990">
        <v>17.400950000000002</v>
      </c>
      <c r="DC990">
        <v>16.332519999999999</v>
      </c>
      <c r="DD990" t="s">
        <v>125</v>
      </c>
      <c r="DE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Q990" t="s">
        <v>126</v>
      </c>
    </row>
    <row r="991" spans="1:121" x14ac:dyDescent="0.15">
      <c r="A991">
        <v>2018</v>
      </c>
      <c r="B991" t="s">
        <v>143</v>
      </c>
      <c r="C991" t="str">
        <f t="shared" si="45"/>
        <v>1510011</v>
      </c>
      <c r="D991" t="s">
        <v>1137</v>
      </c>
      <c r="E991" t="str">
        <f>"1516711"</f>
        <v>1516711</v>
      </c>
      <c r="F991" t="s">
        <v>328</v>
      </c>
      <c r="G991" t="s">
        <v>329</v>
      </c>
      <c r="H991">
        <v>12</v>
      </c>
      <c r="I991" t="s">
        <v>336</v>
      </c>
      <c r="J991" t="s">
        <v>331</v>
      </c>
      <c r="K991">
        <v>1052.3517019999999</v>
      </c>
      <c r="L991">
        <v>1450</v>
      </c>
      <c r="M991">
        <v>72.575979000000004</v>
      </c>
      <c r="N991">
        <v>2</v>
      </c>
      <c r="O991">
        <v>0</v>
      </c>
      <c r="P991">
        <v>53.380389000000001</v>
      </c>
      <c r="Q991">
        <v>106.760777</v>
      </c>
      <c r="R991">
        <v>150</v>
      </c>
      <c r="S991">
        <v>52.756630999999999</v>
      </c>
      <c r="T991">
        <v>56.833333000000003</v>
      </c>
      <c r="U991">
        <v>105.513262</v>
      </c>
      <c r="V991">
        <v>150</v>
      </c>
      <c r="W991">
        <v>49.279598999999997</v>
      </c>
      <c r="X991">
        <v>98.559199000000007</v>
      </c>
      <c r="Y991">
        <v>150</v>
      </c>
      <c r="Z991">
        <v>55.458333000000003</v>
      </c>
      <c r="AA991">
        <v>48.163440999999999</v>
      </c>
      <c r="AB991">
        <v>96.326881999999998</v>
      </c>
      <c r="AC991">
        <v>150</v>
      </c>
      <c r="AD991">
        <v>53.712164000000001</v>
      </c>
      <c r="AE991">
        <v>71.616219000000001</v>
      </c>
      <c r="AF991">
        <v>100</v>
      </c>
      <c r="AG991">
        <v>53.293914999999998</v>
      </c>
      <c r="AH991">
        <v>56.027473000000001</v>
      </c>
      <c r="AI991">
        <v>71.058553000000003</v>
      </c>
      <c r="AJ991">
        <v>100</v>
      </c>
      <c r="AK991">
        <v>4.07</v>
      </c>
      <c r="AL991">
        <v>7.29</v>
      </c>
      <c r="AM991">
        <v>2.73</v>
      </c>
      <c r="AN991" t="s">
        <v>125</v>
      </c>
      <c r="AO991" t="s">
        <v>125</v>
      </c>
      <c r="AP991" t="s">
        <v>125</v>
      </c>
      <c r="AQ991" t="s">
        <v>125</v>
      </c>
      <c r="AR991" t="s">
        <v>125</v>
      </c>
      <c r="AS991" t="s">
        <v>125</v>
      </c>
      <c r="AT991" t="s">
        <v>125</v>
      </c>
      <c r="AU991" t="s">
        <v>125</v>
      </c>
      <c r="AV991" t="s">
        <v>125</v>
      </c>
      <c r="AW991" t="s">
        <v>125</v>
      </c>
      <c r="AX991" t="s">
        <v>125</v>
      </c>
      <c r="AY991" t="s">
        <v>125</v>
      </c>
      <c r="AZ991" t="s">
        <v>125</v>
      </c>
      <c r="BA991" t="s">
        <v>125</v>
      </c>
      <c r="BB991">
        <v>0.42812699999999998</v>
      </c>
      <c r="BC991">
        <v>21.406338999999999</v>
      </c>
      <c r="BD991">
        <v>50</v>
      </c>
      <c r="BE991">
        <v>0.65073800000000004</v>
      </c>
      <c r="BF991">
        <v>32.536921</v>
      </c>
      <c r="BG991">
        <v>50</v>
      </c>
      <c r="BH991">
        <v>0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5.3030000000000001E-2</v>
      </c>
      <c r="BS991">
        <v>49.393939000000003</v>
      </c>
      <c r="BT991">
        <v>50</v>
      </c>
      <c r="BU991">
        <v>6.2121000000000003E-2</v>
      </c>
      <c r="BV991">
        <v>47.575758</v>
      </c>
      <c r="BW991">
        <v>50</v>
      </c>
      <c r="BX991">
        <v>0.92620899999999995</v>
      </c>
      <c r="BY991">
        <v>50</v>
      </c>
      <c r="BZ991">
        <v>50</v>
      </c>
      <c r="CA991">
        <v>0.24681900000000001</v>
      </c>
      <c r="CB991">
        <v>16.454623000000002</v>
      </c>
      <c r="CC991">
        <v>50</v>
      </c>
      <c r="CD991">
        <v>0.98499999999999999</v>
      </c>
      <c r="CE991">
        <v>50</v>
      </c>
      <c r="CF991">
        <v>50</v>
      </c>
      <c r="CG991">
        <v>0.96460199999999996</v>
      </c>
      <c r="CH991">
        <v>100</v>
      </c>
      <c r="CI991">
        <v>100</v>
      </c>
      <c r="CJ991" t="s">
        <v>125</v>
      </c>
      <c r="CK991" t="s">
        <v>125</v>
      </c>
      <c r="CL991" t="s">
        <v>125</v>
      </c>
      <c r="CM991" t="s">
        <v>125</v>
      </c>
      <c r="CN991">
        <v>0.84862400000000004</v>
      </c>
      <c r="CO991">
        <v>100</v>
      </c>
      <c r="CP991">
        <v>100</v>
      </c>
      <c r="CQ991">
        <v>0.35678399999999999</v>
      </c>
      <c r="CR991">
        <v>1</v>
      </c>
      <c r="CS991">
        <v>23.785595000000001</v>
      </c>
      <c r="CT991">
        <v>50</v>
      </c>
      <c r="CU991">
        <v>0.13636400000000001</v>
      </c>
      <c r="CV991">
        <v>11.363636</v>
      </c>
      <c r="CW991">
        <v>50</v>
      </c>
      <c r="CX991" t="s">
        <v>125</v>
      </c>
      <c r="CY991" t="s">
        <v>125</v>
      </c>
      <c r="CZ991" t="s">
        <v>125</v>
      </c>
      <c r="DA991">
        <v>15.314097</v>
      </c>
      <c r="DB991">
        <v>17.400950000000002</v>
      </c>
      <c r="DC991">
        <v>16.332519999999999</v>
      </c>
      <c r="DD991" t="s">
        <v>125</v>
      </c>
      <c r="DE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Q991" t="s">
        <v>126</v>
      </c>
    </row>
    <row r="992" spans="1:121" x14ac:dyDescent="0.15">
      <c r="A992">
        <v>2018</v>
      </c>
      <c r="B992" t="s">
        <v>143</v>
      </c>
      <c r="C992" t="str">
        <f t="shared" si="45"/>
        <v>1510011</v>
      </c>
      <c r="D992" t="s">
        <v>1138</v>
      </c>
      <c r="E992" t="str">
        <f>"1510811"</f>
        <v>1510811</v>
      </c>
      <c r="F992" t="s">
        <v>328</v>
      </c>
      <c r="G992" t="s">
        <v>329</v>
      </c>
      <c r="H992">
        <v>5</v>
      </c>
      <c r="I992" t="s">
        <v>336</v>
      </c>
      <c r="J992" t="s">
        <v>331</v>
      </c>
      <c r="K992">
        <v>682.59184100000004</v>
      </c>
      <c r="L992">
        <v>950</v>
      </c>
      <c r="M992">
        <v>71.851772999999994</v>
      </c>
      <c r="N992">
        <v>2</v>
      </c>
      <c r="O992">
        <v>0</v>
      </c>
      <c r="P992">
        <v>64.795513</v>
      </c>
      <c r="Q992">
        <v>43.197009000000001</v>
      </c>
      <c r="R992">
        <v>50</v>
      </c>
      <c r="S992">
        <v>63.408794</v>
      </c>
      <c r="T992" t="s">
        <v>125</v>
      </c>
      <c r="U992">
        <v>42.272530000000003</v>
      </c>
      <c r="V992">
        <v>50</v>
      </c>
      <c r="W992">
        <v>61.871948000000003</v>
      </c>
      <c r="X992">
        <v>41.247965000000001</v>
      </c>
      <c r="Y992">
        <v>50</v>
      </c>
      <c r="Z992" t="s">
        <v>125</v>
      </c>
      <c r="AA992">
        <v>60.412112999999998</v>
      </c>
      <c r="AB992">
        <v>40.274742000000003</v>
      </c>
      <c r="AC992">
        <v>50</v>
      </c>
      <c r="AD992">
        <v>60.584355000000002</v>
      </c>
      <c r="AE992">
        <v>40.389569999999999</v>
      </c>
      <c r="AF992">
        <v>50</v>
      </c>
      <c r="AG992">
        <v>59.313600000000001</v>
      </c>
      <c r="AH992" t="s">
        <v>125</v>
      </c>
      <c r="AI992">
        <v>39.542400000000001</v>
      </c>
      <c r="AJ992">
        <v>50</v>
      </c>
      <c r="AK992" t="s">
        <v>125</v>
      </c>
      <c r="AL992" t="s">
        <v>125</v>
      </c>
      <c r="AM992" t="s">
        <v>125</v>
      </c>
      <c r="AN992">
        <v>0.48728300000000002</v>
      </c>
      <c r="AO992">
        <v>48.728316999999997</v>
      </c>
      <c r="AP992">
        <v>100</v>
      </c>
      <c r="AQ992">
        <v>0.67686500000000005</v>
      </c>
      <c r="AR992">
        <v>67.686525000000003</v>
      </c>
      <c r="AS992">
        <v>100</v>
      </c>
      <c r="AT992">
        <v>0.49338300000000002</v>
      </c>
      <c r="AU992" t="s">
        <v>125</v>
      </c>
      <c r="AV992">
        <v>49.338262999999998</v>
      </c>
      <c r="AW992">
        <v>100</v>
      </c>
      <c r="AX992">
        <v>0.65359</v>
      </c>
      <c r="AY992" t="s">
        <v>125</v>
      </c>
      <c r="AZ992">
        <v>65.359039999999993</v>
      </c>
      <c r="BA992">
        <v>100</v>
      </c>
      <c r="BB992">
        <v>0.64693599999999996</v>
      </c>
      <c r="BC992">
        <v>32.346778</v>
      </c>
      <c r="BD992">
        <v>50</v>
      </c>
      <c r="BE992">
        <v>0.54169400000000001</v>
      </c>
      <c r="BF992">
        <v>27.084699000000001</v>
      </c>
      <c r="BG992">
        <v>50</v>
      </c>
      <c r="BH992">
        <v>0</v>
      </c>
      <c r="BI992">
        <v>1</v>
      </c>
      <c r="BJ992">
        <v>1</v>
      </c>
      <c r="BK992" t="s">
        <v>125</v>
      </c>
      <c r="BL992">
        <v>1</v>
      </c>
      <c r="BM992">
        <v>1</v>
      </c>
      <c r="BN992" t="s">
        <v>125</v>
      </c>
      <c r="BO992">
        <v>1</v>
      </c>
      <c r="BP992">
        <v>1</v>
      </c>
      <c r="BQ992" t="s">
        <v>125</v>
      </c>
      <c r="BR992">
        <v>5.9603000000000003E-2</v>
      </c>
      <c r="BS992">
        <v>48.079470000000001</v>
      </c>
      <c r="BT992">
        <v>50</v>
      </c>
      <c r="BU992">
        <v>6.4777000000000001E-2</v>
      </c>
      <c r="BV992">
        <v>47.044533999999999</v>
      </c>
      <c r="BW992">
        <v>50</v>
      </c>
      <c r="BX992" t="s">
        <v>125</v>
      </c>
      <c r="BY992" t="s">
        <v>125</v>
      </c>
      <c r="BZ992" t="s">
        <v>125</v>
      </c>
      <c r="CA992" t="s">
        <v>125</v>
      </c>
      <c r="CB992" t="s">
        <v>125</v>
      </c>
      <c r="CC992" t="s">
        <v>125</v>
      </c>
      <c r="CD992" t="s">
        <v>125</v>
      </c>
      <c r="CE992" t="s">
        <v>125</v>
      </c>
      <c r="CF992" t="s">
        <v>125</v>
      </c>
      <c r="CG992" t="s">
        <v>125</v>
      </c>
      <c r="CH992" t="s">
        <v>125</v>
      </c>
      <c r="CI992" t="s">
        <v>125</v>
      </c>
      <c r="CJ992" t="s">
        <v>125</v>
      </c>
      <c r="CK992" t="s">
        <v>125</v>
      </c>
      <c r="CL992" t="s">
        <v>125</v>
      </c>
      <c r="CM992" t="s">
        <v>125</v>
      </c>
      <c r="CN992" t="s">
        <v>125</v>
      </c>
      <c r="CO992" t="s">
        <v>125</v>
      </c>
      <c r="CP992" t="s">
        <v>125</v>
      </c>
      <c r="CQ992">
        <v>0.9</v>
      </c>
      <c r="CR992">
        <v>0.98039200000000004</v>
      </c>
      <c r="CS992">
        <v>50</v>
      </c>
      <c r="CT992">
        <v>50</v>
      </c>
      <c r="CU992" t="s">
        <v>125</v>
      </c>
      <c r="CV992" t="s">
        <v>125</v>
      </c>
      <c r="CW992" t="s">
        <v>125</v>
      </c>
      <c r="CX992" t="s">
        <v>125</v>
      </c>
      <c r="CY992" t="s">
        <v>125</v>
      </c>
      <c r="CZ992" t="s">
        <v>125</v>
      </c>
      <c r="DA992">
        <v>15.314097</v>
      </c>
      <c r="DB992">
        <v>17.400950000000002</v>
      </c>
      <c r="DC992">
        <v>16.332519999999999</v>
      </c>
      <c r="DD992" t="s">
        <v>125</v>
      </c>
      <c r="DE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Q992" t="s">
        <v>126</v>
      </c>
    </row>
    <row r="993" spans="1:121" x14ac:dyDescent="0.15">
      <c r="A993">
        <v>2018</v>
      </c>
      <c r="B993" t="s">
        <v>143</v>
      </c>
      <c r="C993" t="str">
        <f t="shared" si="45"/>
        <v>1510011</v>
      </c>
      <c r="D993" t="s">
        <v>634</v>
      </c>
      <c r="E993" t="str">
        <f>"1515211"</f>
        <v>1515211</v>
      </c>
      <c r="F993" t="s">
        <v>328</v>
      </c>
      <c r="G993">
        <v>6</v>
      </c>
      <c r="H993">
        <v>8</v>
      </c>
      <c r="I993" t="s">
        <v>336</v>
      </c>
      <c r="J993" t="s">
        <v>331</v>
      </c>
      <c r="K993">
        <v>546.56451900000002</v>
      </c>
      <c r="L993">
        <v>1000</v>
      </c>
      <c r="M993">
        <v>54.656452000000002</v>
      </c>
      <c r="N993">
        <v>5</v>
      </c>
      <c r="O993">
        <v>0</v>
      </c>
      <c r="P993">
        <v>53.729292000000001</v>
      </c>
      <c r="Q993">
        <v>35.819527999999998</v>
      </c>
      <c r="R993">
        <v>50</v>
      </c>
      <c r="S993">
        <v>52.402231999999998</v>
      </c>
      <c r="T993">
        <v>65.956140000000005</v>
      </c>
      <c r="U993">
        <v>34.934820999999999</v>
      </c>
      <c r="V993">
        <v>50</v>
      </c>
      <c r="W993">
        <v>41.965926000000003</v>
      </c>
      <c r="X993">
        <v>27.977284000000001</v>
      </c>
      <c r="Y993">
        <v>50</v>
      </c>
      <c r="Z993">
        <v>54.089635999999999</v>
      </c>
      <c r="AA993">
        <v>40.645228000000003</v>
      </c>
      <c r="AB993">
        <v>27.096819</v>
      </c>
      <c r="AC993">
        <v>50</v>
      </c>
      <c r="AD993">
        <v>48.062209000000003</v>
      </c>
      <c r="AE993">
        <v>32.041473000000003</v>
      </c>
      <c r="AF993">
        <v>50</v>
      </c>
      <c r="AG993">
        <v>47.325381999999998</v>
      </c>
      <c r="AH993">
        <v>54.595402</v>
      </c>
      <c r="AI993">
        <v>31.550255</v>
      </c>
      <c r="AJ993">
        <v>50</v>
      </c>
      <c r="AK993">
        <v>13.55</v>
      </c>
      <c r="AL993">
        <v>13.44</v>
      </c>
      <c r="AM993">
        <v>7.27</v>
      </c>
      <c r="AN993">
        <v>0.58727600000000002</v>
      </c>
      <c r="AO993">
        <v>58.727639000000003</v>
      </c>
      <c r="AP993">
        <v>100</v>
      </c>
      <c r="AQ993">
        <v>0.35498099999999999</v>
      </c>
      <c r="AR993">
        <v>35.498111999999999</v>
      </c>
      <c r="AS993">
        <v>100</v>
      </c>
      <c r="AT993">
        <v>0.58235400000000004</v>
      </c>
      <c r="AU993">
        <v>0.63844800000000002</v>
      </c>
      <c r="AV993">
        <v>58.235357999999998</v>
      </c>
      <c r="AW993">
        <v>100</v>
      </c>
      <c r="AX993">
        <v>0.34842400000000001</v>
      </c>
      <c r="AY993">
        <v>0.42288500000000001</v>
      </c>
      <c r="AZ993">
        <v>34.842365999999998</v>
      </c>
      <c r="BA993">
        <v>100</v>
      </c>
      <c r="BB993">
        <v>0.49958399999999997</v>
      </c>
      <c r="BC993">
        <v>24.979187</v>
      </c>
      <c r="BD993">
        <v>50</v>
      </c>
      <c r="BE993">
        <v>0.477302</v>
      </c>
      <c r="BF993">
        <v>23.865091</v>
      </c>
      <c r="BG993">
        <v>50</v>
      </c>
      <c r="BH993">
        <v>0</v>
      </c>
      <c r="BI993">
        <v>0.99597199999999997</v>
      </c>
      <c r="BJ993">
        <v>0.99552099999999999</v>
      </c>
      <c r="BK993">
        <v>1</v>
      </c>
      <c r="BL993">
        <v>0.99594700000000003</v>
      </c>
      <c r="BM993">
        <v>0.99549500000000002</v>
      </c>
      <c r="BN993">
        <v>1</v>
      </c>
      <c r="BO993">
        <v>0.99392100000000005</v>
      </c>
      <c r="BP993">
        <v>0.993174</v>
      </c>
      <c r="BQ993">
        <v>1</v>
      </c>
      <c r="BR993">
        <v>0.17617099999999999</v>
      </c>
      <c r="BS993">
        <v>24.765784</v>
      </c>
      <c r="BT993">
        <v>50</v>
      </c>
      <c r="BU993">
        <v>0.18459800000000001</v>
      </c>
      <c r="BV993">
        <v>23.080407999999998</v>
      </c>
      <c r="BW993">
        <v>50</v>
      </c>
      <c r="BX993" t="s">
        <v>125</v>
      </c>
      <c r="BY993" t="s">
        <v>125</v>
      </c>
      <c r="BZ993" t="s">
        <v>125</v>
      </c>
      <c r="CA993" t="s">
        <v>125</v>
      </c>
      <c r="CB993" t="s">
        <v>125</v>
      </c>
      <c r="CC993" t="s">
        <v>125</v>
      </c>
      <c r="CD993">
        <v>0.81911299999999998</v>
      </c>
      <c r="CE993">
        <v>43.569820999999997</v>
      </c>
      <c r="CF993">
        <v>50</v>
      </c>
      <c r="CG993" t="s">
        <v>125</v>
      </c>
      <c r="CH993" t="s">
        <v>125</v>
      </c>
      <c r="CI993" t="s">
        <v>125</v>
      </c>
      <c r="CJ993" t="s">
        <v>125</v>
      </c>
      <c r="CK993" t="s">
        <v>125</v>
      </c>
      <c r="CL993" t="s">
        <v>125</v>
      </c>
      <c r="CM993" t="s">
        <v>125</v>
      </c>
      <c r="CN993" t="s">
        <v>125</v>
      </c>
      <c r="CO993" t="s">
        <v>125</v>
      </c>
      <c r="CP993" t="s">
        <v>125</v>
      </c>
      <c r="CQ993">
        <v>0.44370900000000002</v>
      </c>
      <c r="CR993">
        <v>1.1086640000000001</v>
      </c>
      <c r="CS993">
        <v>29.580573999999999</v>
      </c>
      <c r="CT993">
        <v>50</v>
      </c>
      <c r="CU993" t="s">
        <v>125</v>
      </c>
      <c r="CV993" t="s">
        <v>125</v>
      </c>
      <c r="CW993" t="s">
        <v>125</v>
      </c>
      <c r="CX993" t="s">
        <v>125</v>
      </c>
      <c r="CY993" t="s">
        <v>125</v>
      </c>
      <c r="CZ993" t="s">
        <v>125</v>
      </c>
      <c r="DA993">
        <v>15.314097</v>
      </c>
      <c r="DB993">
        <v>17.400950000000002</v>
      </c>
      <c r="DC993">
        <v>16.332519999999999</v>
      </c>
      <c r="DD993" t="s">
        <v>125</v>
      </c>
      <c r="DE993">
        <v>0</v>
      </c>
      <c r="DF993" t="s">
        <v>376</v>
      </c>
      <c r="DG993" t="s">
        <v>377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Q993" t="s">
        <v>126</v>
      </c>
    </row>
    <row r="994" spans="1:121" x14ac:dyDescent="0.15">
      <c r="A994">
        <v>2018</v>
      </c>
      <c r="B994" t="s">
        <v>143</v>
      </c>
      <c r="C994" t="str">
        <f t="shared" si="45"/>
        <v>1510011</v>
      </c>
      <c r="D994" t="s">
        <v>1139</v>
      </c>
      <c r="E994" t="str">
        <f>"1516311"</f>
        <v>1516311</v>
      </c>
      <c r="F994" t="s">
        <v>328</v>
      </c>
      <c r="G994">
        <v>9</v>
      </c>
      <c r="H994">
        <v>12</v>
      </c>
      <c r="I994" t="s">
        <v>336</v>
      </c>
      <c r="J994" t="s">
        <v>331</v>
      </c>
      <c r="K994">
        <v>771.09048800000005</v>
      </c>
      <c r="L994">
        <v>1550</v>
      </c>
      <c r="M994">
        <v>49.747773000000002</v>
      </c>
      <c r="N994">
        <v>5</v>
      </c>
      <c r="O994">
        <v>0</v>
      </c>
      <c r="P994">
        <v>38.25</v>
      </c>
      <c r="Q994">
        <v>76.5</v>
      </c>
      <c r="R994">
        <v>150</v>
      </c>
      <c r="S994">
        <v>37.821362999999998</v>
      </c>
      <c r="T994" t="s">
        <v>125</v>
      </c>
      <c r="U994">
        <v>75.642725999999996</v>
      </c>
      <c r="V994">
        <v>150</v>
      </c>
      <c r="W994">
        <v>32.419753</v>
      </c>
      <c r="X994">
        <v>64.839506</v>
      </c>
      <c r="Y994">
        <v>150</v>
      </c>
      <c r="Z994" t="s">
        <v>125</v>
      </c>
      <c r="AA994">
        <v>32.122160999999998</v>
      </c>
      <c r="AB994">
        <v>64.244321999999997</v>
      </c>
      <c r="AC994">
        <v>150</v>
      </c>
      <c r="AD994">
        <v>38.231121000000002</v>
      </c>
      <c r="AE994">
        <v>50.974829</v>
      </c>
      <c r="AF994">
        <v>100</v>
      </c>
      <c r="AG994">
        <v>37.779682999999999</v>
      </c>
      <c r="AH994" t="s">
        <v>125</v>
      </c>
      <c r="AI994">
        <v>50.372909999999997</v>
      </c>
      <c r="AJ994">
        <v>100</v>
      </c>
      <c r="AK994" t="s">
        <v>125</v>
      </c>
      <c r="AL994" t="s">
        <v>125</v>
      </c>
      <c r="AM994" t="s">
        <v>125</v>
      </c>
      <c r="AN994" t="s">
        <v>125</v>
      </c>
      <c r="AO994" t="s">
        <v>125</v>
      </c>
      <c r="AP994" t="s">
        <v>125</v>
      </c>
      <c r="AQ994" t="s">
        <v>125</v>
      </c>
      <c r="AR994" t="s">
        <v>125</v>
      </c>
      <c r="AS994" t="s">
        <v>125</v>
      </c>
      <c r="AT994" t="s">
        <v>125</v>
      </c>
      <c r="AU994" t="s">
        <v>125</v>
      </c>
      <c r="AV994" t="s">
        <v>125</v>
      </c>
      <c r="AW994" t="s">
        <v>125</v>
      </c>
      <c r="AX994" t="s">
        <v>125</v>
      </c>
      <c r="AY994" t="s">
        <v>125</v>
      </c>
      <c r="AZ994" t="s">
        <v>125</v>
      </c>
      <c r="BA994" t="s">
        <v>125</v>
      </c>
      <c r="BB994">
        <v>0.41834300000000002</v>
      </c>
      <c r="BC994">
        <v>20.917141000000001</v>
      </c>
      <c r="BD994">
        <v>50</v>
      </c>
      <c r="BE994">
        <v>0.38743699999999998</v>
      </c>
      <c r="BF994">
        <v>19.371839000000001</v>
      </c>
      <c r="BG994">
        <v>50</v>
      </c>
      <c r="BH994">
        <v>1</v>
      </c>
      <c r="BI994">
        <v>0.94537800000000005</v>
      </c>
      <c r="BJ994">
        <v>0.940639</v>
      </c>
      <c r="BK994" t="s">
        <v>125</v>
      </c>
      <c r="BL994">
        <v>0.94537800000000005</v>
      </c>
      <c r="BM994">
        <v>0.940639</v>
      </c>
      <c r="BN994" t="s">
        <v>125</v>
      </c>
      <c r="BO994">
        <v>0.97107399999999999</v>
      </c>
      <c r="BP994">
        <v>0.96860999999999997</v>
      </c>
      <c r="BQ994" t="s">
        <v>125</v>
      </c>
      <c r="BR994">
        <v>0.29689100000000002</v>
      </c>
      <c r="BS994">
        <v>0.62186600000000003</v>
      </c>
      <c r="BT994">
        <v>50</v>
      </c>
      <c r="BU994">
        <v>0.309471</v>
      </c>
      <c r="BV994">
        <v>0</v>
      </c>
      <c r="BW994">
        <v>50</v>
      </c>
      <c r="BX994">
        <v>0.54488499999999995</v>
      </c>
      <c r="BY994">
        <v>36.325678000000003</v>
      </c>
      <c r="BZ994">
        <v>50</v>
      </c>
      <c r="CA994">
        <v>4.3840999999999998E-2</v>
      </c>
      <c r="CB994">
        <v>2.9227560000000001</v>
      </c>
      <c r="CC994">
        <v>50</v>
      </c>
      <c r="CD994">
        <v>0.67984199999999995</v>
      </c>
      <c r="CE994">
        <v>36.161802999999999</v>
      </c>
      <c r="CF994">
        <v>50</v>
      </c>
      <c r="CG994">
        <v>0.71133999999999997</v>
      </c>
      <c r="CH994">
        <v>75.674490000000006</v>
      </c>
      <c r="CI994">
        <v>100</v>
      </c>
      <c r="CJ994">
        <v>0</v>
      </c>
      <c r="CK994">
        <v>0.81569999999999998</v>
      </c>
      <c r="CL994">
        <v>86.776559000000006</v>
      </c>
      <c r="CM994">
        <v>100</v>
      </c>
      <c r="CN994">
        <v>0.53917099999999996</v>
      </c>
      <c r="CO994">
        <v>71.889401000000007</v>
      </c>
      <c r="CP994">
        <v>100</v>
      </c>
      <c r="CQ994">
        <v>0.116466</v>
      </c>
      <c r="CR994">
        <v>0.93258399999999997</v>
      </c>
      <c r="CS994">
        <v>7.7643909999999998</v>
      </c>
      <c r="CT994">
        <v>50</v>
      </c>
      <c r="CU994">
        <v>0.36108299999999999</v>
      </c>
      <c r="CV994">
        <v>30.090271000000001</v>
      </c>
      <c r="CW994">
        <v>50</v>
      </c>
      <c r="CX994">
        <v>0.81569999999999998</v>
      </c>
      <c r="CY994">
        <v>0.868421</v>
      </c>
      <c r="CZ994">
        <v>5.2720999999999997E-2</v>
      </c>
      <c r="DA994">
        <v>15.314097</v>
      </c>
      <c r="DB994">
        <v>17.400950000000002</v>
      </c>
      <c r="DC994">
        <v>16.332519999999999</v>
      </c>
      <c r="DD994">
        <v>7.9891730000000001</v>
      </c>
      <c r="DE994">
        <v>1</v>
      </c>
      <c r="DF994" t="s">
        <v>376</v>
      </c>
      <c r="DG994" t="s">
        <v>377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Q994" t="s">
        <v>126</v>
      </c>
    </row>
    <row r="995" spans="1:121" x14ac:dyDescent="0.15">
      <c r="A995">
        <v>2018</v>
      </c>
      <c r="B995" t="s">
        <v>143</v>
      </c>
      <c r="C995" t="str">
        <f t="shared" si="45"/>
        <v>1510011</v>
      </c>
      <c r="D995" t="s">
        <v>1140</v>
      </c>
      <c r="E995" t="str">
        <f>"1513211"</f>
        <v>1513211</v>
      </c>
      <c r="F995" t="s">
        <v>328</v>
      </c>
      <c r="G995" t="s">
        <v>329</v>
      </c>
      <c r="H995">
        <v>5</v>
      </c>
      <c r="I995" t="s">
        <v>336</v>
      </c>
      <c r="J995" t="s">
        <v>331</v>
      </c>
      <c r="K995">
        <v>611.32983000000002</v>
      </c>
      <c r="L995">
        <v>950</v>
      </c>
      <c r="M995">
        <v>64.350508000000005</v>
      </c>
      <c r="N995">
        <v>3</v>
      </c>
      <c r="O995">
        <v>0</v>
      </c>
      <c r="P995">
        <v>54.717899000000003</v>
      </c>
      <c r="Q995">
        <v>36.4786</v>
      </c>
      <c r="R995">
        <v>50</v>
      </c>
      <c r="S995">
        <v>54.678671000000001</v>
      </c>
      <c r="T995" t="s">
        <v>125</v>
      </c>
      <c r="U995">
        <v>36.452447999999997</v>
      </c>
      <c r="V995">
        <v>50</v>
      </c>
      <c r="W995">
        <v>52.215947999999997</v>
      </c>
      <c r="X995">
        <v>34.810631999999998</v>
      </c>
      <c r="Y995">
        <v>50</v>
      </c>
      <c r="Z995" t="s">
        <v>125</v>
      </c>
      <c r="AA995">
        <v>52.205632000000001</v>
      </c>
      <c r="AB995">
        <v>34.803755000000002</v>
      </c>
      <c r="AC995">
        <v>50</v>
      </c>
      <c r="AD995">
        <v>58.189964000000003</v>
      </c>
      <c r="AE995">
        <v>38.793309000000001</v>
      </c>
      <c r="AF995">
        <v>50</v>
      </c>
      <c r="AG995">
        <v>58.189964000000003</v>
      </c>
      <c r="AH995" t="s">
        <v>125</v>
      </c>
      <c r="AI995">
        <v>38.793309000000001</v>
      </c>
      <c r="AJ995">
        <v>50</v>
      </c>
      <c r="AK995" t="s">
        <v>125</v>
      </c>
      <c r="AL995" t="s">
        <v>125</v>
      </c>
      <c r="AM995" t="s">
        <v>125</v>
      </c>
      <c r="AN995">
        <v>0.62857600000000002</v>
      </c>
      <c r="AO995">
        <v>62.857554999999998</v>
      </c>
      <c r="AP995">
        <v>100</v>
      </c>
      <c r="AQ995">
        <v>0.58059700000000003</v>
      </c>
      <c r="AR995">
        <v>58.059697999999997</v>
      </c>
      <c r="AS995">
        <v>100</v>
      </c>
      <c r="AT995">
        <v>0.62309400000000004</v>
      </c>
      <c r="AU995" t="s">
        <v>125</v>
      </c>
      <c r="AV995">
        <v>62.309387000000001</v>
      </c>
      <c r="AW995">
        <v>100</v>
      </c>
      <c r="AX995">
        <v>0.57455699999999998</v>
      </c>
      <c r="AY995" t="s">
        <v>125</v>
      </c>
      <c r="AZ995">
        <v>57.455741000000003</v>
      </c>
      <c r="BA995">
        <v>100</v>
      </c>
      <c r="BB995">
        <v>0.55621100000000001</v>
      </c>
      <c r="BC995">
        <v>27.810565</v>
      </c>
      <c r="BD995">
        <v>50</v>
      </c>
      <c r="BE995">
        <v>0.34654499999999999</v>
      </c>
      <c r="BF995">
        <v>17.327256999999999</v>
      </c>
      <c r="BG995">
        <v>50</v>
      </c>
      <c r="BH995">
        <v>0</v>
      </c>
      <c r="BI995">
        <v>1</v>
      </c>
      <c r="BJ995">
        <v>1</v>
      </c>
      <c r="BK995" t="s">
        <v>125</v>
      </c>
      <c r="BL995">
        <v>1</v>
      </c>
      <c r="BM995">
        <v>1</v>
      </c>
      <c r="BN995" t="s">
        <v>125</v>
      </c>
      <c r="BO995">
        <v>1</v>
      </c>
      <c r="BP995">
        <v>1</v>
      </c>
      <c r="BQ995" t="s">
        <v>125</v>
      </c>
      <c r="BR995">
        <v>0.15789500000000001</v>
      </c>
      <c r="BS995">
        <v>28.421053000000001</v>
      </c>
      <c r="BT995">
        <v>50</v>
      </c>
      <c r="BU995">
        <v>0.165217</v>
      </c>
      <c r="BV995">
        <v>26.956522</v>
      </c>
      <c r="BW995">
        <v>50</v>
      </c>
      <c r="BX995" t="s">
        <v>125</v>
      </c>
      <c r="BY995" t="s">
        <v>125</v>
      </c>
      <c r="BZ995" t="s">
        <v>125</v>
      </c>
      <c r="CA995" t="s">
        <v>125</v>
      </c>
      <c r="CB995" t="s">
        <v>125</v>
      </c>
      <c r="CC995" t="s">
        <v>125</v>
      </c>
      <c r="CD995" t="s">
        <v>125</v>
      </c>
      <c r="CE995" t="s">
        <v>125</v>
      </c>
      <c r="CF995" t="s">
        <v>125</v>
      </c>
      <c r="CG995" t="s">
        <v>125</v>
      </c>
      <c r="CH995" t="s">
        <v>125</v>
      </c>
      <c r="CI995" t="s">
        <v>125</v>
      </c>
      <c r="CJ995" t="s">
        <v>125</v>
      </c>
      <c r="CK995" t="s">
        <v>125</v>
      </c>
      <c r="CL995" t="s">
        <v>125</v>
      </c>
      <c r="CM995" t="s">
        <v>125</v>
      </c>
      <c r="CN995" t="s">
        <v>125</v>
      </c>
      <c r="CO995" t="s">
        <v>125</v>
      </c>
      <c r="CP995" t="s">
        <v>125</v>
      </c>
      <c r="CQ995">
        <v>0.79545500000000002</v>
      </c>
      <c r="CR995">
        <v>0.97777800000000004</v>
      </c>
      <c r="CS995">
        <v>50</v>
      </c>
      <c r="CT995">
        <v>50</v>
      </c>
      <c r="CU995" t="s">
        <v>125</v>
      </c>
      <c r="CV995" t="s">
        <v>125</v>
      </c>
      <c r="CW995" t="s">
        <v>125</v>
      </c>
      <c r="CX995" t="s">
        <v>125</v>
      </c>
      <c r="CY995" t="s">
        <v>125</v>
      </c>
      <c r="CZ995" t="s">
        <v>125</v>
      </c>
      <c r="DA995">
        <v>15.314097</v>
      </c>
      <c r="DB995">
        <v>17.400950000000002</v>
      </c>
      <c r="DC995">
        <v>16.332519999999999</v>
      </c>
      <c r="DD995" t="s">
        <v>125</v>
      </c>
      <c r="DE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Q995" t="s">
        <v>126</v>
      </c>
    </row>
    <row r="996" spans="1:121" x14ac:dyDescent="0.15">
      <c r="A996">
        <v>2018</v>
      </c>
      <c r="B996" t="s">
        <v>231</v>
      </c>
      <c r="C996" t="str">
        <f>"1520011"</f>
        <v>1520011</v>
      </c>
      <c r="D996" t="s">
        <v>1141</v>
      </c>
      <c r="E996" t="str">
        <f>"1525111"</f>
        <v>1525111</v>
      </c>
      <c r="F996" t="s">
        <v>328</v>
      </c>
      <c r="G996">
        <v>6</v>
      </c>
      <c r="H996">
        <v>8</v>
      </c>
      <c r="I996" t="s">
        <v>330</v>
      </c>
      <c r="J996" t="s">
        <v>331</v>
      </c>
      <c r="K996">
        <v>726.66178400000001</v>
      </c>
      <c r="L996">
        <v>900</v>
      </c>
      <c r="M996">
        <v>80.740198000000007</v>
      </c>
      <c r="N996">
        <v>2</v>
      </c>
      <c r="O996">
        <v>0</v>
      </c>
      <c r="P996">
        <v>76.202078999999998</v>
      </c>
      <c r="Q996">
        <v>50</v>
      </c>
      <c r="R996">
        <v>50</v>
      </c>
      <c r="S996">
        <v>65.517977000000002</v>
      </c>
      <c r="T996">
        <v>75</v>
      </c>
      <c r="U996">
        <v>43.678651000000002</v>
      </c>
      <c r="V996">
        <v>50</v>
      </c>
      <c r="W996">
        <v>71.876681000000005</v>
      </c>
      <c r="X996">
        <v>47.917786999999997</v>
      </c>
      <c r="Y996">
        <v>50</v>
      </c>
      <c r="Z996">
        <v>75</v>
      </c>
      <c r="AA996">
        <v>60.105299000000002</v>
      </c>
      <c r="AB996">
        <v>40.070199000000002</v>
      </c>
      <c r="AC996">
        <v>50</v>
      </c>
      <c r="AD996">
        <v>73.586016999999998</v>
      </c>
      <c r="AE996">
        <v>49.057344999999998</v>
      </c>
      <c r="AF996">
        <v>50</v>
      </c>
      <c r="AG996">
        <v>63.628808999999997</v>
      </c>
      <c r="AH996">
        <v>75</v>
      </c>
      <c r="AI996">
        <v>42.419206000000003</v>
      </c>
      <c r="AJ996">
        <v>50</v>
      </c>
      <c r="AK996">
        <v>9.48</v>
      </c>
      <c r="AL996">
        <v>14.89</v>
      </c>
      <c r="AM996">
        <v>11.37</v>
      </c>
      <c r="AN996">
        <v>0.66005400000000003</v>
      </c>
      <c r="AO996">
        <v>66.005394999999993</v>
      </c>
      <c r="AP996">
        <v>100</v>
      </c>
      <c r="AQ996">
        <v>0.79205199999999998</v>
      </c>
      <c r="AR996">
        <v>79.205183000000005</v>
      </c>
      <c r="AS996">
        <v>100</v>
      </c>
      <c r="AT996">
        <v>0.605518</v>
      </c>
      <c r="AU996">
        <v>0.69333800000000001</v>
      </c>
      <c r="AV996">
        <v>60.551797999999998</v>
      </c>
      <c r="AW996">
        <v>100</v>
      </c>
      <c r="AX996">
        <v>0.76034100000000004</v>
      </c>
      <c r="AY996">
        <v>0.81140500000000004</v>
      </c>
      <c r="AZ996">
        <v>76.034098999999998</v>
      </c>
      <c r="BA996">
        <v>100</v>
      </c>
      <c r="BB996" t="s">
        <v>125</v>
      </c>
      <c r="BC996" t="s">
        <v>125</v>
      </c>
      <c r="BD996" t="s">
        <v>125</v>
      </c>
      <c r="BE996" t="s">
        <v>125</v>
      </c>
      <c r="BF996" t="s">
        <v>125</v>
      </c>
      <c r="BG996" t="s">
        <v>125</v>
      </c>
      <c r="BH996">
        <v>0</v>
      </c>
      <c r="BI996">
        <v>0.99653999999999998</v>
      </c>
      <c r="BJ996">
        <v>0.99567099999999997</v>
      </c>
      <c r="BK996">
        <v>0.99711799999999995</v>
      </c>
      <c r="BL996">
        <v>0.99653999999999998</v>
      </c>
      <c r="BM996">
        <v>0.99567099999999997</v>
      </c>
      <c r="BN996">
        <v>0.99711799999999995</v>
      </c>
      <c r="BO996">
        <v>0.99481900000000001</v>
      </c>
      <c r="BP996">
        <v>0.98666699999999996</v>
      </c>
      <c r="BQ996">
        <v>1</v>
      </c>
      <c r="BR996">
        <v>5.8824000000000001E-2</v>
      </c>
      <c r="BS996">
        <v>48.235294000000003</v>
      </c>
      <c r="BT996">
        <v>50</v>
      </c>
      <c r="BU996">
        <v>0.11555600000000001</v>
      </c>
      <c r="BV996">
        <v>36.888888999999999</v>
      </c>
      <c r="BW996">
        <v>50</v>
      </c>
      <c r="BX996" t="s">
        <v>125</v>
      </c>
      <c r="BY996" t="s">
        <v>125</v>
      </c>
      <c r="BZ996" t="s">
        <v>125</v>
      </c>
      <c r="CA996" t="s">
        <v>125</v>
      </c>
      <c r="CB996" t="s">
        <v>125</v>
      </c>
      <c r="CC996" t="s">
        <v>125</v>
      </c>
      <c r="CD996">
        <v>0.94285699999999995</v>
      </c>
      <c r="CE996">
        <v>50</v>
      </c>
      <c r="CF996">
        <v>50</v>
      </c>
      <c r="CG996" t="s">
        <v>125</v>
      </c>
      <c r="CH996" t="s">
        <v>125</v>
      </c>
      <c r="CI996" t="s">
        <v>125</v>
      </c>
      <c r="CJ996" t="s">
        <v>125</v>
      </c>
      <c r="CK996" t="s">
        <v>125</v>
      </c>
      <c r="CL996" t="s">
        <v>125</v>
      </c>
      <c r="CM996" t="s">
        <v>125</v>
      </c>
      <c r="CN996" t="s">
        <v>125</v>
      </c>
      <c r="CO996" t="s">
        <v>125</v>
      </c>
      <c r="CP996" t="s">
        <v>125</v>
      </c>
      <c r="CQ996">
        <v>0.54896900000000004</v>
      </c>
      <c r="CR996">
        <v>0.95566499999999999</v>
      </c>
      <c r="CS996">
        <v>36.597937999999999</v>
      </c>
      <c r="CT996">
        <v>50</v>
      </c>
      <c r="CU996" t="s">
        <v>125</v>
      </c>
      <c r="CV996" t="s">
        <v>125</v>
      </c>
      <c r="CW996" t="s">
        <v>125</v>
      </c>
      <c r="CX996" t="s">
        <v>125</v>
      </c>
      <c r="CY996" t="s">
        <v>125</v>
      </c>
      <c r="CZ996" t="s">
        <v>125</v>
      </c>
      <c r="DA996">
        <v>15.314097</v>
      </c>
      <c r="DB996">
        <v>17.400950000000002</v>
      </c>
      <c r="DC996">
        <v>16.332519999999999</v>
      </c>
      <c r="DD996" t="s">
        <v>125</v>
      </c>
      <c r="DE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Q996" t="s">
        <v>126</v>
      </c>
    </row>
    <row r="997" spans="1:121" x14ac:dyDescent="0.15">
      <c r="A997">
        <v>2018</v>
      </c>
      <c r="B997" t="s">
        <v>231</v>
      </c>
      <c r="C997" t="str">
        <f>"1520011"</f>
        <v>1520011</v>
      </c>
      <c r="D997" t="s">
        <v>1142</v>
      </c>
      <c r="E997" t="str">
        <f>"1520211"</f>
        <v>1520211</v>
      </c>
      <c r="F997" t="s">
        <v>328</v>
      </c>
      <c r="G997" t="s">
        <v>329</v>
      </c>
      <c r="H997">
        <v>5</v>
      </c>
      <c r="I997" t="s">
        <v>330</v>
      </c>
      <c r="J997" t="s">
        <v>331</v>
      </c>
      <c r="K997">
        <v>682.55102299999999</v>
      </c>
      <c r="L997">
        <v>800</v>
      </c>
      <c r="M997">
        <v>85.318877999999998</v>
      </c>
      <c r="N997">
        <v>1</v>
      </c>
      <c r="O997">
        <v>0</v>
      </c>
      <c r="P997">
        <v>78.877594000000002</v>
      </c>
      <c r="Q997">
        <v>50</v>
      </c>
      <c r="R997">
        <v>50</v>
      </c>
      <c r="S997">
        <v>71.851517000000001</v>
      </c>
      <c r="T997">
        <v>75</v>
      </c>
      <c r="U997">
        <v>47.901010999999997</v>
      </c>
      <c r="V997">
        <v>50</v>
      </c>
      <c r="W997">
        <v>77.142097000000007</v>
      </c>
      <c r="X997">
        <v>50</v>
      </c>
      <c r="Y997">
        <v>50</v>
      </c>
      <c r="Z997">
        <v>75</v>
      </c>
      <c r="AA997">
        <v>70.459070999999994</v>
      </c>
      <c r="AB997">
        <v>46.972714000000003</v>
      </c>
      <c r="AC997">
        <v>50</v>
      </c>
      <c r="AD997">
        <v>74.917833000000002</v>
      </c>
      <c r="AE997">
        <v>49.945222000000001</v>
      </c>
      <c r="AF997">
        <v>50</v>
      </c>
      <c r="AG997" t="s">
        <v>125</v>
      </c>
      <c r="AH997">
        <v>75</v>
      </c>
      <c r="AI997" t="s">
        <v>125</v>
      </c>
      <c r="AJ997" t="s">
        <v>125</v>
      </c>
      <c r="AK997">
        <v>3.14</v>
      </c>
      <c r="AL997">
        <v>4.54</v>
      </c>
      <c r="AM997" t="s">
        <v>125</v>
      </c>
      <c r="AN997">
        <v>0.69122600000000001</v>
      </c>
      <c r="AO997">
        <v>69.122617000000005</v>
      </c>
      <c r="AP997">
        <v>100</v>
      </c>
      <c r="AQ997">
        <v>0.83305099999999999</v>
      </c>
      <c r="AR997">
        <v>83.305079000000006</v>
      </c>
      <c r="AS997">
        <v>100</v>
      </c>
      <c r="AT997">
        <v>0.68767599999999995</v>
      </c>
      <c r="AU997">
        <v>0.69333400000000001</v>
      </c>
      <c r="AV997">
        <v>68.767596999999995</v>
      </c>
      <c r="AW997">
        <v>100</v>
      </c>
      <c r="AX997">
        <v>0.91121200000000002</v>
      </c>
      <c r="AY997">
        <v>0.78664299999999998</v>
      </c>
      <c r="AZ997">
        <v>91.121194000000003</v>
      </c>
      <c r="BA997">
        <v>100</v>
      </c>
      <c r="BB997" t="s">
        <v>125</v>
      </c>
      <c r="BC997" t="s">
        <v>125</v>
      </c>
      <c r="BD997" t="s">
        <v>125</v>
      </c>
      <c r="BE997" t="s">
        <v>125</v>
      </c>
      <c r="BF997" t="s">
        <v>125</v>
      </c>
      <c r="BG997" t="s">
        <v>125</v>
      </c>
      <c r="BH997">
        <v>0</v>
      </c>
      <c r="BI997">
        <v>0.99375000000000002</v>
      </c>
      <c r="BJ997">
        <v>1</v>
      </c>
      <c r="BK997">
        <v>0.99019599999999997</v>
      </c>
      <c r="BL997">
        <v>0.99375000000000002</v>
      </c>
      <c r="BM997">
        <v>1</v>
      </c>
      <c r="BN997">
        <v>0.99019599999999997</v>
      </c>
      <c r="BO997">
        <v>1</v>
      </c>
      <c r="BP997" t="s">
        <v>125</v>
      </c>
      <c r="BQ997">
        <v>1</v>
      </c>
      <c r="BR997">
        <v>4.3749999999999997E-2</v>
      </c>
      <c r="BS997">
        <v>50</v>
      </c>
      <c r="BT997">
        <v>50</v>
      </c>
      <c r="BU997">
        <v>9.8361000000000004E-2</v>
      </c>
      <c r="BV997">
        <v>40.327869</v>
      </c>
      <c r="BW997">
        <v>50</v>
      </c>
      <c r="BX997" t="s">
        <v>125</v>
      </c>
      <c r="BY997" t="s">
        <v>125</v>
      </c>
      <c r="BZ997" t="s">
        <v>125</v>
      </c>
      <c r="CA997" t="s">
        <v>125</v>
      </c>
      <c r="CB997" t="s">
        <v>125</v>
      </c>
      <c r="CC997" t="s">
        <v>125</v>
      </c>
      <c r="CD997" t="s">
        <v>125</v>
      </c>
      <c r="CE997" t="s">
        <v>125</v>
      </c>
      <c r="CF997" t="s">
        <v>125</v>
      </c>
      <c r="CG997" t="s">
        <v>125</v>
      </c>
      <c r="CH997" t="s">
        <v>125</v>
      </c>
      <c r="CI997" t="s">
        <v>125</v>
      </c>
      <c r="CJ997" t="s">
        <v>125</v>
      </c>
      <c r="CK997" t="s">
        <v>125</v>
      </c>
      <c r="CL997" t="s">
        <v>125</v>
      </c>
      <c r="CM997" t="s">
        <v>125</v>
      </c>
      <c r="CN997" t="s">
        <v>125</v>
      </c>
      <c r="CO997" t="s">
        <v>125</v>
      </c>
      <c r="CP997" t="s">
        <v>125</v>
      </c>
      <c r="CQ997">
        <v>0.52631600000000001</v>
      </c>
      <c r="CR997">
        <v>1</v>
      </c>
      <c r="CS997">
        <v>35.087719</v>
      </c>
      <c r="CT997">
        <v>50</v>
      </c>
      <c r="CU997" t="s">
        <v>125</v>
      </c>
      <c r="CV997" t="s">
        <v>125</v>
      </c>
      <c r="CW997" t="s">
        <v>125</v>
      </c>
      <c r="CX997" t="s">
        <v>125</v>
      </c>
      <c r="CY997" t="s">
        <v>125</v>
      </c>
      <c r="CZ997" t="s">
        <v>125</v>
      </c>
      <c r="DA997">
        <v>15.314097</v>
      </c>
      <c r="DB997">
        <v>17.400950000000002</v>
      </c>
      <c r="DC997">
        <v>16.332519999999999</v>
      </c>
      <c r="DD997" t="s">
        <v>125</v>
      </c>
      <c r="DE997">
        <v>0</v>
      </c>
      <c r="DH997" t="s">
        <v>332</v>
      </c>
      <c r="DI997" t="s">
        <v>432</v>
      </c>
      <c r="DJ997">
        <v>0</v>
      </c>
      <c r="DK997">
        <v>0</v>
      </c>
      <c r="DL997">
        <v>0</v>
      </c>
      <c r="DM997">
        <v>0</v>
      </c>
      <c r="DN997">
        <v>1</v>
      </c>
      <c r="DO997">
        <v>0</v>
      </c>
      <c r="DQ997" t="s">
        <v>126</v>
      </c>
    </row>
    <row r="998" spans="1:121" x14ac:dyDescent="0.15">
      <c r="A998">
        <v>2018</v>
      </c>
      <c r="B998" t="s">
        <v>231</v>
      </c>
      <c r="C998" t="str">
        <f>"1520011"</f>
        <v>1520011</v>
      </c>
      <c r="D998" t="s">
        <v>1143</v>
      </c>
      <c r="E998" t="str">
        <f>"1520611"</f>
        <v>1520611</v>
      </c>
      <c r="F998" t="s">
        <v>328</v>
      </c>
      <c r="G998" t="s">
        <v>339</v>
      </c>
      <c r="H998">
        <v>5</v>
      </c>
      <c r="I998" t="s">
        <v>330</v>
      </c>
      <c r="J998" t="s">
        <v>331</v>
      </c>
      <c r="K998">
        <v>641.931827</v>
      </c>
      <c r="L998">
        <v>850</v>
      </c>
      <c r="M998">
        <v>75.521390999999994</v>
      </c>
      <c r="N998">
        <v>3</v>
      </c>
      <c r="O998">
        <v>1</v>
      </c>
      <c r="P998">
        <v>74.808644999999999</v>
      </c>
      <c r="Q998">
        <v>49.872430000000001</v>
      </c>
      <c r="R998">
        <v>50</v>
      </c>
      <c r="S998">
        <v>66.823379000000003</v>
      </c>
      <c r="T998">
        <v>75</v>
      </c>
      <c r="U998">
        <v>44.548920000000003</v>
      </c>
      <c r="V998">
        <v>50</v>
      </c>
      <c r="W998">
        <v>72.755018000000007</v>
      </c>
      <c r="X998">
        <v>48.503345000000003</v>
      </c>
      <c r="Y998">
        <v>50</v>
      </c>
      <c r="Z998">
        <v>75</v>
      </c>
      <c r="AA998">
        <v>64.191063</v>
      </c>
      <c r="AB998">
        <v>42.794041999999997</v>
      </c>
      <c r="AC998">
        <v>50</v>
      </c>
      <c r="AD998">
        <v>67.228695000000002</v>
      </c>
      <c r="AE998">
        <v>44.819130000000001</v>
      </c>
      <c r="AF998">
        <v>50</v>
      </c>
      <c r="AG998">
        <v>56.505006000000002</v>
      </c>
      <c r="AH998">
        <v>75</v>
      </c>
      <c r="AI998">
        <v>37.670003999999999</v>
      </c>
      <c r="AJ998">
        <v>50</v>
      </c>
      <c r="AK998">
        <v>8.17</v>
      </c>
      <c r="AL998">
        <v>10.8</v>
      </c>
      <c r="AM998">
        <v>18.489999999999998</v>
      </c>
      <c r="AN998">
        <v>0.55735800000000002</v>
      </c>
      <c r="AO998">
        <v>55.735810999999998</v>
      </c>
      <c r="AP998">
        <v>100</v>
      </c>
      <c r="AQ998">
        <v>0.67205400000000004</v>
      </c>
      <c r="AR998">
        <v>67.205434999999994</v>
      </c>
      <c r="AS998">
        <v>100</v>
      </c>
      <c r="AT998">
        <v>0.40003300000000003</v>
      </c>
      <c r="AU998">
        <v>0.67303800000000003</v>
      </c>
      <c r="AV998">
        <v>40.003284000000001</v>
      </c>
      <c r="AW998">
        <v>100</v>
      </c>
      <c r="AX998">
        <v>0.60779399999999995</v>
      </c>
      <c r="AY998">
        <v>0.71930400000000005</v>
      </c>
      <c r="AZ998">
        <v>60.779426000000001</v>
      </c>
      <c r="BA998">
        <v>100</v>
      </c>
      <c r="BB998" t="s">
        <v>125</v>
      </c>
      <c r="BC998" t="s">
        <v>125</v>
      </c>
      <c r="BD998" t="s">
        <v>125</v>
      </c>
      <c r="BE998" t="s">
        <v>125</v>
      </c>
      <c r="BF998" t="s">
        <v>125</v>
      </c>
      <c r="BG998" t="s">
        <v>125</v>
      </c>
      <c r="BH998">
        <v>0</v>
      </c>
      <c r="BI998">
        <v>1</v>
      </c>
      <c r="BJ998">
        <v>1</v>
      </c>
      <c r="BK998">
        <v>1</v>
      </c>
      <c r="BL998">
        <v>0.99465199999999998</v>
      </c>
      <c r="BM998">
        <v>0.98750000000000004</v>
      </c>
      <c r="BN998">
        <v>1</v>
      </c>
      <c r="BO998">
        <v>1</v>
      </c>
      <c r="BP998">
        <v>1</v>
      </c>
      <c r="BQ998">
        <v>1</v>
      </c>
      <c r="BR998">
        <v>2.1538000000000002E-2</v>
      </c>
      <c r="BS998">
        <v>50</v>
      </c>
      <c r="BT998">
        <v>50</v>
      </c>
      <c r="BU998">
        <v>4.6667E-2</v>
      </c>
      <c r="BV998">
        <v>50</v>
      </c>
      <c r="BW998">
        <v>50</v>
      </c>
      <c r="BX998" t="s">
        <v>125</v>
      </c>
      <c r="BY998" t="s">
        <v>125</v>
      </c>
      <c r="BZ998" t="s">
        <v>125</v>
      </c>
      <c r="CA998" t="s">
        <v>125</v>
      </c>
      <c r="CB998" t="s">
        <v>125</v>
      </c>
      <c r="CC998" t="s">
        <v>125</v>
      </c>
      <c r="CD998" t="s">
        <v>125</v>
      </c>
      <c r="CE998" t="s">
        <v>125</v>
      </c>
      <c r="CF998" t="s">
        <v>125</v>
      </c>
      <c r="CG998" t="s">
        <v>125</v>
      </c>
      <c r="CH998" t="s">
        <v>125</v>
      </c>
      <c r="CI998" t="s">
        <v>125</v>
      </c>
      <c r="CJ998" t="s">
        <v>125</v>
      </c>
      <c r="CK998" t="s">
        <v>125</v>
      </c>
      <c r="CL998" t="s">
        <v>125</v>
      </c>
      <c r="CM998" t="s">
        <v>125</v>
      </c>
      <c r="CN998" t="s">
        <v>125</v>
      </c>
      <c r="CO998" t="s">
        <v>125</v>
      </c>
      <c r="CP998" t="s">
        <v>125</v>
      </c>
      <c r="CQ998">
        <v>0.81481499999999996</v>
      </c>
      <c r="CR998">
        <v>1</v>
      </c>
      <c r="CS998">
        <v>50</v>
      </c>
      <c r="CT998">
        <v>50</v>
      </c>
      <c r="CU998" t="s">
        <v>125</v>
      </c>
      <c r="CV998" t="s">
        <v>125</v>
      </c>
      <c r="CW998" t="s">
        <v>125</v>
      </c>
      <c r="CX998" t="s">
        <v>125</v>
      </c>
      <c r="CY998" t="s">
        <v>125</v>
      </c>
      <c r="CZ998" t="s">
        <v>125</v>
      </c>
      <c r="DA998">
        <v>15.314097</v>
      </c>
      <c r="DB998">
        <v>17.400950000000002</v>
      </c>
      <c r="DC998">
        <v>16.332519999999999</v>
      </c>
      <c r="DD998" t="s">
        <v>125</v>
      </c>
      <c r="DE998">
        <v>1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Q998" t="s">
        <v>126</v>
      </c>
    </row>
    <row r="999" spans="1:121" x14ac:dyDescent="0.15">
      <c r="A999">
        <v>2018</v>
      </c>
      <c r="B999" t="s">
        <v>231</v>
      </c>
      <c r="C999" t="str">
        <f>"1520011"</f>
        <v>1520011</v>
      </c>
      <c r="D999" t="s">
        <v>1144</v>
      </c>
      <c r="E999" t="str">
        <f>"1520711"</f>
        <v>1520711</v>
      </c>
      <c r="F999" t="s">
        <v>328</v>
      </c>
      <c r="G999" t="s">
        <v>339</v>
      </c>
      <c r="H999">
        <v>5</v>
      </c>
      <c r="I999" t="s">
        <v>330</v>
      </c>
      <c r="J999" t="s">
        <v>331</v>
      </c>
      <c r="K999">
        <v>636.58858399999997</v>
      </c>
      <c r="L999">
        <v>850</v>
      </c>
      <c r="M999">
        <v>74.892775</v>
      </c>
      <c r="N999">
        <v>2</v>
      </c>
      <c r="O999">
        <v>0</v>
      </c>
      <c r="P999">
        <v>74.913079999999994</v>
      </c>
      <c r="Q999">
        <v>49.942053000000001</v>
      </c>
      <c r="R999">
        <v>50</v>
      </c>
      <c r="S999">
        <v>63.833841999999997</v>
      </c>
      <c r="T999">
        <v>75</v>
      </c>
      <c r="U999">
        <v>42.555894000000002</v>
      </c>
      <c r="V999">
        <v>50</v>
      </c>
      <c r="W999">
        <v>73.728413000000003</v>
      </c>
      <c r="X999">
        <v>49.152276000000001</v>
      </c>
      <c r="Y999">
        <v>50</v>
      </c>
      <c r="Z999">
        <v>75</v>
      </c>
      <c r="AA999">
        <v>62.933875999999998</v>
      </c>
      <c r="AB999">
        <v>41.955916999999999</v>
      </c>
      <c r="AC999">
        <v>50</v>
      </c>
      <c r="AD999">
        <v>68.588234999999997</v>
      </c>
      <c r="AE999">
        <v>45.725490000000001</v>
      </c>
      <c r="AF999">
        <v>50</v>
      </c>
      <c r="AG999">
        <v>64.311457000000004</v>
      </c>
      <c r="AH999">
        <v>71.768404000000004</v>
      </c>
      <c r="AI999">
        <v>42.874305</v>
      </c>
      <c r="AJ999">
        <v>50</v>
      </c>
      <c r="AK999">
        <v>11.16</v>
      </c>
      <c r="AL999">
        <v>12.06</v>
      </c>
      <c r="AM999">
        <v>7.45</v>
      </c>
      <c r="AN999">
        <v>0.61812900000000004</v>
      </c>
      <c r="AO999">
        <v>61.812921000000003</v>
      </c>
      <c r="AP999">
        <v>100</v>
      </c>
      <c r="AQ999">
        <v>0.56489500000000004</v>
      </c>
      <c r="AR999">
        <v>56.489483999999997</v>
      </c>
      <c r="AS999">
        <v>100</v>
      </c>
      <c r="AT999">
        <v>0.57527799999999996</v>
      </c>
      <c r="AU999">
        <v>0.64729199999999998</v>
      </c>
      <c r="AV999">
        <v>57.527841000000002</v>
      </c>
      <c r="AW999">
        <v>100</v>
      </c>
      <c r="AX999">
        <v>0.60947300000000004</v>
      </c>
      <c r="AY999">
        <v>0.53455699999999995</v>
      </c>
      <c r="AZ999">
        <v>60.947263</v>
      </c>
      <c r="BA999">
        <v>100</v>
      </c>
      <c r="BB999" t="s">
        <v>125</v>
      </c>
      <c r="BC999" t="s">
        <v>125</v>
      </c>
      <c r="BD999" t="s">
        <v>125</v>
      </c>
      <c r="BE999" t="s">
        <v>125</v>
      </c>
      <c r="BF999" t="s">
        <v>125</v>
      </c>
      <c r="BG999" t="s">
        <v>125</v>
      </c>
      <c r="BH999">
        <v>0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5.0802E-2</v>
      </c>
      <c r="BS999">
        <v>49.839571999999997</v>
      </c>
      <c r="BT999">
        <v>50</v>
      </c>
      <c r="BU999">
        <v>8.9744000000000004E-2</v>
      </c>
      <c r="BV999">
        <v>42.051282</v>
      </c>
      <c r="BW999">
        <v>50</v>
      </c>
      <c r="BX999" t="s">
        <v>125</v>
      </c>
      <c r="BY999" t="s">
        <v>125</v>
      </c>
      <c r="BZ999" t="s">
        <v>125</v>
      </c>
      <c r="CA999" t="s">
        <v>125</v>
      </c>
      <c r="CB999" t="s">
        <v>125</v>
      </c>
      <c r="CC999" t="s">
        <v>125</v>
      </c>
      <c r="CD999" t="s">
        <v>125</v>
      </c>
      <c r="CE999" t="s">
        <v>125</v>
      </c>
      <c r="CF999" t="s">
        <v>125</v>
      </c>
      <c r="CG999" t="s">
        <v>125</v>
      </c>
      <c r="CH999" t="s">
        <v>125</v>
      </c>
      <c r="CI999" t="s">
        <v>125</v>
      </c>
      <c r="CJ999" t="s">
        <v>125</v>
      </c>
      <c r="CK999" t="s">
        <v>125</v>
      </c>
      <c r="CL999" t="s">
        <v>125</v>
      </c>
      <c r="CM999" t="s">
        <v>125</v>
      </c>
      <c r="CN999" t="s">
        <v>125</v>
      </c>
      <c r="CO999" t="s">
        <v>125</v>
      </c>
      <c r="CP999" t="s">
        <v>125</v>
      </c>
      <c r="CQ999">
        <v>0.53571400000000002</v>
      </c>
      <c r="CR999">
        <v>1</v>
      </c>
      <c r="CS999">
        <v>35.714286000000001</v>
      </c>
      <c r="CT999">
        <v>50</v>
      </c>
      <c r="CU999" t="s">
        <v>125</v>
      </c>
      <c r="CV999" t="s">
        <v>125</v>
      </c>
      <c r="CW999" t="s">
        <v>125</v>
      </c>
      <c r="CX999" t="s">
        <v>125</v>
      </c>
      <c r="CY999" t="s">
        <v>125</v>
      </c>
      <c r="CZ999" t="s">
        <v>125</v>
      </c>
      <c r="DA999">
        <v>15.314097</v>
      </c>
      <c r="DB999">
        <v>17.400950000000002</v>
      </c>
      <c r="DC999">
        <v>16.332519999999999</v>
      </c>
      <c r="DD999" t="s">
        <v>125</v>
      </c>
      <c r="DE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Q999" t="s">
        <v>126</v>
      </c>
    </row>
    <row r="1000" spans="1:121" x14ac:dyDescent="0.15">
      <c r="A1000">
        <v>2018</v>
      </c>
      <c r="B1000" t="s">
        <v>231</v>
      </c>
      <c r="C1000" t="str">
        <f>"1520011"</f>
        <v>1520011</v>
      </c>
      <c r="D1000" t="s">
        <v>1145</v>
      </c>
      <c r="E1000" t="str">
        <f>"1526111"</f>
        <v>1526111</v>
      </c>
      <c r="F1000" t="s">
        <v>328</v>
      </c>
      <c r="G1000">
        <v>9</v>
      </c>
      <c r="H1000">
        <v>12</v>
      </c>
      <c r="I1000" t="s">
        <v>330</v>
      </c>
      <c r="J1000" t="s">
        <v>331</v>
      </c>
      <c r="K1000">
        <v>1162.1004800000001</v>
      </c>
      <c r="L1000">
        <v>1450</v>
      </c>
      <c r="M1000">
        <v>80.144861000000006</v>
      </c>
      <c r="N1000">
        <v>3</v>
      </c>
      <c r="O1000">
        <v>1</v>
      </c>
      <c r="P1000">
        <v>59.718482999999999</v>
      </c>
      <c r="Q1000">
        <v>119.436966</v>
      </c>
      <c r="R1000">
        <v>150</v>
      </c>
      <c r="S1000">
        <v>48.930745999999999</v>
      </c>
      <c r="T1000">
        <v>65.551851999999997</v>
      </c>
      <c r="U1000">
        <v>97.861491999999998</v>
      </c>
      <c r="V1000">
        <v>150</v>
      </c>
      <c r="W1000">
        <v>57.996794999999999</v>
      </c>
      <c r="X1000">
        <v>115.99359</v>
      </c>
      <c r="Y1000">
        <v>150</v>
      </c>
      <c r="Z1000">
        <v>64.669135999999995</v>
      </c>
      <c r="AA1000">
        <v>45.657533999999998</v>
      </c>
      <c r="AB1000">
        <v>91.315067999999997</v>
      </c>
      <c r="AC1000">
        <v>150</v>
      </c>
      <c r="AD1000">
        <v>60.994281000000001</v>
      </c>
      <c r="AE1000">
        <v>81.325708000000006</v>
      </c>
      <c r="AF1000">
        <v>100</v>
      </c>
      <c r="AG1000">
        <v>50.045971000000002</v>
      </c>
      <c r="AH1000">
        <v>66.713548000000003</v>
      </c>
      <c r="AI1000">
        <v>66.727960999999993</v>
      </c>
      <c r="AJ1000">
        <v>100</v>
      </c>
      <c r="AK1000">
        <v>16.62</v>
      </c>
      <c r="AL1000">
        <v>19.010000000000002</v>
      </c>
      <c r="AM1000">
        <v>16.66</v>
      </c>
      <c r="AN1000" t="s">
        <v>125</v>
      </c>
      <c r="AO1000" t="s">
        <v>125</v>
      </c>
      <c r="AP1000" t="s">
        <v>125</v>
      </c>
      <c r="AQ1000" t="s">
        <v>125</v>
      </c>
      <c r="AR1000" t="s">
        <v>125</v>
      </c>
      <c r="AS1000" t="s">
        <v>125</v>
      </c>
      <c r="AT1000" t="s">
        <v>125</v>
      </c>
      <c r="AU1000" t="s">
        <v>125</v>
      </c>
      <c r="AV1000" t="s">
        <v>125</v>
      </c>
      <c r="AW1000" t="s">
        <v>125</v>
      </c>
      <c r="AX1000" t="s">
        <v>125</v>
      </c>
      <c r="AY1000" t="s">
        <v>125</v>
      </c>
      <c r="AZ1000" t="s">
        <v>125</v>
      </c>
      <c r="BA1000" t="s">
        <v>125</v>
      </c>
      <c r="BB1000" t="s">
        <v>125</v>
      </c>
      <c r="BC1000" t="s">
        <v>125</v>
      </c>
      <c r="BD1000" t="s">
        <v>125</v>
      </c>
      <c r="BE1000" t="s">
        <v>125</v>
      </c>
      <c r="BF1000" t="s">
        <v>125</v>
      </c>
      <c r="BG1000" t="s">
        <v>125</v>
      </c>
      <c r="BH1000">
        <v>1</v>
      </c>
      <c r="BI1000">
        <v>0.98591499999999999</v>
      </c>
      <c r="BJ1000">
        <v>0.961538</v>
      </c>
      <c r="BK1000">
        <v>1</v>
      </c>
      <c r="BL1000">
        <v>0.98591499999999999</v>
      </c>
      <c r="BM1000">
        <v>0.961538</v>
      </c>
      <c r="BN1000">
        <v>1</v>
      </c>
      <c r="BO1000">
        <v>0.967136</v>
      </c>
      <c r="BP1000">
        <v>0.92307700000000004</v>
      </c>
      <c r="BQ1000">
        <v>0.99259299999999995</v>
      </c>
      <c r="BR1000">
        <v>8.4848000000000007E-2</v>
      </c>
      <c r="BS1000">
        <v>43.030303000000004</v>
      </c>
      <c r="BT1000">
        <v>50</v>
      </c>
      <c r="BU1000">
        <v>0.15845100000000001</v>
      </c>
      <c r="BV1000">
        <v>28.309858999999999</v>
      </c>
      <c r="BW1000">
        <v>50</v>
      </c>
      <c r="BX1000">
        <v>0.893204</v>
      </c>
      <c r="BY1000">
        <v>50</v>
      </c>
      <c r="BZ1000">
        <v>50</v>
      </c>
      <c r="CA1000">
        <v>0.49514599999999998</v>
      </c>
      <c r="CB1000">
        <v>33.009709000000001</v>
      </c>
      <c r="CC1000">
        <v>50</v>
      </c>
      <c r="CD1000">
        <v>0.93434300000000003</v>
      </c>
      <c r="CE1000">
        <v>49.699119000000003</v>
      </c>
      <c r="CF1000">
        <v>50</v>
      </c>
      <c r="CG1000">
        <v>0.93564400000000003</v>
      </c>
      <c r="CH1000">
        <v>99.536548999999994</v>
      </c>
      <c r="CI1000">
        <v>100</v>
      </c>
      <c r="CJ1000">
        <v>0</v>
      </c>
      <c r="CK1000">
        <v>0.91666700000000001</v>
      </c>
      <c r="CL1000">
        <v>97.51773</v>
      </c>
      <c r="CM1000">
        <v>100</v>
      </c>
      <c r="CN1000">
        <v>0.79679100000000003</v>
      </c>
      <c r="CO1000">
        <v>100</v>
      </c>
      <c r="CP1000">
        <v>100</v>
      </c>
      <c r="CQ1000">
        <v>0.72959200000000002</v>
      </c>
      <c r="CR1000">
        <v>0.91162799999999999</v>
      </c>
      <c r="CS1000">
        <v>48.639456000000003</v>
      </c>
      <c r="CT1000">
        <v>50</v>
      </c>
      <c r="CU1000">
        <v>0.47636400000000001</v>
      </c>
      <c r="CV1000">
        <v>39.69697</v>
      </c>
      <c r="CW1000">
        <v>50</v>
      </c>
      <c r="CX1000">
        <v>0.91666700000000001</v>
      </c>
      <c r="CY1000">
        <v>0.94</v>
      </c>
      <c r="CZ1000">
        <v>2.3333E-2</v>
      </c>
      <c r="DA1000">
        <v>15.314097</v>
      </c>
      <c r="DB1000">
        <v>17.400950000000002</v>
      </c>
      <c r="DC1000">
        <v>16.332519999999999</v>
      </c>
      <c r="DD1000">
        <v>7.9891730000000001</v>
      </c>
      <c r="DE1000">
        <v>1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Q1000" t="s">
        <v>126</v>
      </c>
    </row>
    <row r="1001" spans="1:121" x14ac:dyDescent="0.15">
      <c r="A1001">
        <v>2018</v>
      </c>
      <c r="B1001" t="s">
        <v>207</v>
      </c>
      <c r="C1001" t="str">
        <f>"1530011"</f>
        <v>1530011</v>
      </c>
      <c r="D1001" t="s">
        <v>1146</v>
      </c>
      <c r="E1001" t="str">
        <f>"1530311"</f>
        <v>1530311</v>
      </c>
      <c r="F1001" t="s">
        <v>328</v>
      </c>
      <c r="G1001">
        <v>3</v>
      </c>
      <c r="H1001">
        <v>5</v>
      </c>
      <c r="J1001" t="s">
        <v>331</v>
      </c>
      <c r="K1001">
        <v>651.38435500000003</v>
      </c>
      <c r="L1001">
        <v>850</v>
      </c>
      <c r="M1001">
        <v>76.633454</v>
      </c>
      <c r="N1001">
        <v>2</v>
      </c>
      <c r="O1001">
        <v>0</v>
      </c>
      <c r="P1001">
        <v>74.947961000000006</v>
      </c>
      <c r="Q1001">
        <v>49.965308</v>
      </c>
      <c r="R1001">
        <v>50</v>
      </c>
      <c r="S1001">
        <v>68.248407</v>
      </c>
      <c r="T1001">
        <v>75</v>
      </c>
      <c r="U1001">
        <v>45.498938000000003</v>
      </c>
      <c r="V1001">
        <v>50</v>
      </c>
      <c r="W1001">
        <v>72.062700000000007</v>
      </c>
      <c r="X1001">
        <v>48.041800000000002</v>
      </c>
      <c r="Y1001">
        <v>50</v>
      </c>
      <c r="Z1001">
        <v>74.666687999999994</v>
      </c>
      <c r="AA1001">
        <v>66.008426999999998</v>
      </c>
      <c r="AB1001">
        <v>44.005617999999998</v>
      </c>
      <c r="AC1001">
        <v>50</v>
      </c>
      <c r="AD1001">
        <v>71.389814999999999</v>
      </c>
      <c r="AE1001">
        <v>47.593209999999999</v>
      </c>
      <c r="AF1001">
        <v>50</v>
      </c>
      <c r="AG1001">
        <v>66.868365999999995</v>
      </c>
      <c r="AH1001">
        <v>73.806451999999993</v>
      </c>
      <c r="AI1001">
        <v>44.578910999999998</v>
      </c>
      <c r="AJ1001">
        <v>50</v>
      </c>
      <c r="AK1001">
        <v>6.75</v>
      </c>
      <c r="AL1001">
        <v>8.65</v>
      </c>
      <c r="AM1001">
        <v>6.93</v>
      </c>
      <c r="AN1001">
        <v>0.52106699999999995</v>
      </c>
      <c r="AO1001">
        <v>52.106687000000001</v>
      </c>
      <c r="AP1001">
        <v>100</v>
      </c>
      <c r="AQ1001">
        <v>0.56691400000000003</v>
      </c>
      <c r="AR1001">
        <v>56.691383000000002</v>
      </c>
      <c r="AS1001">
        <v>100</v>
      </c>
      <c r="AT1001">
        <v>0.55460600000000004</v>
      </c>
      <c r="AU1001">
        <v>0.50562799999999997</v>
      </c>
      <c r="AV1001">
        <v>55.460569999999997</v>
      </c>
      <c r="AW1001">
        <v>100</v>
      </c>
      <c r="AX1001">
        <v>0.62459200000000004</v>
      </c>
      <c r="AY1001">
        <v>0.54036300000000004</v>
      </c>
      <c r="AZ1001">
        <v>62.459249999999997</v>
      </c>
      <c r="BA1001">
        <v>100</v>
      </c>
      <c r="BB1001" t="s">
        <v>125</v>
      </c>
      <c r="BC1001" t="s">
        <v>125</v>
      </c>
      <c r="BD1001" t="s">
        <v>125</v>
      </c>
      <c r="BE1001" t="s">
        <v>125</v>
      </c>
      <c r="BF1001" t="s">
        <v>125</v>
      </c>
      <c r="BG1001" t="s">
        <v>125</v>
      </c>
      <c r="BH1001">
        <v>0</v>
      </c>
      <c r="BI1001">
        <v>0.98916999999999999</v>
      </c>
      <c r="BJ1001">
        <v>1</v>
      </c>
      <c r="BK1001">
        <v>0.98421099999999995</v>
      </c>
      <c r="BL1001">
        <v>0.98916999999999999</v>
      </c>
      <c r="BM1001">
        <v>1</v>
      </c>
      <c r="BN1001">
        <v>0.98421099999999995</v>
      </c>
      <c r="BO1001">
        <v>1</v>
      </c>
      <c r="BP1001">
        <v>1</v>
      </c>
      <c r="BQ1001">
        <v>1</v>
      </c>
      <c r="BR1001">
        <v>2.5270999999999998E-2</v>
      </c>
      <c r="BS1001">
        <v>50</v>
      </c>
      <c r="BT1001">
        <v>50</v>
      </c>
      <c r="BU1001">
        <v>6.9766999999999996E-2</v>
      </c>
      <c r="BV1001">
        <v>46.046512</v>
      </c>
      <c r="BW1001">
        <v>50</v>
      </c>
      <c r="BX1001" t="s">
        <v>125</v>
      </c>
      <c r="BY1001" t="s">
        <v>125</v>
      </c>
      <c r="BZ1001" t="s">
        <v>125</v>
      </c>
      <c r="CA1001" t="s">
        <v>125</v>
      </c>
      <c r="CB1001" t="s">
        <v>125</v>
      </c>
      <c r="CC1001" t="s">
        <v>125</v>
      </c>
      <c r="CD1001" t="s">
        <v>125</v>
      </c>
      <c r="CE1001" t="s">
        <v>125</v>
      </c>
      <c r="CF1001" t="s">
        <v>125</v>
      </c>
      <c r="CG1001" t="s">
        <v>125</v>
      </c>
      <c r="CH1001" t="s">
        <v>125</v>
      </c>
      <c r="CI1001" t="s">
        <v>125</v>
      </c>
      <c r="CJ1001" t="s">
        <v>125</v>
      </c>
      <c r="CK1001" t="s">
        <v>125</v>
      </c>
      <c r="CL1001" t="s">
        <v>125</v>
      </c>
      <c r="CM1001" t="s">
        <v>125</v>
      </c>
      <c r="CN1001" t="s">
        <v>125</v>
      </c>
      <c r="CO1001" t="s">
        <v>125</v>
      </c>
      <c r="CP1001" t="s">
        <v>125</v>
      </c>
      <c r="CQ1001">
        <v>0.734043</v>
      </c>
      <c r="CR1001">
        <v>0.91262100000000002</v>
      </c>
      <c r="CS1001">
        <v>48.936169999999997</v>
      </c>
      <c r="CT1001">
        <v>50</v>
      </c>
      <c r="CU1001" t="s">
        <v>125</v>
      </c>
      <c r="CV1001" t="s">
        <v>125</v>
      </c>
      <c r="CW1001" t="s">
        <v>125</v>
      </c>
      <c r="CX1001" t="s">
        <v>125</v>
      </c>
      <c r="CY1001" t="s">
        <v>125</v>
      </c>
      <c r="CZ1001" t="s">
        <v>125</v>
      </c>
      <c r="DA1001">
        <v>15.314097</v>
      </c>
      <c r="DB1001">
        <v>17.400950000000002</v>
      </c>
      <c r="DC1001">
        <v>16.332519999999999</v>
      </c>
      <c r="DD1001" t="s">
        <v>125</v>
      </c>
      <c r="DE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Q1001" t="s">
        <v>126</v>
      </c>
    </row>
    <row r="1002" spans="1:121" x14ac:dyDescent="0.15">
      <c r="A1002">
        <v>2018</v>
      </c>
      <c r="B1002" t="s">
        <v>207</v>
      </c>
      <c r="C1002" t="str">
        <f>"1530011"</f>
        <v>1530011</v>
      </c>
      <c r="D1002" t="s">
        <v>1147</v>
      </c>
      <c r="E1002" t="str">
        <f>"1530211"</f>
        <v>1530211</v>
      </c>
      <c r="F1002" t="s">
        <v>328</v>
      </c>
      <c r="G1002" t="s">
        <v>329</v>
      </c>
      <c r="H1002">
        <v>2</v>
      </c>
      <c r="I1002" t="s">
        <v>330</v>
      </c>
      <c r="J1002" t="s">
        <v>331</v>
      </c>
      <c r="K1002">
        <v>157.30641199999999</v>
      </c>
      <c r="L1002">
        <v>200</v>
      </c>
      <c r="M1002">
        <v>78.653205999999997</v>
      </c>
      <c r="N1002">
        <v>2</v>
      </c>
      <c r="O1002" t="s">
        <v>125</v>
      </c>
      <c r="P1002" t="s">
        <v>125</v>
      </c>
      <c r="Q1002" t="s">
        <v>125</v>
      </c>
      <c r="R1002" t="s">
        <v>125</v>
      </c>
      <c r="S1002" t="s">
        <v>125</v>
      </c>
      <c r="T1002" t="s">
        <v>125</v>
      </c>
      <c r="U1002" t="s">
        <v>125</v>
      </c>
      <c r="V1002" t="s">
        <v>125</v>
      </c>
      <c r="W1002" t="s">
        <v>125</v>
      </c>
      <c r="X1002" t="s">
        <v>125</v>
      </c>
      <c r="Y1002" t="s">
        <v>125</v>
      </c>
      <c r="Z1002" t="s">
        <v>125</v>
      </c>
      <c r="AA1002" t="s">
        <v>125</v>
      </c>
      <c r="AB1002" t="s">
        <v>125</v>
      </c>
      <c r="AC1002" t="s">
        <v>125</v>
      </c>
      <c r="AD1002" t="s">
        <v>125</v>
      </c>
      <c r="AE1002" t="s">
        <v>125</v>
      </c>
      <c r="AF1002" t="s">
        <v>125</v>
      </c>
      <c r="AG1002" t="s">
        <v>125</v>
      </c>
      <c r="AH1002" t="s">
        <v>125</v>
      </c>
      <c r="AI1002" t="s">
        <v>125</v>
      </c>
      <c r="AJ1002" t="s">
        <v>125</v>
      </c>
      <c r="AK1002" t="s">
        <v>125</v>
      </c>
      <c r="AL1002" t="s">
        <v>125</v>
      </c>
      <c r="AM1002" t="s">
        <v>125</v>
      </c>
      <c r="AN1002" t="s">
        <v>125</v>
      </c>
      <c r="AO1002" t="s">
        <v>125</v>
      </c>
      <c r="AP1002" t="s">
        <v>125</v>
      </c>
      <c r="AQ1002" t="s">
        <v>125</v>
      </c>
      <c r="AR1002" t="s">
        <v>125</v>
      </c>
      <c r="AS1002" t="s">
        <v>125</v>
      </c>
      <c r="AT1002" t="s">
        <v>125</v>
      </c>
      <c r="AU1002" t="s">
        <v>125</v>
      </c>
      <c r="AV1002" t="s">
        <v>125</v>
      </c>
      <c r="AW1002" t="s">
        <v>125</v>
      </c>
      <c r="AX1002" t="s">
        <v>125</v>
      </c>
      <c r="AY1002" t="s">
        <v>125</v>
      </c>
      <c r="AZ1002" t="s">
        <v>125</v>
      </c>
      <c r="BA1002" t="s">
        <v>125</v>
      </c>
      <c r="BB1002">
        <v>0.82938900000000004</v>
      </c>
      <c r="BC1002">
        <v>41.469428999999998</v>
      </c>
      <c r="BD1002">
        <v>50</v>
      </c>
      <c r="BE1002">
        <v>0.59026500000000004</v>
      </c>
      <c r="BF1002">
        <v>29.513268</v>
      </c>
      <c r="BG1002">
        <v>50</v>
      </c>
      <c r="BH1002">
        <v>0</v>
      </c>
      <c r="BI1002" t="s">
        <v>125</v>
      </c>
      <c r="BJ1002" t="s">
        <v>125</v>
      </c>
      <c r="BK1002" t="s">
        <v>125</v>
      </c>
      <c r="BL1002" t="s">
        <v>125</v>
      </c>
      <c r="BM1002" t="s">
        <v>125</v>
      </c>
      <c r="BN1002" t="s">
        <v>125</v>
      </c>
      <c r="BO1002" t="s">
        <v>125</v>
      </c>
      <c r="BP1002" t="s">
        <v>125</v>
      </c>
      <c r="BQ1002" t="s">
        <v>125</v>
      </c>
      <c r="BR1002">
        <v>7.1066000000000004E-2</v>
      </c>
      <c r="BS1002">
        <v>45.786802000000002</v>
      </c>
      <c r="BT1002">
        <v>50</v>
      </c>
      <c r="BU1002">
        <v>9.7314999999999999E-2</v>
      </c>
      <c r="BV1002">
        <v>40.536912999999998</v>
      </c>
      <c r="BW1002">
        <v>50</v>
      </c>
      <c r="BX1002" t="s">
        <v>125</v>
      </c>
      <c r="BY1002" t="s">
        <v>125</v>
      </c>
      <c r="BZ1002" t="s">
        <v>125</v>
      </c>
      <c r="CA1002" t="s">
        <v>125</v>
      </c>
      <c r="CB1002" t="s">
        <v>125</v>
      </c>
      <c r="CC1002" t="s">
        <v>125</v>
      </c>
      <c r="CD1002" t="s">
        <v>125</v>
      </c>
      <c r="CE1002" t="s">
        <v>125</v>
      </c>
      <c r="CF1002" t="s">
        <v>125</v>
      </c>
      <c r="CG1002" t="s">
        <v>125</v>
      </c>
      <c r="CH1002" t="s">
        <v>125</v>
      </c>
      <c r="CI1002" t="s">
        <v>125</v>
      </c>
      <c r="CJ1002" t="s">
        <v>125</v>
      </c>
      <c r="CK1002" t="s">
        <v>125</v>
      </c>
      <c r="CL1002" t="s">
        <v>125</v>
      </c>
      <c r="CM1002" t="s">
        <v>125</v>
      </c>
      <c r="CN1002" t="s">
        <v>125</v>
      </c>
      <c r="CO1002" t="s">
        <v>125</v>
      </c>
      <c r="CP1002" t="s">
        <v>125</v>
      </c>
      <c r="CQ1002" t="s">
        <v>125</v>
      </c>
      <c r="CR1002" t="s">
        <v>125</v>
      </c>
      <c r="CS1002" t="s">
        <v>125</v>
      </c>
      <c r="CT1002" t="s">
        <v>125</v>
      </c>
      <c r="CU1002" t="s">
        <v>125</v>
      </c>
      <c r="CV1002" t="s">
        <v>125</v>
      </c>
      <c r="CW1002" t="s">
        <v>125</v>
      </c>
      <c r="CX1002" t="s">
        <v>125</v>
      </c>
      <c r="CY1002" t="s">
        <v>125</v>
      </c>
      <c r="CZ1002" t="s">
        <v>125</v>
      </c>
      <c r="DA1002" t="s">
        <v>125</v>
      </c>
      <c r="DB1002" t="s">
        <v>125</v>
      </c>
      <c r="DC1002" t="s">
        <v>125</v>
      </c>
      <c r="DD1002" t="s">
        <v>125</v>
      </c>
      <c r="DE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Q1002" t="s">
        <v>126</v>
      </c>
    </row>
    <row r="1003" spans="1:121" x14ac:dyDescent="0.15">
      <c r="A1003">
        <v>2018</v>
      </c>
      <c r="B1003" t="s">
        <v>207</v>
      </c>
      <c r="C1003" t="str">
        <f>"1530011"</f>
        <v>1530011</v>
      </c>
      <c r="D1003" t="s">
        <v>1148</v>
      </c>
      <c r="E1003" t="str">
        <f>"1530411"</f>
        <v>1530411</v>
      </c>
      <c r="F1003" t="s">
        <v>328</v>
      </c>
      <c r="G1003">
        <v>3</v>
      </c>
      <c r="H1003">
        <v>5</v>
      </c>
      <c r="I1003" t="s">
        <v>330</v>
      </c>
      <c r="J1003" t="s">
        <v>331</v>
      </c>
      <c r="K1003">
        <v>749.39523299999996</v>
      </c>
      <c r="L1003">
        <v>950</v>
      </c>
      <c r="M1003">
        <v>78.883708999999996</v>
      </c>
      <c r="N1003">
        <v>2</v>
      </c>
      <c r="O1003">
        <v>0</v>
      </c>
      <c r="P1003">
        <v>73.476146</v>
      </c>
      <c r="Q1003">
        <v>48.984096999999998</v>
      </c>
      <c r="R1003">
        <v>50</v>
      </c>
      <c r="S1003">
        <v>70.472894999999994</v>
      </c>
      <c r="T1003">
        <v>75</v>
      </c>
      <c r="U1003">
        <v>46.981929999999998</v>
      </c>
      <c r="V1003">
        <v>50</v>
      </c>
      <c r="W1003">
        <v>73.275757999999996</v>
      </c>
      <c r="X1003">
        <v>48.850504999999998</v>
      </c>
      <c r="Y1003">
        <v>50</v>
      </c>
      <c r="Z1003">
        <v>75</v>
      </c>
      <c r="AA1003">
        <v>68.855405000000005</v>
      </c>
      <c r="AB1003">
        <v>45.903602999999997</v>
      </c>
      <c r="AC1003">
        <v>50</v>
      </c>
      <c r="AD1003">
        <v>68.026520000000005</v>
      </c>
      <c r="AE1003">
        <v>45.351013000000002</v>
      </c>
      <c r="AF1003">
        <v>50</v>
      </c>
      <c r="AG1003">
        <v>65.119175999999996</v>
      </c>
      <c r="AH1003">
        <v>71.166452000000007</v>
      </c>
      <c r="AI1003">
        <v>43.412784000000002</v>
      </c>
      <c r="AJ1003">
        <v>50</v>
      </c>
      <c r="AK1003">
        <v>4.5199999999999996</v>
      </c>
      <c r="AL1003">
        <v>6.14</v>
      </c>
      <c r="AM1003">
        <v>6.04</v>
      </c>
      <c r="AN1003">
        <v>0.70313400000000004</v>
      </c>
      <c r="AO1003">
        <v>70.313361</v>
      </c>
      <c r="AP1003">
        <v>100</v>
      </c>
      <c r="AQ1003">
        <v>0.788439</v>
      </c>
      <c r="AR1003">
        <v>78.843948999999995</v>
      </c>
      <c r="AS1003">
        <v>100</v>
      </c>
      <c r="AT1003">
        <v>0.70811599999999997</v>
      </c>
      <c r="AU1003">
        <v>0.69754899999999997</v>
      </c>
      <c r="AV1003">
        <v>70.811578999999995</v>
      </c>
      <c r="AW1003">
        <v>100</v>
      </c>
      <c r="AX1003">
        <v>0.76425699999999996</v>
      </c>
      <c r="AY1003">
        <v>0.81554499999999996</v>
      </c>
      <c r="AZ1003">
        <v>76.425718000000003</v>
      </c>
      <c r="BA1003">
        <v>100</v>
      </c>
      <c r="BB1003">
        <v>0.71881300000000004</v>
      </c>
      <c r="BC1003">
        <v>35.940643999999999</v>
      </c>
      <c r="BD1003">
        <v>50</v>
      </c>
      <c r="BE1003">
        <v>0.33056999999999997</v>
      </c>
      <c r="BF1003">
        <v>16.528503000000001</v>
      </c>
      <c r="BG1003">
        <v>50</v>
      </c>
      <c r="BH1003">
        <v>0</v>
      </c>
      <c r="BI1003">
        <v>0.99038499999999996</v>
      </c>
      <c r="BJ1003">
        <v>0.98235300000000003</v>
      </c>
      <c r="BK1003">
        <v>1</v>
      </c>
      <c r="BL1003">
        <v>0.98717900000000003</v>
      </c>
      <c r="BM1003">
        <v>0.98235300000000003</v>
      </c>
      <c r="BN1003">
        <v>0.99295800000000001</v>
      </c>
      <c r="BO1003">
        <v>1</v>
      </c>
      <c r="BP1003">
        <v>1</v>
      </c>
      <c r="BQ1003">
        <v>1</v>
      </c>
      <c r="BR1003">
        <v>3.8585000000000001E-2</v>
      </c>
      <c r="BS1003">
        <v>50</v>
      </c>
      <c r="BT1003">
        <v>50</v>
      </c>
      <c r="BU1003">
        <v>6.4326999999999995E-2</v>
      </c>
      <c r="BV1003">
        <v>47.134503000000002</v>
      </c>
      <c r="BW1003">
        <v>50</v>
      </c>
      <c r="BX1003" t="s">
        <v>125</v>
      </c>
      <c r="BY1003" t="s">
        <v>125</v>
      </c>
      <c r="BZ1003" t="s">
        <v>125</v>
      </c>
      <c r="CA1003" t="s">
        <v>125</v>
      </c>
      <c r="CB1003" t="s">
        <v>125</v>
      </c>
      <c r="CC1003" t="s">
        <v>125</v>
      </c>
      <c r="CD1003" t="s">
        <v>125</v>
      </c>
      <c r="CE1003" t="s">
        <v>125</v>
      </c>
      <c r="CF1003" t="s">
        <v>125</v>
      </c>
      <c r="CG1003" t="s">
        <v>125</v>
      </c>
      <c r="CH1003" t="s">
        <v>125</v>
      </c>
      <c r="CI1003" t="s">
        <v>125</v>
      </c>
      <c r="CJ1003" t="s">
        <v>125</v>
      </c>
      <c r="CK1003" t="s">
        <v>125</v>
      </c>
      <c r="CL1003" t="s">
        <v>125</v>
      </c>
      <c r="CM1003" t="s">
        <v>125</v>
      </c>
      <c r="CN1003" t="s">
        <v>125</v>
      </c>
      <c r="CO1003" t="s">
        <v>125</v>
      </c>
      <c r="CP1003" t="s">
        <v>125</v>
      </c>
      <c r="CQ1003">
        <v>0.717391</v>
      </c>
      <c r="CR1003">
        <v>0.87619000000000002</v>
      </c>
      <c r="CS1003">
        <v>23.913042999999998</v>
      </c>
      <c r="CT1003">
        <v>50</v>
      </c>
      <c r="CU1003" t="s">
        <v>125</v>
      </c>
      <c r="CV1003" t="s">
        <v>125</v>
      </c>
      <c r="CW1003" t="s">
        <v>125</v>
      </c>
      <c r="CX1003" t="s">
        <v>125</v>
      </c>
      <c r="CY1003" t="s">
        <v>125</v>
      </c>
      <c r="CZ1003" t="s">
        <v>125</v>
      </c>
      <c r="DA1003">
        <v>15.314097</v>
      </c>
      <c r="DB1003">
        <v>17.400950000000002</v>
      </c>
      <c r="DC1003">
        <v>16.332519999999999</v>
      </c>
      <c r="DD1003" t="s">
        <v>125</v>
      </c>
      <c r="DE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Q1003" t="s">
        <v>126</v>
      </c>
    </row>
    <row r="1004" spans="1:121" x14ac:dyDescent="0.15">
      <c r="A1004">
        <v>2018</v>
      </c>
      <c r="B1004" t="s">
        <v>207</v>
      </c>
      <c r="C1004" t="str">
        <f>"1530011"</f>
        <v>1530011</v>
      </c>
      <c r="D1004" t="s">
        <v>1149</v>
      </c>
      <c r="E1004" t="str">
        <f>"1535111"</f>
        <v>1535111</v>
      </c>
      <c r="F1004" t="s">
        <v>328</v>
      </c>
      <c r="G1004">
        <v>6</v>
      </c>
      <c r="H1004">
        <v>8</v>
      </c>
      <c r="I1004" t="s">
        <v>330</v>
      </c>
      <c r="J1004" t="s">
        <v>331</v>
      </c>
      <c r="K1004">
        <v>626.17177500000003</v>
      </c>
      <c r="L1004">
        <v>900</v>
      </c>
      <c r="M1004">
        <v>69.574641999999997</v>
      </c>
      <c r="N1004">
        <v>3</v>
      </c>
      <c r="O1004">
        <v>0</v>
      </c>
      <c r="P1004">
        <v>71.705293999999995</v>
      </c>
      <c r="Q1004">
        <v>47.803528999999997</v>
      </c>
      <c r="R1004">
        <v>50</v>
      </c>
      <c r="S1004">
        <v>63.961278</v>
      </c>
      <c r="T1004">
        <v>75</v>
      </c>
      <c r="U1004">
        <v>42.640852000000002</v>
      </c>
      <c r="V1004">
        <v>50</v>
      </c>
      <c r="W1004">
        <v>62.343063000000001</v>
      </c>
      <c r="X1004">
        <v>41.562041999999998</v>
      </c>
      <c r="Y1004">
        <v>50</v>
      </c>
      <c r="Z1004">
        <v>69.252960999999999</v>
      </c>
      <c r="AA1004">
        <v>53.386679000000001</v>
      </c>
      <c r="AB1004">
        <v>35.591118999999999</v>
      </c>
      <c r="AC1004">
        <v>50</v>
      </c>
      <c r="AD1004">
        <v>71.878821000000002</v>
      </c>
      <c r="AE1004">
        <v>47.919213999999997</v>
      </c>
      <c r="AF1004">
        <v>50</v>
      </c>
      <c r="AG1004">
        <v>65.307608000000002</v>
      </c>
      <c r="AH1004">
        <v>75</v>
      </c>
      <c r="AI1004">
        <v>43.538404999999997</v>
      </c>
      <c r="AJ1004">
        <v>50</v>
      </c>
      <c r="AK1004">
        <v>11.03</v>
      </c>
      <c r="AL1004">
        <v>15.86</v>
      </c>
      <c r="AM1004">
        <v>9.69</v>
      </c>
      <c r="AN1004">
        <v>0.55408800000000002</v>
      </c>
      <c r="AO1004">
        <v>55.408821000000003</v>
      </c>
      <c r="AP1004">
        <v>100</v>
      </c>
      <c r="AQ1004">
        <v>0.49065599999999998</v>
      </c>
      <c r="AR1004">
        <v>49.065604</v>
      </c>
      <c r="AS1004">
        <v>100</v>
      </c>
      <c r="AT1004">
        <v>0.52589900000000001</v>
      </c>
      <c r="AU1004">
        <v>0.574735</v>
      </c>
      <c r="AV1004">
        <v>52.589942000000001</v>
      </c>
      <c r="AW1004">
        <v>100</v>
      </c>
      <c r="AX1004">
        <v>0.42595899999999998</v>
      </c>
      <c r="AY1004">
        <v>0.53781999999999996</v>
      </c>
      <c r="AZ1004">
        <v>42.595897999999998</v>
      </c>
      <c r="BA1004">
        <v>100</v>
      </c>
      <c r="BB1004" t="s">
        <v>125</v>
      </c>
      <c r="BC1004" t="s">
        <v>125</v>
      </c>
      <c r="BD1004" t="s">
        <v>125</v>
      </c>
      <c r="BE1004" t="s">
        <v>125</v>
      </c>
      <c r="BF1004" t="s">
        <v>125</v>
      </c>
      <c r="BG1004" t="s">
        <v>125</v>
      </c>
      <c r="BH1004">
        <v>0</v>
      </c>
      <c r="BI1004">
        <v>0.98680400000000001</v>
      </c>
      <c r="BJ1004">
        <v>0.98349799999999998</v>
      </c>
      <c r="BK1004">
        <v>0.98944600000000005</v>
      </c>
      <c r="BL1004">
        <v>0.98531599999999997</v>
      </c>
      <c r="BM1004">
        <v>0.98019800000000001</v>
      </c>
      <c r="BN1004">
        <v>0.98941800000000002</v>
      </c>
      <c r="BO1004">
        <v>0.99052099999999998</v>
      </c>
      <c r="BP1004">
        <v>0.98979600000000001</v>
      </c>
      <c r="BQ1004">
        <v>0.99114999999999998</v>
      </c>
      <c r="BR1004">
        <v>5.5965000000000001E-2</v>
      </c>
      <c r="BS1004">
        <v>48.807068999999998</v>
      </c>
      <c r="BT1004">
        <v>50</v>
      </c>
      <c r="BU1004">
        <v>9.6346000000000001E-2</v>
      </c>
      <c r="BV1004">
        <v>40.730896999999999</v>
      </c>
      <c r="BW1004">
        <v>50</v>
      </c>
      <c r="BX1004" t="s">
        <v>125</v>
      </c>
      <c r="BY1004" t="s">
        <v>125</v>
      </c>
      <c r="BZ1004" t="s">
        <v>125</v>
      </c>
      <c r="CA1004" t="s">
        <v>125</v>
      </c>
      <c r="CB1004" t="s">
        <v>125</v>
      </c>
      <c r="CC1004" t="s">
        <v>125</v>
      </c>
      <c r="CD1004">
        <v>0.91981100000000005</v>
      </c>
      <c r="CE1004">
        <v>48.926133999999998</v>
      </c>
      <c r="CF1004">
        <v>50</v>
      </c>
      <c r="CG1004" t="s">
        <v>125</v>
      </c>
      <c r="CH1004" t="s">
        <v>125</v>
      </c>
      <c r="CI1004" t="s">
        <v>125</v>
      </c>
      <c r="CJ1004" t="s">
        <v>125</v>
      </c>
      <c r="CK1004" t="s">
        <v>125</v>
      </c>
      <c r="CL1004" t="s">
        <v>125</v>
      </c>
      <c r="CM1004" t="s">
        <v>125</v>
      </c>
      <c r="CN1004" t="s">
        <v>125</v>
      </c>
      <c r="CO1004" t="s">
        <v>125</v>
      </c>
      <c r="CP1004" t="s">
        <v>125</v>
      </c>
      <c r="CQ1004">
        <v>0.43488399999999999</v>
      </c>
      <c r="CR1004">
        <v>0.95343699999999998</v>
      </c>
      <c r="CS1004">
        <v>28.992248</v>
      </c>
      <c r="CT1004">
        <v>50</v>
      </c>
      <c r="CU1004" t="s">
        <v>125</v>
      </c>
      <c r="CV1004" t="s">
        <v>125</v>
      </c>
      <c r="CW1004" t="s">
        <v>125</v>
      </c>
      <c r="CX1004" t="s">
        <v>125</v>
      </c>
      <c r="CY1004" t="s">
        <v>125</v>
      </c>
      <c r="CZ1004" t="s">
        <v>125</v>
      </c>
      <c r="DA1004">
        <v>15.314097</v>
      </c>
      <c r="DB1004">
        <v>17.400950000000002</v>
      </c>
      <c r="DC1004">
        <v>16.332519999999999</v>
      </c>
      <c r="DD1004" t="s">
        <v>125</v>
      </c>
      <c r="DE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Q1004" t="s">
        <v>126</v>
      </c>
    </row>
    <row r="1005" spans="1:121" x14ac:dyDescent="0.15">
      <c r="A1005">
        <v>2018</v>
      </c>
      <c r="B1005" t="s">
        <v>207</v>
      </c>
      <c r="C1005" t="str">
        <f>"1530011"</f>
        <v>1530011</v>
      </c>
      <c r="D1005" t="s">
        <v>1150</v>
      </c>
      <c r="E1005" t="str">
        <f>"1536111"</f>
        <v>1536111</v>
      </c>
      <c r="F1005" t="s">
        <v>328</v>
      </c>
      <c r="G1005">
        <v>9</v>
      </c>
      <c r="H1005">
        <v>12</v>
      </c>
      <c r="J1005" t="s">
        <v>331</v>
      </c>
      <c r="K1005">
        <v>1034.6240479999999</v>
      </c>
      <c r="L1005">
        <v>1450</v>
      </c>
      <c r="M1005">
        <v>71.353382999999994</v>
      </c>
      <c r="N1005">
        <v>3</v>
      </c>
      <c r="O1005">
        <v>0</v>
      </c>
      <c r="P1005">
        <v>53.941957000000002</v>
      </c>
      <c r="Q1005">
        <v>107.883914</v>
      </c>
      <c r="R1005">
        <v>150</v>
      </c>
      <c r="S1005">
        <v>46.297778000000001</v>
      </c>
      <c r="T1005">
        <v>58.492063000000002</v>
      </c>
      <c r="U1005">
        <v>92.595556000000002</v>
      </c>
      <c r="V1005">
        <v>150</v>
      </c>
      <c r="W1005">
        <v>51.801547999999997</v>
      </c>
      <c r="X1005">
        <v>103.60309599999999</v>
      </c>
      <c r="Y1005">
        <v>150</v>
      </c>
      <c r="Z1005">
        <v>55.989418000000001</v>
      </c>
      <c r="AA1005">
        <v>44.765926</v>
      </c>
      <c r="AB1005">
        <v>89.531852000000001</v>
      </c>
      <c r="AC1005">
        <v>150</v>
      </c>
      <c r="AD1005">
        <v>52.511206999999999</v>
      </c>
      <c r="AE1005">
        <v>70.014942000000005</v>
      </c>
      <c r="AF1005">
        <v>100</v>
      </c>
      <c r="AG1005">
        <v>46.405023999999997</v>
      </c>
      <c r="AH1005">
        <v>56.272615000000002</v>
      </c>
      <c r="AI1005">
        <v>61.873365</v>
      </c>
      <c r="AJ1005">
        <v>100</v>
      </c>
      <c r="AK1005">
        <v>12.19</v>
      </c>
      <c r="AL1005">
        <v>11.22</v>
      </c>
      <c r="AM1005">
        <v>9.86</v>
      </c>
      <c r="AN1005" t="s">
        <v>125</v>
      </c>
      <c r="AO1005" t="s">
        <v>125</v>
      </c>
      <c r="AP1005" t="s">
        <v>125</v>
      </c>
      <c r="AQ1005" t="s">
        <v>125</v>
      </c>
      <c r="AR1005" t="s">
        <v>125</v>
      </c>
      <c r="AS1005" t="s">
        <v>125</v>
      </c>
      <c r="AT1005" t="s">
        <v>125</v>
      </c>
      <c r="AU1005" t="s">
        <v>125</v>
      </c>
      <c r="AV1005" t="s">
        <v>125</v>
      </c>
      <c r="AW1005" t="s">
        <v>125</v>
      </c>
      <c r="AX1005" t="s">
        <v>125</v>
      </c>
      <c r="AY1005" t="s">
        <v>125</v>
      </c>
      <c r="AZ1005" t="s">
        <v>125</v>
      </c>
      <c r="BA1005" t="s">
        <v>125</v>
      </c>
      <c r="BB1005" t="s">
        <v>125</v>
      </c>
      <c r="BC1005" t="s">
        <v>125</v>
      </c>
      <c r="BD1005" t="s">
        <v>125</v>
      </c>
      <c r="BE1005" t="s">
        <v>125</v>
      </c>
      <c r="BF1005" t="s">
        <v>125</v>
      </c>
      <c r="BG1005" t="s">
        <v>125</v>
      </c>
      <c r="BH1005">
        <v>1</v>
      </c>
      <c r="BI1005">
        <v>0.975962</v>
      </c>
      <c r="BJ1005">
        <v>0.93902399999999997</v>
      </c>
      <c r="BK1005">
        <v>1</v>
      </c>
      <c r="BL1005">
        <v>0.975962</v>
      </c>
      <c r="BM1005">
        <v>0.93902399999999997</v>
      </c>
      <c r="BN1005">
        <v>1</v>
      </c>
      <c r="BO1005">
        <v>0.975962</v>
      </c>
      <c r="BP1005">
        <v>0.95121999999999995</v>
      </c>
      <c r="BQ1005">
        <v>0.99206300000000003</v>
      </c>
      <c r="BR1005">
        <v>0.219024</v>
      </c>
      <c r="BS1005">
        <v>16.195243999999999</v>
      </c>
      <c r="BT1005">
        <v>50</v>
      </c>
      <c r="BU1005">
        <v>0.31645600000000002</v>
      </c>
      <c r="BV1005">
        <v>0</v>
      </c>
      <c r="BW1005">
        <v>50</v>
      </c>
      <c r="BX1005">
        <v>0.62470300000000001</v>
      </c>
      <c r="BY1005">
        <v>41.646872999999999</v>
      </c>
      <c r="BZ1005">
        <v>50</v>
      </c>
      <c r="CA1005">
        <v>0.396675</v>
      </c>
      <c r="CB1005">
        <v>26.444972</v>
      </c>
      <c r="CC1005">
        <v>50</v>
      </c>
      <c r="CD1005">
        <v>0.91</v>
      </c>
      <c r="CE1005">
        <v>48.404254999999999</v>
      </c>
      <c r="CF1005">
        <v>50</v>
      </c>
      <c r="CG1005">
        <v>0.94786700000000002</v>
      </c>
      <c r="CH1005">
        <v>100</v>
      </c>
      <c r="CI1005">
        <v>100</v>
      </c>
      <c r="CJ1005">
        <v>0</v>
      </c>
      <c r="CK1005">
        <v>0.95121999999999995</v>
      </c>
      <c r="CL1005">
        <v>100</v>
      </c>
      <c r="CM1005">
        <v>100</v>
      </c>
      <c r="CN1005">
        <v>0.75122</v>
      </c>
      <c r="CO1005">
        <v>100</v>
      </c>
      <c r="CP1005">
        <v>100</v>
      </c>
      <c r="CQ1005">
        <v>0.39645000000000002</v>
      </c>
      <c r="CR1005">
        <v>0.93888899999999997</v>
      </c>
      <c r="CS1005">
        <v>26.42998</v>
      </c>
      <c r="CT1005">
        <v>50</v>
      </c>
      <c r="CU1005">
        <v>0.61201499999999998</v>
      </c>
      <c r="CV1005">
        <v>50</v>
      </c>
      <c r="CW1005">
        <v>50</v>
      </c>
      <c r="CX1005">
        <v>0.95121999999999995</v>
      </c>
      <c r="CY1005">
        <v>0.94</v>
      </c>
      <c r="CZ1005">
        <v>-1.1220000000000001E-2</v>
      </c>
      <c r="DA1005">
        <v>15.314097</v>
      </c>
      <c r="DB1005">
        <v>17.400950000000002</v>
      </c>
      <c r="DC1005">
        <v>16.332519999999999</v>
      </c>
      <c r="DD1005">
        <v>7.9891730000000001</v>
      </c>
      <c r="DE1005">
        <v>1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Q1005" t="s">
        <v>126</v>
      </c>
    </row>
    <row r="1006" spans="1:121" x14ac:dyDescent="0.15">
      <c r="A1006">
        <v>2018</v>
      </c>
      <c r="B1006" t="s">
        <v>211</v>
      </c>
      <c r="C1006" t="str">
        <f>"1540011"</f>
        <v>1540011</v>
      </c>
      <c r="D1006" t="s">
        <v>1151</v>
      </c>
      <c r="E1006" t="str">
        <f>"1540211"</f>
        <v>1540211</v>
      </c>
      <c r="F1006" t="s">
        <v>328</v>
      </c>
      <c r="G1006" t="s">
        <v>329</v>
      </c>
      <c r="H1006">
        <v>4</v>
      </c>
      <c r="I1006" t="s">
        <v>330</v>
      </c>
      <c r="J1006" t="s">
        <v>331</v>
      </c>
      <c r="K1006">
        <v>575.81642199999999</v>
      </c>
      <c r="L1006">
        <v>650</v>
      </c>
      <c r="M1006">
        <v>88.587142</v>
      </c>
      <c r="N1006">
        <v>1</v>
      </c>
      <c r="O1006">
        <v>0</v>
      </c>
      <c r="P1006">
        <v>78.726731999999998</v>
      </c>
      <c r="Q1006">
        <v>50</v>
      </c>
      <c r="R1006">
        <v>50</v>
      </c>
      <c r="S1006">
        <v>72.345017999999996</v>
      </c>
      <c r="T1006">
        <v>75</v>
      </c>
      <c r="U1006">
        <v>48.230012000000002</v>
      </c>
      <c r="V1006">
        <v>50</v>
      </c>
      <c r="W1006">
        <v>79.805598000000003</v>
      </c>
      <c r="X1006">
        <v>50</v>
      </c>
      <c r="Y1006">
        <v>50</v>
      </c>
      <c r="Z1006">
        <v>75</v>
      </c>
      <c r="AA1006">
        <v>74.524029999999996</v>
      </c>
      <c r="AB1006">
        <v>49.682687000000001</v>
      </c>
      <c r="AC1006">
        <v>50</v>
      </c>
      <c r="AD1006" t="s">
        <v>125</v>
      </c>
      <c r="AE1006" t="s">
        <v>125</v>
      </c>
      <c r="AF1006" t="s">
        <v>125</v>
      </c>
      <c r="AG1006" t="s">
        <v>125</v>
      </c>
      <c r="AH1006" t="s">
        <v>125</v>
      </c>
      <c r="AI1006" t="s">
        <v>125</v>
      </c>
      <c r="AJ1006" t="s">
        <v>125</v>
      </c>
      <c r="AK1006">
        <v>2.65</v>
      </c>
      <c r="AL1006">
        <v>0.47</v>
      </c>
      <c r="AM1006" t="s">
        <v>125</v>
      </c>
      <c r="AN1006">
        <v>0.70481000000000005</v>
      </c>
      <c r="AO1006">
        <v>70.480951000000005</v>
      </c>
      <c r="AP1006">
        <v>100</v>
      </c>
      <c r="AQ1006">
        <v>0.92194100000000001</v>
      </c>
      <c r="AR1006">
        <v>92.194109999999995</v>
      </c>
      <c r="AS1006">
        <v>100</v>
      </c>
      <c r="AT1006" t="s">
        <v>125</v>
      </c>
      <c r="AU1006">
        <v>0.70815099999999997</v>
      </c>
      <c r="AV1006" t="s">
        <v>125</v>
      </c>
      <c r="AW1006" t="s">
        <v>125</v>
      </c>
      <c r="AX1006" t="s">
        <v>125</v>
      </c>
      <c r="AY1006">
        <v>0.891262</v>
      </c>
      <c r="AZ1006" t="s">
        <v>125</v>
      </c>
      <c r="BA1006" t="s">
        <v>125</v>
      </c>
      <c r="BB1006">
        <v>0.67752100000000004</v>
      </c>
      <c r="BC1006">
        <v>33.876072000000001</v>
      </c>
      <c r="BD1006">
        <v>50</v>
      </c>
      <c r="BE1006">
        <v>0.64292499999999997</v>
      </c>
      <c r="BF1006">
        <v>32.146241000000003</v>
      </c>
      <c r="BG1006">
        <v>50</v>
      </c>
      <c r="BH1006">
        <v>0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 t="s">
        <v>125</v>
      </c>
      <c r="BP1006" t="s">
        <v>125</v>
      </c>
      <c r="BQ1006" t="s">
        <v>125</v>
      </c>
      <c r="BR1006">
        <v>4.7169999999999998E-3</v>
      </c>
      <c r="BS1006">
        <v>50</v>
      </c>
      <c r="BT1006">
        <v>50</v>
      </c>
      <c r="BU1006">
        <v>9.2589999999999999E-3</v>
      </c>
      <c r="BV1006">
        <v>50</v>
      </c>
      <c r="BW1006">
        <v>50</v>
      </c>
      <c r="BX1006" t="s">
        <v>125</v>
      </c>
      <c r="BY1006" t="s">
        <v>125</v>
      </c>
      <c r="BZ1006" t="s">
        <v>125</v>
      </c>
      <c r="CA1006" t="s">
        <v>125</v>
      </c>
      <c r="CB1006" t="s">
        <v>125</v>
      </c>
      <c r="CC1006" t="s">
        <v>125</v>
      </c>
      <c r="CD1006" t="s">
        <v>125</v>
      </c>
      <c r="CE1006" t="s">
        <v>125</v>
      </c>
      <c r="CF1006" t="s">
        <v>125</v>
      </c>
      <c r="CG1006" t="s">
        <v>125</v>
      </c>
      <c r="CH1006" t="s">
        <v>125</v>
      </c>
      <c r="CI1006" t="s">
        <v>125</v>
      </c>
      <c r="CJ1006" t="s">
        <v>125</v>
      </c>
      <c r="CK1006" t="s">
        <v>125</v>
      </c>
      <c r="CL1006" t="s">
        <v>125</v>
      </c>
      <c r="CM1006" t="s">
        <v>125</v>
      </c>
      <c r="CN1006" t="s">
        <v>125</v>
      </c>
      <c r="CO1006" t="s">
        <v>125</v>
      </c>
      <c r="CP1006" t="s">
        <v>125</v>
      </c>
      <c r="CQ1006">
        <v>0.73809499999999995</v>
      </c>
      <c r="CR1006">
        <v>0.97674399999999995</v>
      </c>
      <c r="CS1006">
        <v>49.206349000000003</v>
      </c>
      <c r="CT1006">
        <v>50</v>
      </c>
      <c r="CU1006" t="s">
        <v>125</v>
      </c>
      <c r="CV1006" t="s">
        <v>125</v>
      </c>
      <c r="CW1006" t="s">
        <v>125</v>
      </c>
      <c r="CX1006" t="s">
        <v>125</v>
      </c>
      <c r="CY1006" t="s">
        <v>125</v>
      </c>
      <c r="CZ1006" t="s">
        <v>125</v>
      </c>
      <c r="DA1006">
        <v>15.314097</v>
      </c>
      <c r="DB1006">
        <v>17.400950000000002</v>
      </c>
      <c r="DC1006">
        <v>16.332519999999999</v>
      </c>
      <c r="DD1006" t="s">
        <v>125</v>
      </c>
      <c r="DE1006">
        <v>0</v>
      </c>
      <c r="DH1006" t="s">
        <v>332</v>
      </c>
      <c r="DI1006" t="s">
        <v>546</v>
      </c>
      <c r="DJ1006">
        <v>1</v>
      </c>
      <c r="DK1006">
        <v>0</v>
      </c>
      <c r="DL1006">
        <v>1</v>
      </c>
      <c r="DM1006">
        <v>0</v>
      </c>
      <c r="DN1006">
        <v>0</v>
      </c>
      <c r="DO1006">
        <v>0</v>
      </c>
      <c r="DQ1006" t="s">
        <v>126</v>
      </c>
    </row>
    <row r="1007" spans="1:121" x14ac:dyDescent="0.15">
      <c r="A1007">
        <v>2018</v>
      </c>
      <c r="B1007" t="s">
        <v>211</v>
      </c>
      <c r="C1007" t="str">
        <f>"1540011"</f>
        <v>1540011</v>
      </c>
      <c r="D1007" t="s">
        <v>1152</v>
      </c>
      <c r="E1007" t="str">
        <f>"1546111"</f>
        <v>1546111</v>
      </c>
      <c r="F1007" t="s">
        <v>328</v>
      </c>
      <c r="G1007">
        <v>9</v>
      </c>
      <c r="H1007">
        <v>12</v>
      </c>
      <c r="J1007" t="s">
        <v>331</v>
      </c>
      <c r="K1007">
        <v>1118.209965</v>
      </c>
      <c r="L1007">
        <v>1450</v>
      </c>
      <c r="M1007">
        <v>77.117929000000004</v>
      </c>
      <c r="N1007">
        <v>3</v>
      </c>
      <c r="O1007">
        <v>1</v>
      </c>
      <c r="P1007">
        <v>65.476190000000003</v>
      </c>
      <c r="Q1007">
        <v>130.952381</v>
      </c>
      <c r="R1007">
        <v>150</v>
      </c>
      <c r="S1007">
        <v>53.808332999999998</v>
      </c>
      <c r="T1007">
        <v>73.522988999999995</v>
      </c>
      <c r="U1007">
        <v>107.61666700000001</v>
      </c>
      <c r="V1007">
        <v>150</v>
      </c>
      <c r="W1007">
        <v>61.285713999999999</v>
      </c>
      <c r="X1007">
        <v>122.57142899999999</v>
      </c>
      <c r="Y1007">
        <v>150</v>
      </c>
      <c r="Z1007">
        <v>69.477011000000005</v>
      </c>
      <c r="AA1007">
        <v>49.408332999999999</v>
      </c>
      <c r="AB1007">
        <v>98.816666999999995</v>
      </c>
      <c r="AC1007">
        <v>150</v>
      </c>
      <c r="AD1007">
        <v>55.293564000000003</v>
      </c>
      <c r="AE1007">
        <v>73.724750999999998</v>
      </c>
      <c r="AF1007">
        <v>100</v>
      </c>
      <c r="AG1007">
        <v>44.592308000000003</v>
      </c>
      <c r="AH1007">
        <v>62.673740000000002</v>
      </c>
      <c r="AI1007">
        <v>59.456409999999998</v>
      </c>
      <c r="AJ1007">
        <v>100</v>
      </c>
      <c r="AK1007">
        <v>19.71</v>
      </c>
      <c r="AL1007">
        <v>20.059999999999999</v>
      </c>
      <c r="AM1007">
        <v>18.079999999999998</v>
      </c>
      <c r="AN1007" t="s">
        <v>125</v>
      </c>
      <c r="AO1007" t="s">
        <v>125</v>
      </c>
      <c r="AP1007" t="s">
        <v>125</v>
      </c>
      <c r="AQ1007" t="s">
        <v>125</v>
      </c>
      <c r="AR1007" t="s">
        <v>125</v>
      </c>
      <c r="AS1007" t="s">
        <v>125</v>
      </c>
      <c r="AT1007" t="s">
        <v>125</v>
      </c>
      <c r="AU1007" t="s">
        <v>125</v>
      </c>
      <c r="AV1007" t="s">
        <v>125</v>
      </c>
      <c r="AW1007" t="s">
        <v>125</v>
      </c>
      <c r="AX1007" t="s">
        <v>125</v>
      </c>
      <c r="AY1007" t="s">
        <v>125</v>
      </c>
      <c r="AZ1007" t="s">
        <v>125</v>
      </c>
      <c r="BA1007" t="s">
        <v>125</v>
      </c>
      <c r="BB1007" t="s">
        <v>125</v>
      </c>
      <c r="BC1007" t="s">
        <v>125</v>
      </c>
      <c r="BD1007" t="s">
        <v>125</v>
      </c>
      <c r="BE1007" t="s">
        <v>125</v>
      </c>
      <c r="BF1007" t="s">
        <v>125</v>
      </c>
      <c r="BG1007" t="s">
        <v>125</v>
      </c>
      <c r="BH1007">
        <v>1</v>
      </c>
      <c r="BI1007">
        <v>0.94444399999999995</v>
      </c>
      <c r="BJ1007">
        <v>0.88</v>
      </c>
      <c r="BK1007">
        <v>1</v>
      </c>
      <c r="BL1007">
        <v>0.94444399999999995</v>
      </c>
      <c r="BM1007">
        <v>0.88</v>
      </c>
      <c r="BN1007">
        <v>1</v>
      </c>
      <c r="BO1007">
        <v>0.96363600000000005</v>
      </c>
      <c r="BP1007">
        <v>0.92307700000000004</v>
      </c>
      <c r="BQ1007">
        <v>1</v>
      </c>
      <c r="BR1007">
        <v>9.6490999999999993E-2</v>
      </c>
      <c r="BS1007">
        <v>40.701754000000001</v>
      </c>
      <c r="BT1007">
        <v>50</v>
      </c>
      <c r="BU1007">
        <v>0.20430100000000001</v>
      </c>
      <c r="BV1007">
        <v>19.139785</v>
      </c>
      <c r="BW1007">
        <v>50</v>
      </c>
      <c r="BX1007">
        <v>0.60344799999999998</v>
      </c>
      <c r="BY1007">
        <v>40.229885000000003</v>
      </c>
      <c r="BZ1007">
        <v>50</v>
      </c>
      <c r="CA1007">
        <v>0.52586200000000005</v>
      </c>
      <c r="CB1007">
        <v>35.057471</v>
      </c>
      <c r="CC1007">
        <v>50</v>
      </c>
      <c r="CD1007">
        <v>0.73333300000000001</v>
      </c>
      <c r="CE1007">
        <v>39.007092</v>
      </c>
      <c r="CF1007">
        <v>50</v>
      </c>
      <c r="CG1007">
        <v>0.94318199999999996</v>
      </c>
      <c r="CH1007">
        <v>100</v>
      </c>
      <c r="CI1007">
        <v>100</v>
      </c>
      <c r="CJ1007">
        <v>0</v>
      </c>
      <c r="CK1007">
        <v>1</v>
      </c>
      <c r="CL1007">
        <v>100</v>
      </c>
      <c r="CM1007">
        <v>100</v>
      </c>
      <c r="CN1007">
        <v>0.79069800000000001</v>
      </c>
      <c r="CO1007">
        <v>100</v>
      </c>
      <c r="CP1007">
        <v>100</v>
      </c>
      <c r="CQ1007">
        <v>0.6</v>
      </c>
      <c r="CR1007">
        <v>0.67307700000000004</v>
      </c>
      <c r="CS1007">
        <v>10</v>
      </c>
      <c r="CT1007">
        <v>50</v>
      </c>
      <c r="CU1007">
        <v>0.491228</v>
      </c>
      <c r="CV1007">
        <v>40.935673000000001</v>
      </c>
      <c r="CW1007">
        <v>50</v>
      </c>
      <c r="CX1007">
        <v>1</v>
      </c>
      <c r="CY1007">
        <v>0.94</v>
      </c>
      <c r="CZ1007">
        <v>-0.06</v>
      </c>
      <c r="DA1007">
        <v>15.314097</v>
      </c>
      <c r="DB1007">
        <v>17.400950000000002</v>
      </c>
      <c r="DC1007">
        <v>16.332519999999999</v>
      </c>
      <c r="DD1007">
        <v>7.9891730000000001</v>
      </c>
      <c r="DE1007">
        <v>1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Q1007" t="s">
        <v>126</v>
      </c>
    </row>
    <row r="1008" spans="1:121" x14ac:dyDescent="0.15">
      <c r="A1008">
        <v>2018</v>
      </c>
      <c r="B1008" t="s">
        <v>211</v>
      </c>
      <c r="C1008" t="str">
        <f>"1540011"</f>
        <v>1540011</v>
      </c>
      <c r="D1008" t="s">
        <v>1153</v>
      </c>
      <c r="E1008" t="str">
        <f>"1545111"</f>
        <v>1545111</v>
      </c>
      <c r="F1008" t="s">
        <v>328</v>
      </c>
      <c r="G1008">
        <v>5</v>
      </c>
      <c r="H1008">
        <v>8</v>
      </c>
      <c r="J1008" t="s">
        <v>331</v>
      </c>
      <c r="K1008">
        <v>743.05760399999997</v>
      </c>
      <c r="L1008">
        <v>900</v>
      </c>
      <c r="M1008">
        <v>82.561955999999995</v>
      </c>
      <c r="N1008">
        <v>2</v>
      </c>
      <c r="O1008">
        <v>0</v>
      </c>
      <c r="P1008">
        <v>80.233979000000005</v>
      </c>
      <c r="Q1008">
        <v>50</v>
      </c>
      <c r="R1008">
        <v>50</v>
      </c>
      <c r="S1008">
        <v>70.670388000000003</v>
      </c>
      <c r="T1008">
        <v>75</v>
      </c>
      <c r="U1008">
        <v>47.113591999999997</v>
      </c>
      <c r="V1008">
        <v>50</v>
      </c>
      <c r="W1008">
        <v>75.469380000000001</v>
      </c>
      <c r="X1008">
        <v>50</v>
      </c>
      <c r="Y1008">
        <v>50</v>
      </c>
      <c r="Z1008">
        <v>75</v>
      </c>
      <c r="AA1008">
        <v>66.372412999999995</v>
      </c>
      <c r="AB1008">
        <v>44.248275</v>
      </c>
      <c r="AC1008">
        <v>50</v>
      </c>
      <c r="AD1008">
        <v>75.736181000000002</v>
      </c>
      <c r="AE1008">
        <v>50</v>
      </c>
      <c r="AF1008">
        <v>50</v>
      </c>
      <c r="AG1008">
        <v>65.304226999999997</v>
      </c>
      <c r="AH1008">
        <v>75</v>
      </c>
      <c r="AI1008">
        <v>43.536150999999997</v>
      </c>
      <c r="AJ1008">
        <v>50</v>
      </c>
      <c r="AK1008">
        <v>4.32</v>
      </c>
      <c r="AL1008">
        <v>8.6199999999999992</v>
      </c>
      <c r="AM1008">
        <v>9.69</v>
      </c>
      <c r="AN1008">
        <v>0.71390299999999995</v>
      </c>
      <c r="AO1008">
        <v>71.390253999999999</v>
      </c>
      <c r="AP1008">
        <v>100</v>
      </c>
      <c r="AQ1008">
        <v>0.75550200000000001</v>
      </c>
      <c r="AR1008">
        <v>75.550225999999995</v>
      </c>
      <c r="AS1008">
        <v>100</v>
      </c>
      <c r="AT1008">
        <v>0.66275600000000001</v>
      </c>
      <c r="AU1008">
        <v>0.74843700000000002</v>
      </c>
      <c r="AV1008">
        <v>66.275615999999999</v>
      </c>
      <c r="AW1008">
        <v>100</v>
      </c>
      <c r="AX1008">
        <v>0.65151800000000004</v>
      </c>
      <c r="AY1008">
        <v>0.82571399999999995</v>
      </c>
      <c r="AZ1008">
        <v>65.151803000000001</v>
      </c>
      <c r="BA1008">
        <v>100</v>
      </c>
      <c r="BB1008" t="s">
        <v>125</v>
      </c>
      <c r="BC1008" t="s">
        <v>125</v>
      </c>
      <c r="BD1008" t="s">
        <v>125</v>
      </c>
      <c r="BE1008" t="s">
        <v>125</v>
      </c>
      <c r="BF1008" t="s">
        <v>125</v>
      </c>
      <c r="BG1008" t="s">
        <v>125</v>
      </c>
      <c r="BH1008">
        <v>0</v>
      </c>
      <c r="BI1008">
        <v>0.99521499999999996</v>
      </c>
      <c r="BJ1008">
        <v>0.98912999999999995</v>
      </c>
      <c r="BK1008">
        <v>1</v>
      </c>
      <c r="BL1008">
        <v>0.99521499999999996</v>
      </c>
      <c r="BM1008">
        <v>0.98912999999999995</v>
      </c>
      <c r="BN1008">
        <v>1</v>
      </c>
      <c r="BO1008">
        <v>0.99074099999999998</v>
      </c>
      <c r="BP1008">
        <v>0.97872300000000001</v>
      </c>
      <c r="BQ1008">
        <v>1</v>
      </c>
      <c r="BR1008">
        <v>1.9139E-2</v>
      </c>
      <c r="BS1008">
        <v>50</v>
      </c>
      <c r="BT1008">
        <v>50</v>
      </c>
      <c r="BU1008">
        <v>2.1052999999999999E-2</v>
      </c>
      <c r="BV1008">
        <v>50</v>
      </c>
      <c r="BW1008">
        <v>50</v>
      </c>
      <c r="BX1008" t="s">
        <v>125</v>
      </c>
      <c r="BY1008" t="s">
        <v>125</v>
      </c>
      <c r="BZ1008" t="s">
        <v>125</v>
      </c>
      <c r="CA1008" t="s">
        <v>125</v>
      </c>
      <c r="CB1008" t="s">
        <v>125</v>
      </c>
      <c r="CC1008" t="s">
        <v>125</v>
      </c>
      <c r="CD1008">
        <v>0.74576299999999995</v>
      </c>
      <c r="CE1008">
        <v>39.668228999999997</v>
      </c>
      <c r="CF1008">
        <v>50</v>
      </c>
      <c r="CG1008" t="s">
        <v>125</v>
      </c>
      <c r="CH1008" t="s">
        <v>125</v>
      </c>
      <c r="CI1008" t="s">
        <v>125</v>
      </c>
      <c r="CJ1008" t="s">
        <v>125</v>
      </c>
      <c r="CK1008" t="s">
        <v>125</v>
      </c>
      <c r="CL1008" t="s">
        <v>125</v>
      </c>
      <c r="CM1008" t="s">
        <v>125</v>
      </c>
      <c r="CN1008" t="s">
        <v>125</v>
      </c>
      <c r="CO1008" t="s">
        <v>125</v>
      </c>
      <c r="CP1008" t="s">
        <v>125</v>
      </c>
      <c r="CQ1008">
        <v>0.60185200000000005</v>
      </c>
      <c r="CR1008">
        <v>1</v>
      </c>
      <c r="CS1008">
        <v>40.123457000000002</v>
      </c>
      <c r="CT1008">
        <v>50</v>
      </c>
      <c r="CU1008" t="s">
        <v>125</v>
      </c>
      <c r="CV1008" t="s">
        <v>125</v>
      </c>
      <c r="CW1008" t="s">
        <v>125</v>
      </c>
      <c r="CX1008" t="s">
        <v>125</v>
      </c>
      <c r="CY1008" t="s">
        <v>125</v>
      </c>
      <c r="CZ1008" t="s">
        <v>125</v>
      </c>
      <c r="DA1008">
        <v>15.314097</v>
      </c>
      <c r="DB1008">
        <v>17.400950000000002</v>
      </c>
      <c r="DC1008">
        <v>16.332519999999999</v>
      </c>
      <c r="DD1008" t="s">
        <v>125</v>
      </c>
      <c r="DE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Q1008" t="s">
        <v>126</v>
      </c>
    </row>
    <row r="1009" spans="1:121" x14ac:dyDescent="0.15">
      <c r="A1009">
        <v>2018</v>
      </c>
      <c r="B1009" t="s">
        <v>212</v>
      </c>
      <c r="C1009" t="str">
        <f t="shared" ref="C1009:C1024" si="46">"1550011"</f>
        <v>1550011</v>
      </c>
      <c r="D1009" t="s">
        <v>1154</v>
      </c>
      <c r="E1009" t="str">
        <f>"1551611"</f>
        <v>1551611</v>
      </c>
      <c r="F1009" t="s">
        <v>328</v>
      </c>
      <c r="G1009" t="s">
        <v>329</v>
      </c>
      <c r="H1009">
        <v>5</v>
      </c>
      <c r="J1009" t="s">
        <v>331</v>
      </c>
      <c r="K1009">
        <v>751.60332600000004</v>
      </c>
      <c r="L1009">
        <v>950</v>
      </c>
      <c r="M1009">
        <v>79.116140000000001</v>
      </c>
      <c r="N1009">
        <v>2</v>
      </c>
      <c r="O1009">
        <v>0</v>
      </c>
      <c r="P1009">
        <v>76.696147999999994</v>
      </c>
      <c r="Q1009">
        <v>50</v>
      </c>
      <c r="R1009">
        <v>50</v>
      </c>
      <c r="S1009">
        <v>66.789648</v>
      </c>
      <c r="T1009">
        <v>75</v>
      </c>
      <c r="U1009">
        <v>44.526432</v>
      </c>
      <c r="V1009">
        <v>50</v>
      </c>
      <c r="W1009">
        <v>73.410061999999996</v>
      </c>
      <c r="X1009">
        <v>48.940041999999998</v>
      </c>
      <c r="Y1009">
        <v>50</v>
      </c>
      <c r="Z1009">
        <v>75</v>
      </c>
      <c r="AA1009">
        <v>62.768135000000001</v>
      </c>
      <c r="AB1009">
        <v>41.845422999999997</v>
      </c>
      <c r="AC1009">
        <v>50</v>
      </c>
      <c r="AD1009">
        <v>73.761392999999998</v>
      </c>
      <c r="AE1009">
        <v>49.174261999999999</v>
      </c>
      <c r="AF1009">
        <v>50</v>
      </c>
      <c r="AG1009">
        <v>63.587097</v>
      </c>
      <c r="AH1009">
        <v>75</v>
      </c>
      <c r="AI1009">
        <v>42.391398000000002</v>
      </c>
      <c r="AJ1009">
        <v>50</v>
      </c>
      <c r="AK1009">
        <v>8.2100000000000009</v>
      </c>
      <c r="AL1009">
        <v>12.23</v>
      </c>
      <c r="AM1009">
        <v>11.41</v>
      </c>
      <c r="AN1009">
        <v>0.66006200000000004</v>
      </c>
      <c r="AO1009">
        <v>66.006193999999994</v>
      </c>
      <c r="AP1009">
        <v>100</v>
      </c>
      <c r="AQ1009">
        <v>0.745564</v>
      </c>
      <c r="AR1009">
        <v>74.556426000000002</v>
      </c>
      <c r="AS1009">
        <v>100</v>
      </c>
      <c r="AT1009">
        <v>0.607483</v>
      </c>
      <c r="AU1009">
        <v>0.68216900000000003</v>
      </c>
      <c r="AV1009">
        <v>60.748341000000003</v>
      </c>
      <c r="AW1009">
        <v>100</v>
      </c>
      <c r="AX1009">
        <v>0.64529599999999998</v>
      </c>
      <c r="AY1009">
        <v>0.78772299999999995</v>
      </c>
      <c r="AZ1009">
        <v>64.529590999999996</v>
      </c>
      <c r="BA1009">
        <v>100</v>
      </c>
      <c r="BB1009">
        <v>0.76674600000000004</v>
      </c>
      <c r="BC1009">
        <v>38.337324000000002</v>
      </c>
      <c r="BD1009">
        <v>50</v>
      </c>
      <c r="BE1009">
        <v>0.70013499999999995</v>
      </c>
      <c r="BF1009">
        <v>35.006768999999998</v>
      </c>
      <c r="BG1009">
        <v>50</v>
      </c>
      <c r="BH1009">
        <v>0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0.05</v>
      </c>
      <c r="BS1009">
        <v>50</v>
      </c>
      <c r="BT1009">
        <v>50</v>
      </c>
      <c r="BU1009">
        <v>8.1818000000000002E-2</v>
      </c>
      <c r="BV1009">
        <v>43.636364</v>
      </c>
      <c r="BW1009">
        <v>50</v>
      </c>
      <c r="BX1009" t="s">
        <v>125</v>
      </c>
      <c r="BY1009" t="s">
        <v>125</v>
      </c>
      <c r="BZ1009" t="s">
        <v>125</v>
      </c>
      <c r="CA1009" t="s">
        <v>125</v>
      </c>
      <c r="CB1009" t="s">
        <v>125</v>
      </c>
      <c r="CC1009" t="s">
        <v>125</v>
      </c>
      <c r="CD1009" t="s">
        <v>125</v>
      </c>
      <c r="CE1009" t="s">
        <v>125</v>
      </c>
      <c r="CF1009" t="s">
        <v>125</v>
      </c>
      <c r="CG1009" t="s">
        <v>125</v>
      </c>
      <c r="CH1009" t="s">
        <v>125</v>
      </c>
      <c r="CI1009" t="s">
        <v>125</v>
      </c>
      <c r="CJ1009" t="s">
        <v>125</v>
      </c>
      <c r="CK1009" t="s">
        <v>125</v>
      </c>
      <c r="CL1009" t="s">
        <v>125</v>
      </c>
      <c r="CM1009" t="s">
        <v>125</v>
      </c>
      <c r="CN1009" t="s">
        <v>125</v>
      </c>
      <c r="CO1009" t="s">
        <v>125</v>
      </c>
      <c r="CP1009" t="s">
        <v>125</v>
      </c>
      <c r="CQ1009">
        <v>0.62857099999999999</v>
      </c>
      <c r="CR1009">
        <v>1</v>
      </c>
      <c r="CS1009">
        <v>41.904761999999998</v>
      </c>
      <c r="CT1009">
        <v>50</v>
      </c>
      <c r="CU1009" t="s">
        <v>125</v>
      </c>
      <c r="CV1009" t="s">
        <v>125</v>
      </c>
      <c r="CW1009" t="s">
        <v>125</v>
      </c>
      <c r="CX1009" t="s">
        <v>125</v>
      </c>
      <c r="CY1009" t="s">
        <v>125</v>
      </c>
      <c r="CZ1009" t="s">
        <v>125</v>
      </c>
      <c r="DA1009">
        <v>15.314097</v>
      </c>
      <c r="DB1009">
        <v>17.400950000000002</v>
      </c>
      <c r="DC1009">
        <v>16.332519999999999</v>
      </c>
      <c r="DD1009" t="s">
        <v>125</v>
      </c>
      <c r="DE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Q1009" t="s">
        <v>126</v>
      </c>
    </row>
    <row r="1010" spans="1:121" x14ac:dyDescent="0.15">
      <c r="A1010">
        <v>2018</v>
      </c>
      <c r="B1010" t="s">
        <v>212</v>
      </c>
      <c r="C1010" t="str">
        <f t="shared" si="46"/>
        <v>1550011</v>
      </c>
      <c r="D1010" t="s">
        <v>1155</v>
      </c>
      <c r="E1010" t="str">
        <f>"1550211"</f>
        <v>1550211</v>
      </c>
      <c r="F1010" t="s">
        <v>328</v>
      </c>
      <c r="G1010" t="s">
        <v>339</v>
      </c>
      <c r="H1010">
        <v>5</v>
      </c>
      <c r="J1010" t="s">
        <v>331</v>
      </c>
      <c r="K1010">
        <v>708.59382600000004</v>
      </c>
      <c r="L1010">
        <v>800</v>
      </c>
      <c r="M1010">
        <v>88.574228000000005</v>
      </c>
      <c r="N1010">
        <v>1</v>
      </c>
      <c r="O1010">
        <v>0</v>
      </c>
      <c r="P1010">
        <v>81.817419999999998</v>
      </c>
      <c r="Q1010">
        <v>50</v>
      </c>
      <c r="R1010">
        <v>50</v>
      </c>
      <c r="S1010">
        <v>70.247966000000005</v>
      </c>
      <c r="T1010">
        <v>75</v>
      </c>
      <c r="U1010">
        <v>46.831977000000002</v>
      </c>
      <c r="V1010">
        <v>50</v>
      </c>
      <c r="W1010">
        <v>76.895391000000004</v>
      </c>
      <c r="X1010">
        <v>50</v>
      </c>
      <c r="Y1010">
        <v>50</v>
      </c>
      <c r="Z1010">
        <v>75</v>
      </c>
      <c r="AA1010">
        <v>68.779977000000002</v>
      </c>
      <c r="AB1010">
        <v>45.853318000000002</v>
      </c>
      <c r="AC1010">
        <v>50</v>
      </c>
      <c r="AD1010">
        <v>75.685783000000001</v>
      </c>
      <c r="AE1010">
        <v>50</v>
      </c>
      <c r="AF1010">
        <v>50</v>
      </c>
      <c r="AG1010" t="s">
        <v>125</v>
      </c>
      <c r="AH1010">
        <v>75</v>
      </c>
      <c r="AI1010" t="s">
        <v>125</v>
      </c>
      <c r="AJ1010" t="s">
        <v>125</v>
      </c>
      <c r="AK1010">
        <v>4.75</v>
      </c>
      <c r="AL1010">
        <v>6.22</v>
      </c>
      <c r="AM1010" t="s">
        <v>125</v>
      </c>
      <c r="AN1010">
        <v>0.78036499999999998</v>
      </c>
      <c r="AO1010">
        <v>78.036512000000002</v>
      </c>
      <c r="AP1010">
        <v>100</v>
      </c>
      <c r="AQ1010">
        <v>0.82109500000000002</v>
      </c>
      <c r="AR1010">
        <v>82.109514000000004</v>
      </c>
      <c r="AS1010">
        <v>100</v>
      </c>
      <c r="AT1010">
        <v>0.72317600000000004</v>
      </c>
      <c r="AU1010">
        <v>0.79726200000000003</v>
      </c>
      <c r="AV1010">
        <v>72.317571999999998</v>
      </c>
      <c r="AW1010">
        <v>100</v>
      </c>
      <c r="AX1010">
        <v>0.854931</v>
      </c>
      <c r="AY1010">
        <v>0.81109799999999999</v>
      </c>
      <c r="AZ1010">
        <v>85.493125000000006</v>
      </c>
      <c r="BA1010">
        <v>100</v>
      </c>
      <c r="BB1010" t="s">
        <v>125</v>
      </c>
      <c r="BC1010" t="s">
        <v>125</v>
      </c>
      <c r="BD1010" t="s">
        <v>125</v>
      </c>
      <c r="BE1010" t="s">
        <v>125</v>
      </c>
      <c r="BF1010" t="s">
        <v>125</v>
      </c>
      <c r="BG1010" t="s">
        <v>125</v>
      </c>
      <c r="BH1010">
        <v>0</v>
      </c>
      <c r="BI1010">
        <v>0.99465199999999998</v>
      </c>
      <c r="BJ1010">
        <v>0.98148100000000005</v>
      </c>
      <c r="BK1010">
        <v>1</v>
      </c>
      <c r="BL1010">
        <v>0.98930499999999999</v>
      </c>
      <c r="BM1010">
        <v>0.98148100000000005</v>
      </c>
      <c r="BN1010">
        <v>0.99248099999999995</v>
      </c>
      <c r="BO1010">
        <v>1</v>
      </c>
      <c r="BP1010" t="s">
        <v>125</v>
      </c>
      <c r="BQ1010">
        <v>1</v>
      </c>
      <c r="BR1010">
        <v>1.9663E-2</v>
      </c>
      <c r="BS1010">
        <v>50</v>
      </c>
      <c r="BT1010">
        <v>50</v>
      </c>
      <c r="BU1010">
        <v>6.0241000000000003E-2</v>
      </c>
      <c r="BV1010">
        <v>47.951807000000002</v>
      </c>
      <c r="BW1010">
        <v>50</v>
      </c>
      <c r="BX1010" t="s">
        <v>125</v>
      </c>
      <c r="BY1010" t="s">
        <v>125</v>
      </c>
      <c r="BZ1010" t="s">
        <v>125</v>
      </c>
      <c r="CA1010" t="s">
        <v>125</v>
      </c>
      <c r="CB1010" t="s">
        <v>125</v>
      </c>
      <c r="CC1010" t="s">
        <v>125</v>
      </c>
      <c r="CD1010" t="s">
        <v>125</v>
      </c>
      <c r="CE1010" t="s">
        <v>125</v>
      </c>
      <c r="CF1010" t="s">
        <v>125</v>
      </c>
      <c r="CG1010" t="s">
        <v>125</v>
      </c>
      <c r="CH1010" t="s">
        <v>125</v>
      </c>
      <c r="CI1010" t="s">
        <v>125</v>
      </c>
      <c r="CJ1010" t="s">
        <v>125</v>
      </c>
      <c r="CK1010" t="s">
        <v>125</v>
      </c>
      <c r="CL1010" t="s">
        <v>125</v>
      </c>
      <c r="CM1010" t="s">
        <v>125</v>
      </c>
      <c r="CN1010" t="s">
        <v>125</v>
      </c>
      <c r="CO1010" t="s">
        <v>125</v>
      </c>
      <c r="CP1010" t="s">
        <v>125</v>
      </c>
      <c r="CQ1010">
        <v>0.82608700000000002</v>
      </c>
      <c r="CR1010">
        <v>1</v>
      </c>
      <c r="CS1010">
        <v>50</v>
      </c>
      <c r="CT1010">
        <v>50</v>
      </c>
      <c r="CU1010" t="s">
        <v>125</v>
      </c>
      <c r="CV1010" t="s">
        <v>125</v>
      </c>
      <c r="CW1010" t="s">
        <v>125</v>
      </c>
      <c r="CX1010" t="s">
        <v>125</v>
      </c>
      <c r="CY1010" t="s">
        <v>125</v>
      </c>
      <c r="CZ1010" t="s">
        <v>125</v>
      </c>
      <c r="DA1010">
        <v>15.314097</v>
      </c>
      <c r="DB1010">
        <v>17.400950000000002</v>
      </c>
      <c r="DC1010">
        <v>16.332519999999999</v>
      </c>
      <c r="DD1010" t="s">
        <v>125</v>
      </c>
      <c r="DE1010">
        <v>0</v>
      </c>
      <c r="DH1010" t="s">
        <v>332</v>
      </c>
      <c r="DI1010" t="s">
        <v>479</v>
      </c>
      <c r="DJ1010">
        <v>1</v>
      </c>
      <c r="DK1010">
        <v>1</v>
      </c>
      <c r="DL1010">
        <v>0</v>
      </c>
      <c r="DM1010">
        <v>1</v>
      </c>
      <c r="DN1010">
        <v>1</v>
      </c>
      <c r="DO1010">
        <v>0</v>
      </c>
      <c r="DQ1010" t="s">
        <v>126</v>
      </c>
    </row>
    <row r="1011" spans="1:121" x14ac:dyDescent="0.15">
      <c r="A1011">
        <v>2018</v>
      </c>
      <c r="B1011" t="s">
        <v>212</v>
      </c>
      <c r="C1011" t="str">
        <f t="shared" si="46"/>
        <v>1550011</v>
      </c>
      <c r="D1011" t="s">
        <v>1156</v>
      </c>
      <c r="E1011" t="str">
        <f>"1555311"</f>
        <v>1555311</v>
      </c>
      <c r="F1011" t="s">
        <v>328</v>
      </c>
      <c r="G1011">
        <v>6</v>
      </c>
      <c r="H1011">
        <v>8</v>
      </c>
      <c r="J1011" t="s">
        <v>331</v>
      </c>
      <c r="K1011">
        <v>713.41688199999999</v>
      </c>
      <c r="L1011">
        <v>900</v>
      </c>
      <c r="M1011">
        <v>79.268541999999997</v>
      </c>
      <c r="N1011">
        <v>2</v>
      </c>
      <c r="O1011">
        <v>0</v>
      </c>
      <c r="P1011">
        <v>76.697277</v>
      </c>
      <c r="Q1011">
        <v>50</v>
      </c>
      <c r="R1011">
        <v>50</v>
      </c>
      <c r="S1011">
        <v>64.253083000000004</v>
      </c>
      <c r="T1011">
        <v>75</v>
      </c>
      <c r="U1011">
        <v>42.835388000000002</v>
      </c>
      <c r="V1011">
        <v>50</v>
      </c>
      <c r="W1011">
        <v>71.344678000000002</v>
      </c>
      <c r="X1011">
        <v>47.563118000000003</v>
      </c>
      <c r="Y1011">
        <v>50</v>
      </c>
      <c r="Z1011">
        <v>75</v>
      </c>
      <c r="AA1011">
        <v>58.482759999999999</v>
      </c>
      <c r="AB1011">
        <v>38.988506999999998</v>
      </c>
      <c r="AC1011">
        <v>50</v>
      </c>
      <c r="AD1011">
        <v>75.504857999999999</v>
      </c>
      <c r="AE1011">
        <v>50</v>
      </c>
      <c r="AF1011">
        <v>50</v>
      </c>
      <c r="AG1011">
        <v>61.486108999999999</v>
      </c>
      <c r="AH1011">
        <v>75</v>
      </c>
      <c r="AI1011">
        <v>40.990740000000002</v>
      </c>
      <c r="AJ1011">
        <v>50</v>
      </c>
      <c r="AK1011">
        <v>10.74</v>
      </c>
      <c r="AL1011">
        <v>16.510000000000002</v>
      </c>
      <c r="AM1011">
        <v>13.51</v>
      </c>
      <c r="AN1011">
        <v>0.60817500000000002</v>
      </c>
      <c r="AO1011">
        <v>60.817462999999996</v>
      </c>
      <c r="AP1011">
        <v>100</v>
      </c>
      <c r="AQ1011">
        <v>0.70821100000000003</v>
      </c>
      <c r="AR1011">
        <v>70.821136999999993</v>
      </c>
      <c r="AS1011">
        <v>100</v>
      </c>
      <c r="AT1011">
        <v>0.58863399999999999</v>
      </c>
      <c r="AU1011">
        <v>0.61846699999999999</v>
      </c>
      <c r="AV1011">
        <v>58.863360999999998</v>
      </c>
      <c r="AW1011">
        <v>100</v>
      </c>
      <c r="AX1011">
        <v>0.60530700000000004</v>
      </c>
      <c r="AY1011">
        <v>0.76222599999999996</v>
      </c>
      <c r="AZ1011">
        <v>60.530678000000002</v>
      </c>
      <c r="BA1011">
        <v>100</v>
      </c>
      <c r="BB1011" t="s">
        <v>125</v>
      </c>
      <c r="BC1011" t="s">
        <v>125</v>
      </c>
      <c r="BD1011" t="s">
        <v>125</v>
      </c>
      <c r="BE1011" t="s">
        <v>125</v>
      </c>
      <c r="BF1011" t="s">
        <v>125</v>
      </c>
      <c r="BG1011" t="s">
        <v>125</v>
      </c>
      <c r="BH1011">
        <v>0</v>
      </c>
      <c r="BI1011">
        <v>0.99277099999999996</v>
      </c>
      <c r="BJ1011">
        <v>0.99337699999999995</v>
      </c>
      <c r="BK1011">
        <v>0.99242399999999997</v>
      </c>
      <c r="BL1011">
        <v>0.99275400000000003</v>
      </c>
      <c r="BM1011">
        <v>0.99333300000000002</v>
      </c>
      <c r="BN1011">
        <v>0.99242399999999997</v>
      </c>
      <c r="BO1011">
        <v>0.992537</v>
      </c>
      <c r="BP1011">
        <v>1</v>
      </c>
      <c r="BQ1011">
        <v>0.98969099999999999</v>
      </c>
      <c r="BR1011">
        <v>3.8647000000000001E-2</v>
      </c>
      <c r="BS1011">
        <v>50</v>
      </c>
      <c r="BT1011">
        <v>50</v>
      </c>
      <c r="BU1011">
        <v>6.3829999999999998E-2</v>
      </c>
      <c r="BV1011">
        <v>47.234043</v>
      </c>
      <c r="BW1011">
        <v>50</v>
      </c>
      <c r="BX1011" t="s">
        <v>125</v>
      </c>
      <c r="BY1011" t="s">
        <v>125</v>
      </c>
      <c r="BZ1011" t="s">
        <v>125</v>
      </c>
      <c r="CA1011" t="s">
        <v>125</v>
      </c>
      <c r="CB1011" t="s">
        <v>125</v>
      </c>
      <c r="CC1011" t="s">
        <v>125</v>
      </c>
      <c r="CD1011">
        <v>0.99236599999999997</v>
      </c>
      <c r="CE1011">
        <v>50</v>
      </c>
      <c r="CF1011">
        <v>50</v>
      </c>
      <c r="CG1011" t="s">
        <v>125</v>
      </c>
      <c r="CH1011" t="s">
        <v>125</v>
      </c>
      <c r="CI1011" t="s">
        <v>125</v>
      </c>
      <c r="CJ1011" t="s">
        <v>125</v>
      </c>
      <c r="CK1011" t="s">
        <v>125</v>
      </c>
      <c r="CL1011" t="s">
        <v>125</v>
      </c>
      <c r="CM1011" t="s">
        <v>125</v>
      </c>
      <c r="CN1011" t="s">
        <v>125</v>
      </c>
      <c r="CO1011" t="s">
        <v>125</v>
      </c>
      <c r="CP1011" t="s">
        <v>125</v>
      </c>
      <c r="CQ1011">
        <v>0.67158700000000005</v>
      </c>
      <c r="CR1011">
        <v>0.97482000000000002</v>
      </c>
      <c r="CS1011">
        <v>44.772447999999997</v>
      </c>
      <c r="CT1011">
        <v>50</v>
      </c>
      <c r="CU1011" t="s">
        <v>125</v>
      </c>
      <c r="CV1011" t="s">
        <v>125</v>
      </c>
      <c r="CW1011" t="s">
        <v>125</v>
      </c>
      <c r="CX1011" t="s">
        <v>125</v>
      </c>
      <c r="CY1011" t="s">
        <v>125</v>
      </c>
      <c r="CZ1011" t="s">
        <v>125</v>
      </c>
      <c r="DA1011">
        <v>15.314097</v>
      </c>
      <c r="DB1011">
        <v>17.400950000000002</v>
      </c>
      <c r="DC1011">
        <v>16.332519999999999</v>
      </c>
      <c r="DD1011" t="s">
        <v>125</v>
      </c>
      <c r="DE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Q1011" t="s">
        <v>126</v>
      </c>
    </row>
    <row r="1012" spans="1:121" x14ac:dyDescent="0.15">
      <c r="A1012">
        <v>2018</v>
      </c>
      <c r="B1012" t="s">
        <v>212</v>
      </c>
      <c r="C1012" t="str">
        <f t="shared" si="46"/>
        <v>1550011</v>
      </c>
      <c r="D1012" t="s">
        <v>1157</v>
      </c>
      <c r="E1012" t="str">
        <f>"1550411"</f>
        <v>1550411</v>
      </c>
      <c r="F1012" t="s">
        <v>328</v>
      </c>
      <c r="G1012" t="s">
        <v>339</v>
      </c>
      <c r="H1012">
        <v>5</v>
      </c>
      <c r="J1012" t="s">
        <v>331</v>
      </c>
      <c r="K1012">
        <v>678.08009100000004</v>
      </c>
      <c r="L1012">
        <v>850</v>
      </c>
      <c r="M1012">
        <v>79.774128000000005</v>
      </c>
      <c r="N1012">
        <v>2</v>
      </c>
      <c r="O1012">
        <v>0</v>
      </c>
      <c r="P1012">
        <v>83.975577999999999</v>
      </c>
      <c r="Q1012">
        <v>50</v>
      </c>
      <c r="R1012">
        <v>50</v>
      </c>
      <c r="S1012">
        <v>72.389486000000005</v>
      </c>
      <c r="T1012">
        <v>75</v>
      </c>
      <c r="U1012">
        <v>48.259656999999997</v>
      </c>
      <c r="V1012">
        <v>50</v>
      </c>
      <c r="W1012">
        <v>79.846667999999994</v>
      </c>
      <c r="X1012">
        <v>50</v>
      </c>
      <c r="Y1012">
        <v>50</v>
      </c>
      <c r="Z1012">
        <v>75</v>
      </c>
      <c r="AA1012">
        <v>67.478033999999994</v>
      </c>
      <c r="AB1012">
        <v>44.985356000000003</v>
      </c>
      <c r="AC1012">
        <v>50</v>
      </c>
      <c r="AD1012">
        <v>72.921544999999995</v>
      </c>
      <c r="AE1012">
        <v>48.614362999999997</v>
      </c>
      <c r="AF1012">
        <v>50</v>
      </c>
      <c r="AG1012">
        <v>61.883870999999999</v>
      </c>
      <c r="AH1012">
        <v>75</v>
      </c>
      <c r="AI1012">
        <v>41.255913999999997</v>
      </c>
      <c r="AJ1012">
        <v>50</v>
      </c>
      <c r="AK1012">
        <v>2.61</v>
      </c>
      <c r="AL1012">
        <v>7.52</v>
      </c>
      <c r="AM1012">
        <v>13.11</v>
      </c>
      <c r="AN1012">
        <v>0.69034300000000004</v>
      </c>
      <c r="AO1012">
        <v>69.034298000000007</v>
      </c>
      <c r="AP1012">
        <v>100</v>
      </c>
      <c r="AQ1012">
        <v>0.689245</v>
      </c>
      <c r="AR1012">
        <v>68.924548000000001</v>
      </c>
      <c r="AS1012">
        <v>100</v>
      </c>
      <c r="AT1012">
        <v>0.57971799999999996</v>
      </c>
      <c r="AU1012">
        <v>0.71898700000000004</v>
      </c>
      <c r="AV1012">
        <v>57.971791000000003</v>
      </c>
      <c r="AW1012">
        <v>100</v>
      </c>
      <c r="AX1012">
        <v>0.57671099999999997</v>
      </c>
      <c r="AY1012">
        <v>0.71965999999999997</v>
      </c>
      <c r="AZ1012">
        <v>57.671140999999999</v>
      </c>
      <c r="BA1012">
        <v>100</v>
      </c>
      <c r="BB1012" t="s">
        <v>125</v>
      </c>
      <c r="BC1012" t="s">
        <v>125</v>
      </c>
      <c r="BD1012" t="s">
        <v>125</v>
      </c>
      <c r="BE1012" t="s">
        <v>125</v>
      </c>
      <c r="BF1012" t="s">
        <v>125</v>
      </c>
      <c r="BG1012" t="s">
        <v>125</v>
      </c>
      <c r="BH1012">
        <v>0</v>
      </c>
      <c r="BI1012">
        <v>0.99519199999999997</v>
      </c>
      <c r="BJ1012">
        <v>0.98181799999999997</v>
      </c>
      <c r="BK1012">
        <v>1</v>
      </c>
      <c r="BL1012">
        <v>0.99038499999999996</v>
      </c>
      <c r="BM1012">
        <v>0.98181799999999997</v>
      </c>
      <c r="BN1012">
        <v>0.99346400000000001</v>
      </c>
      <c r="BO1012">
        <v>0.98795200000000005</v>
      </c>
      <c r="BP1012">
        <v>0.95238100000000003</v>
      </c>
      <c r="BQ1012">
        <v>1</v>
      </c>
      <c r="BR1012">
        <v>3.5623000000000002E-2</v>
      </c>
      <c r="BS1012">
        <v>50</v>
      </c>
      <c r="BT1012">
        <v>50</v>
      </c>
      <c r="BU1012">
        <v>8.4210999999999994E-2</v>
      </c>
      <c r="BV1012">
        <v>43.157895000000003</v>
      </c>
      <c r="BW1012">
        <v>50</v>
      </c>
      <c r="BX1012" t="s">
        <v>125</v>
      </c>
      <c r="BY1012" t="s">
        <v>125</v>
      </c>
      <c r="BZ1012" t="s">
        <v>125</v>
      </c>
      <c r="CA1012" t="s">
        <v>125</v>
      </c>
      <c r="CB1012" t="s">
        <v>125</v>
      </c>
      <c r="CC1012" t="s">
        <v>125</v>
      </c>
      <c r="CD1012" t="s">
        <v>125</v>
      </c>
      <c r="CE1012" t="s">
        <v>125</v>
      </c>
      <c r="CF1012" t="s">
        <v>125</v>
      </c>
      <c r="CG1012" t="s">
        <v>125</v>
      </c>
      <c r="CH1012" t="s">
        <v>125</v>
      </c>
      <c r="CI1012" t="s">
        <v>125</v>
      </c>
      <c r="CJ1012" t="s">
        <v>125</v>
      </c>
      <c r="CK1012" t="s">
        <v>125</v>
      </c>
      <c r="CL1012" t="s">
        <v>125</v>
      </c>
      <c r="CM1012" t="s">
        <v>125</v>
      </c>
      <c r="CN1012" t="s">
        <v>125</v>
      </c>
      <c r="CO1012" t="s">
        <v>125</v>
      </c>
      <c r="CP1012" t="s">
        <v>125</v>
      </c>
      <c r="CQ1012">
        <v>0.72307699999999997</v>
      </c>
      <c r="CR1012">
        <v>0.98484799999999995</v>
      </c>
      <c r="CS1012">
        <v>48.205128000000002</v>
      </c>
      <c r="CT1012">
        <v>50</v>
      </c>
      <c r="CU1012" t="s">
        <v>125</v>
      </c>
      <c r="CV1012" t="s">
        <v>125</v>
      </c>
      <c r="CW1012" t="s">
        <v>125</v>
      </c>
      <c r="CX1012" t="s">
        <v>125</v>
      </c>
      <c r="CY1012" t="s">
        <v>125</v>
      </c>
      <c r="CZ1012" t="s">
        <v>125</v>
      </c>
      <c r="DA1012">
        <v>15.314097</v>
      </c>
      <c r="DB1012">
        <v>17.400950000000002</v>
      </c>
      <c r="DC1012">
        <v>16.332519999999999</v>
      </c>
      <c r="DD1012" t="s">
        <v>125</v>
      </c>
      <c r="DE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Q1012" t="s">
        <v>126</v>
      </c>
    </row>
    <row r="1013" spans="1:121" x14ac:dyDescent="0.15">
      <c r="A1013">
        <v>2018</v>
      </c>
      <c r="B1013" t="s">
        <v>212</v>
      </c>
      <c r="C1013" t="str">
        <f t="shared" si="46"/>
        <v>1550011</v>
      </c>
      <c r="D1013" t="s">
        <v>1158</v>
      </c>
      <c r="E1013" t="str">
        <f>"1550511"</f>
        <v>1550511</v>
      </c>
      <c r="F1013" t="s">
        <v>328</v>
      </c>
      <c r="G1013" t="s">
        <v>329</v>
      </c>
      <c r="H1013">
        <v>5</v>
      </c>
      <c r="I1013" t="s">
        <v>336</v>
      </c>
      <c r="J1013" t="s">
        <v>331</v>
      </c>
      <c r="K1013">
        <v>714.77489100000003</v>
      </c>
      <c r="L1013">
        <v>950</v>
      </c>
      <c r="M1013">
        <v>75.239462000000003</v>
      </c>
      <c r="N1013">
        <v>2</v>
      </c>
      <c r="O1013">
        <v>0</v>
      </c>
      <c r="P1013">
        <v>71.536140000000003</v>
      </c>
      <c r="Q1013">
        <v>47.690759999999997</v>
      </c>
      <c r="R1013">
        <v>50</v>
      </c>
      <c r="S1013">
        <v>64.607180999999997</v>
      </c>
      <c r="T1013">
        <v>75</v>
      </c>
      <c r="U1013">
        <v>43.071454000000003</v>
      </c>
      <c r="V1013">
        <v>50</v>
      </c>
      <c r="W1013">
        <v>65.509078000000002</v>
      </c>
      <c r="X1013">
        <v>43.672719000000001</v>
      </c>
      <c r="Y1013">
        <v>50</v>
      </c>
      <c r="Z1013">
        <v>75</v>
      </c>
      <c r="AA1013">
        <v>58.273364000000001</v>
      </c>
      <c r="AB1013">
        <v>38.848909999999997</v>
      </c>
      <c r="AC1013">
        <v>50</v>
      </c>
      <c r="AD1013">
        <v>68.264493000000002</v>
      </c>
      <c r="AE1013">
        <v>45.509661999999999</v>
      </c>
      <c r="AF1013">
        <v>50</v>
      </c>
      <c r="AG1013">
        <v>61.381658000000002</v>
      </c>
      <c r="AH1013">
        <v>75</v>
      </c>
      <c r="AI1013">
        <v>40.921104999999997</v>
      </c>
      <c r="AJ1013">
        <v>50</v>
      </c>
      <c r="AK1013">
        <v>10.39</v>
      </c>
      <c r="AL1013">
        <v>16.72</v>
      </c>
      <c r="AM1013">
        <v>13.61</v>
      </c>
      <c r="AN1013">
        <v>0.66926600000000003</v>
      </c>
      <c r="AO1013">
        <v>66.926642000000001</v>
      </c>
      <c r="AP1013">
        <v>100</v>
      </c>
      <c r="AQ1013">
        <v>0.65016399999999996</v>
      </c>
      <c r="AR1013">
        <v>65.016447999999997</v>
      </c>
      <c r="AS1013">
        <v>100</v>
      </c>
      <c r="AT1013">
        <v>0.605244</v>
      </c>
      <c r="AU1013">
        <v>0.75261599999999995</v>
      </c>
      <c r="AV1013">
        <v>60.524439999999998</v>
      </c>
      <c r="AW1013">
        <v>100</v>
      </c>
      <c r="AX1013">
        <v>0.64090000000000003</v>
      </c>
      <c r="AY1013">
        <v>0.66222599999999998</v>
      </c>
      <c r="AZ1013">
        <v>64.089979999999997</v>
      </c>
      <c r="BA1013">
        <v>100</v>
      </c>
      <c r="BB1013">
        <v>0.70060599999999995</v>
      </c>
      <c r="BC1013">
        <v>35.030287999999999</v>
      </c>
      <c r="BD1013">
        <v>50</v>
      </c>
      <c r="BE1013">
        <v>0.52706500000000001</v>
      </c>
      <c r="BF1013">
        <v>26.353251</v>
      </c>
      <c r="BG1013">
        <v>50</v>
      </c>
      <c r="BH1013">
        <v>0</v>
      </c>
      <c r="BI1013">
        <v>0.99065400000000003</v>
      </c>
      <c r="BJ1013">
        <v>0.99193500000000001</v>
      </c>
      <c r="BK1013">
        <v>0.98888900000000002</v>
      </c>
      <c r="BL1013">
        <v>0.99065400000000003</v>
      </c>
      <c r="BM1013">
        <v>0.99193500000000001</v>
      </c>
      <c r="BN1013">
        <v>0.98888900000000002</v>
      </c>
      <c r="BO1013">
        <v>0.98630099999999998</v>
      </c>
      <c r="BP1013">
        <v>0.97872300000000001</v>
      </c>
      <c r="BQ1013">
        <v>1</v>
      </c>
      <c r="BR1013">
        <v>5.0998000000000002E-2</v>
      </c>
      <c r="BS1013">
        <v>49.800443000000001</v>
      </c>
      <c r="BT1013">
        <v>50</v>
      </c>
      <c r="BU1013">
        <v>5.3060999999999997E-2</v>
      </c>
      <c r="BV1013">
        <v>49.387754999999999</v>
      </c>
      <c r="BW1013">
        <v>50</v>
      </c>
      <c r="BX1013" t="s">
        <v>125</v>
      </c>
      <c r="BY1013" t="s">
        <v>125</v>
      </c>
      <c r="BZ1013" t="s">
        <v>125</v>
      </c>
      <c r="CA1013" t="s">
        <v>125</v>
      </c>
      <c r="CB1013" t="s">
        <v>125</v>
      </c>
      <c r="CC1013" t="s">
        <v>125</v>
      </c>
      <c r="CD1013" t="s">
        <v>125</v>
      </c>
      <c r="CE1013" t="s">
        <v>125</v>
      </c>
      <c r="CF1013" t="s">
        <v>125</v>
      </c>
      <c r="CG1013" t="s">
        <v>125</v>
      </c>
      <c r="CH1013" t="s">
        <v>125</v>
      </c>
      <c r="CI1013" t="s">
        <v>125</v>
      </c>
      <c r="CJ1013" t="s">
        <v>125</v>
      </c>
      <c r="CK1013" t="s">
        <v>125</v>
      </c>
      <c r="CL1013" t="s">
        <v>125</v>
      </c>
      <c r="CM1013" t="s">
        <v>125</v>
      </c>
      <c r="CN1013" t="s">
        <v>125</v>
      </c>
      <c r="CO1013" t="s">
        <v>125</v>
      </c>
      <c r="CP1013" t="s">
        <v>125</v>
      </c>
      <c r="CQ1013">
        <v>0.56896599999999997</v>
      </c>
      <c r="CR1013">
        <v>1</v>
      </c>
      <c r="CS1013">
        <v>37.931033999999997</v>
      </c>
      <c r="CT1013">
        <v>50</v>
      </c>
      <c r="CU1013" t="s">
        <v>125</v>
      </c>
      <c r="CV1013" t="s">
        <v>125</v>
      </c>
      <c r="CW1013" t="s">
        <v>125</v>
      </c>
      <c r="CX1013" t="s">
        <v>125</v>
      </c>
      <c r="CY1013" t="s">
        <v>125</v>
      </c>
      <c r="CZ1013" t="s">
        <v>125</v>
      </c>
      <c r="DA1013">
        <v>15.314097</v>
      </c>
      <c r="DB1013">
        <v>17.400950000000002</v>
      </c>
      <c r="DC1013">
        <v>16.332519999999999</v>
      </c>
      <c r="DD1013" t="s">
        <v>125</v>
      </c>
      <c r="DE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Q1013" t="s">
        <v>126</v>
      </c>
    </row>
    <row r="1014" spans="1:121" x14ac:dyDescent="0.15">
      <c r="A1014">
        <v>2018</v>
      </c>
      <c r="B1014" t="s">
        <v>212</v>
      </c>
      <c r="C1014" t="str">
        <f t="shared" si="46"/>
        <v>1550011</v>
      </c>
      <c r="D1014" t="s">
        <v>1159</v>
      </c>
      <c r="E1014" t="str">
        <f>"1556111"</f>
        <v>1556111</v>
      </c>
      <c r="F1014" t="s">
        <v>328</v>
      </c>
      <c r="G1014">
        <v>9</v>
      </c>
      <c r="H1014">
        <v>12</v>
      </c>
      <c r="J1014" t="s">
        <v>331</v>
      </c>
      <c r="K1014">
        <v>1306.215009</v>
      </c>
      <c r="L1014">
        <v>1550</v>
      </c>
      <c r="M1014">
        <v>84.271935999999997</v>
      </c>
      <c r="N1014">
        <v>3</v>
      </c>
      <c r="O1014">
        <v>1</v>
      </c>
      <c r="P1014">
        <v>66.022087999999997</v>
      </c>
      <c r="Q1014">
        <v>132.04417699999999</v>
      </c>
      <c r="R1014">
        <v>150</v>
      </c>
      <c r="S1014">
        <v>54.281332999999997</v>
      </c>
      <c r="T1014">
        <v>73.111915999999994</v>
      </c>
      <c r="U1014">
        <v>108.562667</v>
      </c>
      <c r="V1014">
        <v>150</v>
      </c>
      <c r="W1014">
        <v>65.363118999999998</v>
      </c>
      <c r="X1014">
        <v>130.726238</v>
      </c>
      <c r="Y1014">
        <v>150</v>
      </c>
      <c r="Z1014">
        <v>72.350241999999994</v>
      </c>
      <c r="AA1014">
        <v>53.792444000000003</v>
      </c>
      <c r="AB1014">
        <v>107.584889</v>
      </c>
      <c r="AC1014">
        <v>150</v>
      </c>
      <c r="AD1014">
        <v>74.229145000000003</v>
      </c>
      <c r="AE1014">
        <v>98.972193000000004</v>
      </c>
      <c r="AF1014">
        <v>100</v>
      </c>
      <c r="AG1014">
        <v>61.966366999999998</v>
      </c>
      <c r="AH1014">
        <v>75</v>
      </c>
      <c r="AI1014">
        <v>82.621823000000006</v>
      </c>
      <c r="AJ1014">
        <v>100</v>
      </c>
      <c r="AK1014">
        <v>18.829999999999998</v>
      </c>
      <c r="AL1014">
        <v>18.55</v>
      </c>
      <c r="AM1014">
        <v>13.03</v>
      </c>
      <c r="AN1014" t="s">
        <v>125</v>
      </c>
      <c r="AO1014" t="s">
        <v>125</v>
      </c>
      <c r="AP1014" t="s">
        <v>125</v>
      </c>
      <c r="AQ1014" t="s">
        <v>125</v>
      </c>
      <c r="AR1014" t="s">
        <v>125</v>
      </c>
      <c r="AS1014" t="s">
        <v>125</v>
      </c>
      <c r="AT1014" t="s">
        <v>125</v>
      </c>
      <c r="AU1014" t="s">
        <v>125</v>
      </c>
      <c r="AV1014" t="s">
        <v>125</v>
      </c>
      <c r="AW1014" t="s">
        <v>125</v>
      </c>
      <c r="AX1014" t="s">
        <v>125</v>
      </c>
      <c r="AY1014" t="s">
        <v>125</v>
      </c>
      <c r="AZ1014" t="s">
        <v>125</v>
      </c>
      <c r="BA1014" t="s">
        <v>125</v>
      </c>
      <c r="BB1014">
        <v>0.41634100000000002</v>
      </c>
      <c r="BC1014">
        <v>20.817070999999999</v>
      </c>
      <c r="BD1014">
        <v>50</v>
      </c>
      <c r="BE1014">
        <v>0.63194300000000003</v>
      </c>
      <c r="BF1014">
        <v>31.597131999999998</v>
      </c>
      <c r="BG1014">
        <v>50</v>
      </c>
      <c r="BH1014">
        <v>0</v>
      </c>
      <c r="BI1014">
        <v>0.98847300000000005</v>
      </c>
      <c r="BJ1014">
        <v>0.99264699999999995</v>
      </c>
      <c r="BK1014">
        <v>0.98578200000000005</v>
      </c>
      <c r="BL1014">
        <v>0.98847300000000005</v>
      </c>
      <c r="BM1014">
        <v>0.99264699999999995</v>
      </c>
      <c r="BN1014">
        <v>0.98578200000000005</v>
      </c>
      <c r="BO1014">
        <v>0.96551699999999996</v>
      </c>
      <c r="BP1014">
        <v>0.95588200000000001</v>
      </c>
      <c r="BQ1014">
        <v>0.97169799999999995</v>
      </c>
      <c r="BR1014">
        <v>6.7492999999999997E-2</v>
      </c>
      <c r="BS1014">
        <v>46.501376999999998</v>
      </c>
      <c r="BT1014">
        <v>50</v>
      </c>
      <c r="BU1014">
        <v>0.130604</v>
      </c>
      <c r="BV1014">
        <v>33.879142000000002</v>
      </c>
      <c r="BW1014">
        <v>50</v>
      </c>
      <c r="BX1014">
        <v>0.88684600000000002</v>
      </c>
      <c r="BY1014">
        <v>50</v>
      </c>
      <c r="BZ1014">
        <v>50</v>
      </c>
      <c r="CA1014">
        <v>0.69165500000000002</v>
      </c>
      <c r="CB1014">
        <v>46.110325000000003</v>
      </c>
      <c r="CC1014">
        <v>50</v>
      </c>
      <c r="CD1014">
        <v>0.94270799999999999</v>
      </c>
      <c r="CE1014">
        <v>50</v>
      </c>
      <c r="CF1014">
        <v>50</v>
      </c>
      <c r="CG1014">
        <v>0.98309899999999995</v>
      </c>
      <c r="CH1014">
        <v>100</v>
      </c>
      <c r="CI1014">
        <v>100</v>
      </c>
      <c r="CJ1014">
        <v>0</v>
      </c>
      <c r="CK1014">
        <v>0.95419799999999999</v>
      </c>
      <c r="CL1014">
        <v>100</v>
      </c>
      <c r="CM1014">
        <v>100</v>
      </c>
      <c r="CN1014">
        <v>0.87323899999999999</v>
      </c>
      <c r="CO1014">
        <v>100</v>
      </c>
      <c r="CP1014">
        <v>100</v>
      </c>
      <c r="CQ1014">
        <v>0.47252699999999997</v>
      </c>
      <c r="CR1014">
        <v>1.005525</v>
      </c>
      <c r="CS1014">
        <v>31.501832</v>
      </c>
      <c r="CT1014">
        <v>50</v>
      </c>
      <c r="CU1014">
        <v>0.42355399999999999</v>
      </c>
      <c r="CV1014">
        <v>35.296143000000001</v>
      </c>
      <c r="CW1014">
        <v>50</v>
      </c>
      <c r="CX1014">
        <v>0.95419799999999999</v>
      </c>
      <c r="CY1014">
        <v>0.94</v>
      </c>
      <c r="CZ1014">
        <v>-1.4198000000000001E-2</v>
      </c>
      <c r="DA1014">
        <v>15.314097</v>
      </c>
      <c r="DB1014">
        <v>17.400950000000002</v>
      </c>
      <c r="DC1014">
        <v>16.332519999999999</v>
      </c>
      <c r="DD1014">
        <v>7.9891730000000001</v>
      </c>
      <c r="DE1014">
        <v>1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Q1014" t="s">
        <v>126</v>
      </c>
    </row>
    <row r="1015" spans="1:121" x14ac:dyDescent="0.15">
      <c r="A1015">
        <v>2018</v>
      </c>
      <c r="B1015" t="s">
        <v>212</v>
      </c>
      <c r="C1015" t="str">
        <f t="shared" si="46"/>
        <v>1550011</v>
      </c>
      <c r="D1015" t="s">
        <v>1160</v>
      </c>
      <c r="E1015" t="str">
        <f>"1550611"</f>
        <v>1550611</v>
      </c>
      <c r="F1015" t="s">
        <v>328</v>
      </c>
      <c r="G1015" t="s">
        <v>339</v>
      </c>
      <c r="H1015">
        <v>5</v>
      </c>
      <c r="J1015" t="s">
        <v>331</v>
      </c>
      <c r="K1015">
        <v>772.35410000000002</v>
      </c>
      <c r="L1015">
        <v>950</v>
      </c>
      <c r="M1015">
        <v>81.300432000000001</v>
      </c>
      <c r="N1015">
        <v>2</v>
      </c>
      <c r="O1015">
        <v>0</v>
      </c>
      <c r="P1015">
        <v>80.138840999999999</v>
      </c>
      <c r="Q1015">
        <v>50</v>
      </c>
      <c r="R1015">
        <v>50</v>
      </c>
      <c r="S1015">
        <v>69.980222999999995</v>
      </c>
      <c r="T1015">
        <v>75</v>
      </c>
      <c r="U1015">
        <v>46.653481999999997</v>
      </c>
      <c r="V1015">
        <v>50</v>
      </c>
      <c r="W1015">
        <v>78.833646999999999</v>
      </c>
      <c r="X1015">
        <v>50</v>
      </c>
      <c r="Y1015">
        <v>50</v>
      </c>
      <c r="Z1015">
        <v>75</v>
      </c>
      <c r="AA1015">
        <v>66.616292000000001</v>
      </c>
      <c r="AB1015">
        <v>44.410860999999997</v>
      </c>
      <c r="AC1015">
        <v>50</v>
      </c>
      <c r="AD1015">
        <v>73.326328000000004</v>
      </c>
      <c r="AE1015">
        <v>48.884219000000002</v>
      </c>
      <c r="AF1015">
        <v>50</v>
      </c>
      <c r="AG1015">
        <v>59.782642000000003</v>
      </c>
      <c r="AH1015">
        <v>75</v>
      </c>
      <c r="AI1015">
        <v>39.855094999999999</v>
      </c>
      <c r="AJ1015">
        <v>50</v>
      </c>
      <c r="AK1015">
        <v>5.01</v>
      </c>
      <c r="AL1015">
        <v>8.3800000000000008</v>
      </c>
      <c r="AM1015">
        <v>15.21</v>
      </c>
      <c r="AN1015">
        <v>0.72457000000000005</v>
      </c>
      <c r="AO1015">
        <v>72.457014000000001</v>
      </c>
      <c r="AP1015">
        <v>100</v>
      </c>
      <c r="AQ1015">
        <v>0.82980600000000004</v>
      </c>
      <c r="AR1015">
        <v>82.980590000000007</v>
      </c>
      <c r="AS1015">
        <v>100</v>
      </c>
      <c r="AT1015">
        <v>0.79262500000000002</v>
      </c>
      <c r="AU1015">
        <v>0.709731</v>
      </c>
      <c r="AV1015">
        <v>79.262527000000006</v>
      </c>
      <c r="AW1015">
        <v>100</v>
      </c>
      <c r="AX1015">
        <v>0.874915</v>
      </c>
      <c r="AY1015">
        <v>0.81996999999999998</v>
      </c>
      <c r="AZ1015">
        <v>87.491454000000004</v>
      </c>
      <c r="BA1015">
        <v>100</v>
      </c>
      <c r="BB1015">
        <v>0.50570700000000002</v>
      </c>
      <c r="BC1015">
        <v>25.285360000000001</v>
      </c>
      <c r="BD1015">
        <v>50</v>
      </c>
      <c r="BE1015">
        <v>0.38994099999999998</v>
      </c>
      <c r="BF1015">
        <v>19.497028</v>
      </c>
      <c r="BG1015">
        <v>50</v>
      </c>
      <c r="BH1015">
        <v>0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0.99</v>
      </c>
      <c r="BP1015">
        <v>0.95454499999999998</v>
      </c>
      <c r="BQ1015">
        <v>1</v>
      </c>
      <c r="BR1015">
        <v>4.3999999999999997E-2</v>
      </c>
      <c r="BS1015">
        <v>50</v>
      </c>
      <c r="BT1015">
        <v>50</v>
      </c>
      <c r="BU1015">
        <v>0.128</v>
      </c>
      <c r="BV1015">
        <v>34.4</v>
      </c>
      <c r="BW1015">
        <v>50</v>
      </c>
      <c r="BX1015" t="s">
        <v>125</v>
      </c>
      <c r="BY1015" t="s">
        <v>125</v>
      </c>
      <c r="BZ1015" t="s">
        <v>125</v>
      </c>
      <c r="CA1015" t="s">
        <v>125</v>
      </c>
      <c r="CB1015" t="s">
        <v>125</v>
      </c>
      <c r="CC1015" t="s">
        <v>125</v>
      </c>
      <c r="CD1015" t="s">
        <v>125</v>
      </c>
      <c r="CE1015" t="s">
        <v>125</v>
      </c>
      <c r="CF1015" t="s">
        <v>125</v>
      </c>
      <c r="CG1015" t="s">
        <v>125</v>
      </c>
      <c r="CH1015" t="s">
        <v>125</v>
      </c>
      <c r="CI1015" t="s">
        <v>125</v>
      </c>
      <c r="CJ1015" t="s">
        <v>125</v>
      </c>
      <c r="CK1015" t="s">
        <v>125</v>
      </c>
      <c r="CL1015" t="s">
        <v>125</v>
      </c>
      <c r="CM1015" t="s">
        <v>125</v>
      </c>
      <c r="CN1015" t="s">
        <v>125</v>
      </c>
      <c r="CO1015" t="s">
        <v>125</v>
      </c>
      <c r="CP1015" t="s">
        <v>125</v>
      </c>
      <c r="CQ1015">
        <v>0.61764699999999995</v>
      </c>
      <c r="CR1015">
        <v>0.97142899999999999</v>
      </c>
      <c r="CS1015">
        <v>41.176470999999999</v>
      </c>
      <c r="CT1015">
        <v>50</v>
      </c>
      <c r="CU1015" t="s">
        <v>125</v>
      </c>
      <c r="CV1015" t="s">
        <v>125</v>
      </c>
      <c r="CW1015" t="s">
        <v>125</v>
      </c>
      <c r="CX1015" t="s">
        <v>125</v>
      </c>
      <c r="CY1015" t="s">
        <v>125</v>
      </c>
      <c r="CZ1015" t="s">
        <v>125</v>
      </c>
      <c r="DA1015">
        <v>15.314097</v>
      </c>
      <c r="DB1015">
        <v>17.400950000000002</v>
      </c>
      <c r="DC1015">
        <v>16.332519999999999</v>
      </c>
      <c r="DD1015" t="s">
        <v>125</v>
      </c>
      <c r="DE1015">
        <v>0</v>
      </c>
      <c r="DH1015" t="s">
        <v>332</v>
      </c>
      <c r="DI1015" t="s">
        <v>597</v>
      </c>
      <c r="DJ1015">
        <v>0</v>
      </c>
      <c r="DK1015">
        <v>0</v>
      </c>
      <c r="DL1015">
        <v>0</v>
      </c>
      <c r="DM1015">
        <v>1</v>
      </c>
      <c r="DN1015">
        <v>1</v>
      </c>
      <c r="DO1015">
        <v>0</v>
      </c>
      <c r="DQ1015" t="s">
        <v>126</v>
      </c>
    </row>
    <row r="1016" spans="1:121" x14ac:dyDescent="0.15">
      <c r="A1016">
        <v>2018</v>
      </c>
      <c r="B1016" t="s">
        <v>212</v>
      </c>
      <c r="C1016" t="str">
        <f t="shared" si="46"/>
        <v>1550011</v>
      </c>
      <c r="D1016" t="s">
        <v>1161</v>
      </c>
      <c r="E1016" t="str">
        <f>"1556211"</f>
        <v>1556211</v>
      </c>
      <c r="F1016" t="s">
        <v>328</v>
      </c>
      <c r="G1016">
        <v>9</v>
      </c>
      <c r="H1016">
        <v>12</v>
      </c>
      <c r="J1016" t="s">
        <v>331</v>
      </c>
      <c r="K1016">
        <v>1335.07953</v>
      </c>
      <c r="L1016">
        <v>1550</v>
      </c>
      <c r="M1016">
        <v>86.134163000000001</v>
      </c>
      <c r="N1016">
        <v>2</v>
      </c>
      <c r="O1016">
        <v>1</v>
      </c>
      <c r="P1016">
        <v>70.075861000000003</v>
      </c>
      <c r="Q1016">
        <v>140.15172200000001</v>
      </c>
      <c r="R1016">
        <v>150</v>
      </c>
      <c r="S1016">
        <v>55.455083000000002</v>
      </c>
      <c r="T1016">
        <v>75</v>
      </c>
      <c r="U1016">
        <v>110.91016500000001</v>
      </c>
      <c r="V1016">
        <v>150</v>
      </c>
      <c r="W1016">
        <v>66.804094000000006</v>
      </c>
      <c r="X1016">
        <v>133.60818699999999</v>
      </c>
      <c r="Y1016">
        <v>150</v>
      </c>
      <c r="Z1016">
        <v>72.549730999999994</v>
      </c>
      <c r="AA1016">
        <v>51.645389999999999</v>
      </c>
      <c r="AB1016">
        <v>103.29078</v>
      </c>
      <c r="AC1016">
        <v>150</v>
      </c>
      <c r="AD1016">
        <v>78.727860000000007</v>
      </c>
      <c r="AE1016">
        <v>100</v>
      </c>
      <c r="AF1016">
        <v>100</v>
      </c>
      <c r="AG1016">
        <v>61.762661000000001</v>
      </c>
      <c r="AH1016">
        <v>75</v>
      </c>
      <c r="AI1016">
        <v>82.350215000000006</v>
      </c>
      <c r="AJ1016">
        <v>100</v>
      </c>
      <c r="AK1016">
        <v>19.54</v>
      </c>
      <c r="AL1016">
        <v>20.9</v>
      </c>
      <c r="AM1016">
        <v>13.23</v>
      </c>
      <c r="AN1016" t="s">
        <v>125</v>
      </c>
      <c r="AO1016" t="s">
        <v>125</v>
      </c>
      <c r="AP1016" t="s">
        <v>125</v>
      </c>
      <c r="AQ1016" t="s">
        <v>125</v>
      </c>
      <c r="AR1016" t="s">
        <v>125</v>
      </c>
      <c r="AS1016" t="s">
        <v>125</v>
      </c>
      <c r="AT1016" t="s">
        <v>125</v>
      </c>
      <c r="AU1016" t="s">
        <v>125</v>
      </c>
      <c r="AV1016" t="s">
        <v>125</v>
      </c>
      <c r="AW1016" t="s">
        <v>125</v>
      </c>
      <c r="AX1016" t="s">
        <v>125</v>
      </c>
      <c r="AY1016" t="s">
        <v>125</v>
      </c>
      <c r="AZ1016" t="s">
        <v>125</v>
      </c>
      <c r="BA1016" t="s">
        <v>125</v>
      </c>
      <c r="BB1016">
        <v>0.69701299999999999</v>
      </c>
      <c r="BC1016">
        <v>34.850642000000001</v>
      </c>
      <c r="BD1016">
        <v>50</v>
      </c>
      <c r="BE1016">
        <v>0.65083800000000003</v>
      </c>
      <c r="BF1016">
        <v>32.541876000000002</v>
      </c>
      <c r="BG1016">
        <v>50</v>
      </c>
      <c r="BH1016">
        <v>0</v>
      </c>
      <c r="BI1016">
        <v>0.99716700000000003</v>
      </c>
      <c r="BJ1016">
        <v>1</v>
      </c>
      <c r="BK1016">
        <v>0.996</v>
      </c>
      <c r="BL1016">
        <v>0.99716700000000003</v>
      </c>
      <c r="BM1016">
        <v>1</v>
      </c>
      <c r="BN1016">
        <v>0.996</v>
      </c>
      <c r="BO1016">
        <v>0.98583600000000005</v>
      </c>
      <c r="BP1016">
        <v>0.961538</v>
      </c>
      <c r="BQ1016">
        <v>0.99598399999999998</v>
      </c>
      <c r="BR1016">
        <v>7.886E-2</v>
      </c>
      <c r="BS1016">
        <v>44.227966000000002</v>
      </c>
      <c r="BT1016">
        <v>50</v>
      </c>
      <c r="BU1016">
        <v>0.16511600000000001</v>
      </c>
      <c r="BV1016">
        <v>26.976744</v>
      </c>
      <c r="BW1016">
        <v>50</v>
      </c>
      <c r="BX1016">
        <v>0.88583199999999995</v>
      </c>
      <c r="BY1016">
        <v>50</v>
      </c>
      <c r="BZ1016">
        <v>50</v>
      </c>
      <c r="CA1016">
        <v>0.70701499999999995</v>
      </c>
      <c r="CB1016">
        <v>47.134341999999997</v>
      </c>
      <c r="CC1016">
        <v>50</v>
      </c>
      <c r="CD1016">
        <v>0.94315199999999999</v>
      </c>
      <c r="CE1016">
        <v>50</v>
      </c>
      <c r="CF1016">
        <v>50</v>
      </c>
      <c r="CG1016">
        <v>0.97935099999999997</v>
      </c>
      <c r="CH1016">
        <v>100</v>
      </c>
      <c r="CI1016">
        <v>100</v>
      </c>
      <c r="CJ1016">
        <v>0</v>
      </c>
      <c r="CK1016">
        <v>1</v>
      </c>
      <c r="CL1016">
        <v>100</v>
      </c>
      <c r="CM1016">
        <v>100</v>
      </c>
      <c r="CN1016">
        <v>0.85671600000000003</v>
      </c>
      <c r="CO1016">
        <v>100</v>
      </c>
      <c r="CP1016">
        <v>100</v>
      </c>
      <c r="CQ1016">
        <v>0.58333299999999999</v>
      </c>
      <c r="CR1016">
        <v>0.93939399999999995</v>
      </c>
      <c r="CS1016">
        <v>38.888888999999999</v>
      </c>
      <c r="CT1016">
        <v>50</v>
      </c>
      <c r="CU1016">
        <v>0.48177599999999998</v>
      </c>
      <c r="CV1016">
        <v>40.148001000000001</v>
      </c>
      <c r="CW1016">
        <v>50</v>
      </c>
      <c r="CX1016">
        <v>1</v>
      </c>
      <c r="CY1016">
        <v>0.94</v>
      </c>
      <c r="CZ1016">
        <v>-0.06</v>
      </c>
      <c r="DA1016">
        <v>15.314097</v>
      </c>
      <c r="DB1016">
        <v>17.400950000000002</v>
      </c>
      <c r="DC1016">
        <v>16.332519999999999</v>
      </c>
      <c r="DD1016">
        <v>7.9891730000000001</v>
      </c>
      <c r="DE1016">
        <v>1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Q1016" t="s">
        <v>126</v>
      </c>
    </row>
    <row r="1017" spans="1:121" x14ac:dyDescent="0.15">
      <c r="A1017">
        <v>2018</v>
      </c>
      <c r="B1017" t="s">
        <v>212</v>
      </c>
      <c r="C1017" t="str">
        <f t="shared" si="46"/>
        <v>1550011</v>
      </c>
      <c r="D1017" t="s">
        <v>1162</v>
      </c>
      <c r="E1017" t="str">
        <f>"1555111"</f>
        <v>1555111</v>
      </c>
      <c r="F1017" t="s">
        <v>328</v>
      </c>
      <c r="G1017">
        <v>6</v>
      </c>
      <c r="H1017">
        <v>8</v>
      </c>
      <c r="J1017" t="s">
        <v>331</v>
      </c>
      <c r="K1017">
        <v>742.49992299999997</v>
      </c>
      <c r="L1017">
        <v>1000</v>
      </c>
      <c r="M1017">
        <v>74.249992000000006</v>
      </c>
      <c r="N1017">
        <v>3</v>
      </c>
      <c r="O1017">
        <v>1</v>
      </c>
      <c r="P1017">
        <v>77.453196000000005</v>
      </c>
      <c r="Q1017">
        <v>50</v>
      </c>
      <c r="R1017">
        <v>50</v>
      </c>
      <c r="S1017">
        <v>60.257370999999999</v>
      </c>
      <c r="T1017">
        <v>75</v>
      </c>
      <c r="U1017">
        <v>40.171581000000003</v>
      </c>
      <c r="V1017">
        <v>50</v>
      </c>
      <c r="W1017">
        <v>71.474835999999996</v>
      </c>
      <c r="X1017">
        <v>47.649890999999997</v>
      </c>
      <c r="Y1017">
        <v>50</v>
      </c>
      <c r="Z1017">
        <v>75</v>
      </c>
      <c r="AA1017">
        <v>53.412548999999999</v>
      </c>
      <c r="AB1017">
        <v>35.608365999999997</v>
      </c>
      <c r="AC1017">
        <v>50</v>
      </c>
      <c r="AD1017">
        <v>72.716279999999998</v>
      </c>
      <c r="AE1017">
        <v>48.477519999999998</v>
      </c>
      <c r="AF1017">
        <v>50</v>
      </c>
      <c r="AG1017">
        <v>59.104875999999997</v>
      </c>
      <c r="AH1017">
        <v>75</v>
      </c>
      <c r="AI1017">
        <v>39.403250999999997</v>
      </c>
      <c r="AJ1017">
        <v>50</v>
      </c>
      <c r="AK1017">
        <v>14.74</v>
      </c>
      <c r="AL1017">
        <v>21.58</v>
      </c>
      <c r="AM1017">
        <v>15.89</v>
      </c>
      <c r="AN1017">
        <v>0.63282000000000005</v>
      </c>
      <c r="AO1017">
        <v>63.281953000000001</v>
      </c>
      <c r="AP1017">
        <v>100</v>
      </c>
      <c r="AQ1017">
        <v>0.64036499999999996</v>
      </c>
      <c r="AR1017">
        <v>64.036491999999996</v>
      </c>
      <c r="AS1017">
        <v>100</v>
      </c>
      <c r="AT1017">
        <v>0.57412700000000005</v>
      </c>
      <c r="AU1017">
        <v>0.65586299999999997</v>
      </c>
      <c r="AV1017">
        <v>57.412737999999997</v>
      </c>
      <c r="AW1017">
        <v>100</v>
      </c>
      <c r="AX1017">
        <v>0.50729999999999997</v>
      </c>
      <c r="AY1017">
        <v>0.69216200000000005</v>
      </c>
      <c r="AZ1017">
        <v>50.730007000000001</v>
      </c>
      <c r="BA1017">
        <v>100</v>
      </c>
      <c r="BB1017">
        <v>0.75200500000000003</v>
      </c>
      <c r="BC1017">
        <v>37.600267000000002</v>
      </c>
      <c r="BD1017">
        <v>50</v>
      </c>
      <c r="BE1017">
        <v>0.74182999999999999</v>
      </c>
      <c r="BF1017">
        <v>37.09151</v>
      </c>
      <c r="BG1017">
        <v>50</v>
      </c>
      <c r="BH1017">
        <v>0</v>
      </c>
      <c r="BI1017">
        <v>0.99219599999999997</v>
      </c>
      <c r="BJ1017">
        <v>0.99307999999999996</v>
      </c>
      <c r="BK1017">
        <v>0.99177599999999999</v>
      </c>
      <c r="BL1017">
        <v>0.98995500000000003</v>
      </c>
      <c r="BM1017">
        <v>0.98615900000000001</v>
      </c>
      <c r="BN1017">
        <v>0.99176299999999995</v>
      </c>
      <c r="BO1017">
        <v>0.99683500000000003</v>
      </c>
      <c r="BP1017">
        <v>1</v>
      </c>
      <c r="BQ1017">
        <v>0.99545499999999998</v>
      </c>
      <c r="BR1017">
        <v>5.5803999999999999E-2</v>
      </c>
      <c r="BS1017">
        <v>48.839286000000001</v>
      </c>
      <c r="BT1017">
        <v>50</v>
      </c>
      <c r="BU1017">
        <v>0.121771</v>
      </c>
      <c r="BV1017">
        <v>35.645755999999999</v>
      </c>
      <c r="BW1017">
        <v>50</v>
      </c>
      <c r="BX1017" t="s">
        <v>125</v>
      </c>
      <c r="BY1017" t="s">
        <v>125</v>
      </c>
      <c r="BZ1017" t="s">
        <v>125</v>
      </c>
      <c r="CA1017" t="s">
        <v>125</v>
      </c>
      <c r="CB1017" t="s">
        <v>125</v>
      </c>
      <c r="CC1017" t="s">
        <v>125</v>
      </c>
      <c r="CD1017">
        <v>0.95469300000000001</v>
      </c>
      <c r="CE1017">
        <v>50</v>
      </c>
      <c r="CF1017">
        <v>50</v>
      </c>
      <c r="CG1017" t="s">
        <v>125</v>
      </c>
      <c r="CH1017" t="s">
        <v>125</v>
      </c>
      <c r="CI1017" t="s">
        <v>125</v>
      </c>
      <c r="CJ1017" t="s">
        <v>125</v>
      </c>
      <c r="CK1017" t="s">
        <v>125</v>
      </c>
      <c r="CL1017" t="s">
        <v>125</v>
      </c>
      <c r="CM1017" t="s">
        <v>125</v>
      </c>
      <c r="CN1017" t="s">
        <v>125</v>
      </c>
      <c r="CO1017" t="s">
        <v>125</v>
      </c>
      <c r="CP1017" t="s">
        <v>125</v>
      </c>
      <c r="CQ1017">
        <v>0.54827000000000004</v>
      </c>
      <c r="CR1017">
        <v>0.91652800000000001</v>
      </c>
      <c r="CS1017">
        <v>36.551304999999999</v>
      </c>
      <c r="CT1017">
        <v>50</v>
      </c>
      <c r="CU1017" t="s">
        <v>125</v>
      </c>
      <c r="CV1017" t="s">
        <v>125</v>
      </c>
      <c r="CW1017" t="s">
        <v>125</v>
      </c>
      <c r="CX1017" t="s">
        <v>125</v>
      </c>
      <c r="CY1017" t="s">
        <v>125</v>
      </c>
      <c r="CZ1017" t="s">
        <v>125</v>
      </c>
      <c r="DA1017">
        <v>15.314097</v>
      </c>
      <c r="DB1017">
        <v>17.400950000000002</v>
      </c>
      <c r="DC1017">
        <v>16.332519999999999</v>
      </c>
      <c r="DD1017" t="s">
        <v>125</v>
      </c>
      <c r="DE1017">
        <v>1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Q1017" t="s">
        <v>126</v>
      </c>
    </row>
    <row r="1018" spans="1:121" x14ac:dyDescent="0.15">
      <c r="A1018">
        <v>2018</v>
      </c>
      <c r="B1018" t="s">
        <v>212</v>
      </c>
      <c r="C1018" t="str">
        <f t="shared" si="46"/>
        <v>1550011</v>
      </c>
      <c r="D1018" t="s">
        <v>1163</v>
      </c>
      <c r="E1018" t="str">
        <f>"1550911"</f>
        <v>1550911</v>
      </c>
      <c r="F1018" t="s">
        <v>328</v>
      </c>
      <c r="G1018" t="s">
        <v>339</v>
      </c>
      <c r="H1018">
        <v>5</v>
      </c>
      <c r="J1018" t="s">
        <v>331</v>
      </c>
      <c r="K1018">
        <v>647.29313300000001</v>
      </c>
      <c r="L1018">
        <v>800</v>
      </c>
      <c r="M1018">
        <v>80.911642000000001</v>
      </c>
      <c r="N1018">
        <v>2</v>
      </c>
      <c r="O1018">
        <v>0</v>
      </c>
      <c r="P1018">
        <v>80.635142000000002</v>
      </c>
      <c r="Q1018">
        <v>50</v>
      </c>
      <c r="R1018">
        <v>50</v>
      </c>
      <c r="S1018">
        <v>65.804741000000007</v>
      </c>
      <c r="T1018">
        <v>75</v>
      </c>
      <c r="U1018">
        <v>43.869827999999998</v>
      </c>
      <c r="V1018">
        <v>50</v>
      </c>
      <c r="W1018">
        <v>77.211949000000004</v>
      </c>
      <c r="X1018">
        <v>50</v>
      </c>
      <c r="Y1018">
        <v>50</v>
      </c>
      <c r="Z1018">
        <v>75</v>
      </c>
      <c r="AA1018">
        <v>63.148178000000001</v>
      </c>
      <c r="AB1018">
        <v>42.098785999999997</v>
      </c>
      <c r="AC1018">
        <v>50</v>
      </c>
      <c r="AD1018">
        <v>77.688171999999994</v>
      </c>
      <c r="AE1018">
        <v>50</v>
      </c>
      <c r="AF1018">
        <v>50</v>
      </c>
      <c r="AG1018" t="s">
        <v>125</v>
      </c>
      <c r="AH1018">
        <v>75</v>
      </c>
      <c r="AI1018" t="s">
        <v>125</v>
      </c>
      <c r="AJ1018" t="s">
        <v>125</v>
      </c>
      <c r="AK1018">
        <v>9.19</v>
      </c>
      <c r="AL1018">
        <v>11.85</v>
      </c>
      <c r="AM1018" t="s">
        <v>125</v>
      </c>
      <c r="AN1018">
        <v>0.73512</v>
      </c>
      <c r="AO1018">
        <v>73.511959000000004</v>
      </c>
      <c r="AP1018">
        <v>100</v>
      </c>
      <c r="AQ1018">
        <v>0.87597700000000001</v>
      </c>
      <c r="AR1018">
        <v>87.597656000000001</v>
      </c>
      <c r="AS1018">
        <v>100</v>
      </c>
      <c r="AT1018">
        <v>0.51249400000000001</v>
      </c>
      <c r="AU1018">
        <v>0.79319600000000001</v>
      </c>
      <c r="AV1018">
        <v>51.249434999999998</v>
      </c>
      <c r="AW1018">
        <v>100</v>
      </c>
      <c r="AX1018">
        <v>0.80305700000000002</v>
      </c>
      <c r="AY1018">
        <v>0.89499899999999999</v>
      </c>
      <c r="AZ1018">
        <v>80.305740999999998</v>
      </c>
      <c r="BA1018">
        <v>100</v>
      </c>
      <c r="BB1018" t="s">
        <v>125</v>
      </c>
      <c r="BC1018" t="s">
        <v>125</v>
      </c>
      <c r="BD1018" t="s">
        <v>125</v>
      </c>
      <c r="BE1018" t="s">
        <v>125</v>
      </c>
      <c r="BF1018" t="s">
        <v>125</v>
      </c>
      <c r="BG1018" t="s">
        <v>125</v>
      </c>
      <c r="BH1018">
        <v>0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 t="s">
        <v>125</v>
      </c>
      <c r="BQ1018">
        <v>1</v>
      </c>
      <c r="BR1018">
        <v>6.6225000000000006E-2</v>
      </c>
      <c r="BS1018">
        <v>46.754967000000001</v>
      </c>
      <c r="BT1018">
        <v>50</v>
      </c>
      <c r="BU1018">
        <v>0.19047600000000001</v>
      </c>
      <c r="BV1018">
        <v>21.904762000000002</v>
      </c>
      <c r="BW1018">
        <v>50</v>
      </c>
      <c r="BX1018" t="s">
        <v>125</v>
      </c>
      <c r="BY1018" t="s">
        <v>125</v>
      </c>
      <c r="BZ1018" t="s">
        <v>125</v>
      </c>
      <c r="CA1018" t="s">
        <v>125</v>
      </c>
      <c r="CB1018" t="s">
        <v>125</v>
      </c>
      <c r="CC1018" t="s">
        <v>125</v>
      </c>
      <c r="CD1018" t="s">
        <v>125</v>
      </c>
      <c r="CE1018" t="s">
        <v>125</v>
      </c>
      <c r="CF1018" t="s">
        <v>125</v>
      </c>
      <c r="CG1018" t="s">
        <v>125</v>
      </c>
      <c r="CH1018" t="s">
        <v>125</v>
      </c>
      <c r="CI1018" t="s">
        <v>125</v>
      </c>
      <c r="CJ1018" t="s">
        <v>125</v>
      </c>
      <c r="CK1018" t="s">
        <v>125</v>
      </c>
      <c r="CL1018" t="s">
        <v>125</v>
      </c>
      <c r="CM1018" t="s">
        <v>125</v>
      </c>
      <c r="CN1018" t="s">
        <v>125</v>
      </c>
      <c r="CO1018" t="s">
        <v>125</v>
      </c>
      <c r="CP1018" t="s">
        <v>125</v>
      </c>
      <c r="CQ1018">
        <v>0.90740699999999996</v>
      </c>
      <c r="CR1018">
        <v>0.98181799999999997</v>
      </c>
      <c r="CS1018">
        <v>50</v>
      </c>
      <c r="CT1018">
        <v>50</v>
      </c>
      <c r="CU1018" t="s">
        <v>125</v>
      </c>
      <c r="CV1018" t="s">
        <v>125</v>
      </c>
      <c r="CW1018" t="s">
        <v>125</v>
      </c>
      <c r="CX1018" t="s">
        <v>125</v>
      </c>
      <c r="CY1018" t="s">
        <v>125</v>
      </c>
      <c r="CZ1018" t="s">
        <v>125</v>
      </c>
      <c r="DA1018">
        <v>15.314097</v>
      </c>
      <c r="DB1018">
        <v>17.400950000000002</v>
      </c>
      <c r="DC1018">
        <v>16.332519999999999</v>
      </c>
      <c r="DD1018" t="s">
        <v>125</v>
      </c>
      <c r="DE1018">
        <v>0</v>
      </c>
      <c r="DH1018" t="s">
        <v>332</v>
      </c>
      <c r="DI1018" t="s">
        <v>453</v>
      </c>
      <c r="DJ1018">
        <v>0</v>
      </c>
      <c r="DK1018">
        <v>0</v>
      </c>
      <c r="DL1018">
        <v>1</v>
      </c>
      <c r="DM1018">
        <v>0</v>
      </c>
      <c r="DN1018">
        <v>1</v>
      </c>
      <c r="DO1018">
        <v>0</v>
      </c>
      <c r="DQ1018" t="s">
        <v>126</v>
      </c>
    </row>
    <row r="1019" spans="1:121" x14ac:dyDescent="0.15">
      <c r="A1019">
        <v>2018</v>
      </c>
      <c r="B1019" t="s">
        <v>212</v>
      </c>
      <c r="C1019" t="str">
        <f t="shared" si="46"/>
        <v>1550011</v>
      </c>
      <c r="D1019" t="s">
        <v>1164</v>
      </c>
      <c r="E1019" t="str">
        <f>"1551011"</f>
        <v>1551011</v>
      </c>
      <c r="F1019" t="s">
        <v>328</v>
      </c>
      <c r="G1019" t="s">
        <v>339</v>
      </c>
      <c r="H1019">
        <v>5</v>
      </c>
      <c r="J1019" t="s">
        <v>331</v>
      </c>
      <c r="K1019">
        <v>528.50480800000003</v>
      </c>
      <c r="L1019">
        <v>600</v>
      </c>
      <c r="M1019">
        <v>88.084135000000003</v>
      </c>
      <c r="N1019">
        <v>1</v>
      </c>
      <c r="O1019">
        <v>0</v>
      </c>
      <c r="P1019">
        <v>86.567164000000005</v>
      </c>
      <c r="Q1019">
        <v>50</v>
      </c>
      <c r="R1019">
        <v>50</v>
      </c>
      <c r="S1019">
        <v>75.204154000000003</v>
      </c>
      <c r="T1019">
        <v>75</v>
      </c>
      <c r="U1019">
        <v>50</v>
      </c>
      <c r="V1019">
        <v>50</v>
      </c>
      <c r="W1019">
        <v>81.615748999999994</v>
      </c>
      <c r="X1019">
        <v>50</v>
      </c>
      <c r="Y1019">
        <v>50</v>
      </c>
      <c r="Z1019">
        <v>75</v>
      </c>
      <c r="AA1019">
        <v>70.642546999999993</v>
      </c>
      <c r="AB1019">
        <v>47.095030999999999</v>
      </c>
      <c r="AC1019">
        <v>50</v>
      </c>
      <c r="AD1019">
        <v>80.752230999999995</v>
      </c>
      <c r="AE1019">
        <v>50</v>
      </c>
      <c r="AF1019">
        <v>50</v>
      </c>
      <c r="AG1019" t="s">
        <v>125</v>
      </c>
      <c r="AH1019">
        <v>75</v>
      </c>
      <c r="AI1019" t="s">
        <v>125</v>
      </c>
      <c r="AJ1019" t="s">
        <v>125</v>
      </c>
      <c r="AK1019">
        <v>-0.2</v>
      </c>
      <c r="AL1019">
        <v>4.3499999999999996</v>
      </c>
      <c r="AM1019" t="s">
        <v>125</v>
      </c>
      <c r="AN1019">
        <v>0.79503599999999996</v>
      </c>
      <c r="AO1019">
        <v>79.503558999999996</v>
      </c>
      <c r="AP1019">
        <v>100</v>
      </c>
      <c r="AQ1019">
        <v>0.86821499999999996</v>
      </c>
      <c r="AR1019">
        <v>86.821471000000003</v>
      </c>
      <c r="AS1019">
        <v>100</v>
      </c>
      <c r="AT1019" t="s">
        <v>125</v>
      </c>
      <c r="AU1019">
        <v>0.80504500000000001</v>
      </c>
      <c r="AV1019" t="s">
        <v>125</v>
      </c>
      <c r="AW1019" t="s">
        <v>125</v>
      </c>
      <c r="AX1019" t="s">
        <v>125</v>
      </c>
      <c r="AY1019">
        <v>0.87645399999999996</v>
      </c>
      <c r="AZ1019" t="s">
        <v>125</v>
      </c>
      <c r="BA1019" t="s">
        <v>125</v>
      </c>
      <c r="BB1019" t="s">
        <v>125</v>
      </c>
      <c r="BC1019" t="s">
        <v>125</v>
      </c>
      <c r="BD1019" t="s">
        <v>125</v>
      </c>
      <c r="BE1019" t="s">
        <v>125</v>
      </c>
      <c r="BF1019" t="s">
        <v>125</v>
      </c>
      <c r="BG1019" t="s">
        <v>125</v>
      </c>
      <c r="BH1019">
        <v>0</v>
      </c>
      <c r="BI1019">
        <v>0.99354799999999999</v>
      </c>
      <c r="BJ1019">
        <v>1</v>
      </c>
      <c r="BK1019">
        <v>0.99193500000000001</v>
      </c>
      <c r="BL1019">
        <v>0.99354799999999999</v>
      </c>
      <c r="BM1019">
        <v>1</v>
      </c>
      <c r="BN1019">
        <v>0.99193500000000001</v>
      </c>
      <c r="BO1019">
        <v>1</v>
      </c>
      <c r="BP1019" t="s">
        <v>125</v>
      </c>
      <c r="BQ1019">
        <v>1</v>
      </c>
      <c r="BR1019">
        <v>3.9474000000000002E-2</v>
      </c>
      <c r="BS1019">
        <v>50</v>
      </c>
      <c r="BT1019">
        <v>50</v>
      </c>
      <c r="BU1019">
        <v>0.16666700000000001</v>
      </c>
      <c r="BV1019">
        <v>26.666667</v>
      </c>
      <c r="BW1019">
        <v>50</v>
      </c>
      <c r="BX1019" t="s">
        <v>125</v>
      </c>
      <c r="BY1019" t="s">
        <v>125</v>
      </c>
      <c r="BZ1019" t="s">
        <v>125</v>
      </c>
      <c r="CA1019" t="s">
        <v>125</v>
      </c>
      <c r="CB1019" t="s">
        <v>125</v>
      </c>
      <c r="CC1019" t="s">
        <v>125</v>
      </c>
      <c r="CD1019" t="s">
        <v>125</v>
      </c>
      <c r="CE1019" t="s">
        <v>125</v>
      </c>
      <c r="CF1019" t="s">
        <v>125</v>
      </c>
      <c r="CG1019" t="s">
        <v>125</v>
      </c>
      <c r="CH1019" t="s">
        <v>125</v>
      </c>
      <c r="CI1019" t="s">
        <v>125</v>
      </c>
      <c r="CJ1019" t="s">
        <v>125</v>
      </c>
      <c r="CK1019" t="s">
        <v>125</v>
      </c>
      <c r="CL1019" t="s">
        <v>125</v>
      </c>
      <c r="CM1019" t="s">
        <v>125</v>
      </c>
      <c r="CN1019" t="s">
        <v>125</v>
      </c>
      <c r="CO1019" t="s">
        <v>125</v>
      </c>
      <c r="CP1019" t="s">
        <v>125</v>
      </c>
      <c r="CQ1019">
        <v>0.57627099999999998</v>
      </c>
      <c r="CR1019">
        <v>1.035088</v>
      </c>
      <c r="CS1019">
        <v>38.418078999999999</v>
      </c>
      <c r="CT1019">
        <v>50</v>
      </c>
      <c r="CU1019" t="s">
        <v>125</v>
      </c>
      <c r="CV1019" t="s">
        <v>125</v>
      </c>
      <c r="CW1019" t="s">
        <v>125</v>
      </c>
      <c r="CX1019" t="s">
        <v>125</v>
      </c>
      <c r="CY1019" t="s">
        <v>125</v>
      </c>
      <c r="CZ1019" t="s">
        <v>125</v>
      </c>
      <c r="DA1019">
        <v>15.314097</v>
      </c>
      <c r="DB1019">
        <v>17.400950000000002</v>
      </c>
      <c r="DC1019">
        <v>16.332519999999999</v>
      </c>
      <c r="DD1019" t="s">
        <v>125</v>
      </c>
      <c r="DE1019">
        <v>0</v>
      </c>
      <c r="DH1019" t="s">
        <v>332</v>
      </c>
      <c r="DI1019" t="s">
        <v>498</v>
      </c>
      <c r="DJ1019">
        <v>1</v>
      </c>
      <c r="DK1019">
        <v>1</v>
      </c>
      <c r="DL1019">
        <v>1</v>
      </c>
      <c r="DM1019">
        <v>0</v>
      </c>
      <c r="DN1019">
        <v>0</v>
      </c>
      <c r="DO1019">
        <v>0</v>
      </c>
      <c r="DQ1019" t="s">
        <v>126</v>
      </c>
    </row>
    <row r="1020" spans="1:121" x14ac:dyDescent="0.15">
      <c r="A1020">
        <v>2018</v>
      </c>
      <c r="B1020" t="s">
        <v>212</v>
      </c>
      <c r="C1020" t="str">
        <f t="shared" si="46"/>
        <v>1550011</v>
      </c>
      <c r="D1020" t="s">
        <v>1165</v>
      </c>
      <c r="E1020" t="str">
        <f>"1555211"</f>
        <v>1555211</v>
      </c>
      <c r="F1020" t="s">
        <v>328</v>
      </c>
      <c r="G1020">
        <v>6</v>
      </c>
      <c r="H1020">
        <v>8</v>
      </c>
      <c r="J1020" t="s">
        <v>331</v>
      </c>
      <c r="K1020">
        <v>698.61091099999999</v>
      </c>
      <c r="L1020">
        <v>1000</v>
      </c>
      <c r="M1020">
        <v>69.861091000000002</v>
      </c>
      <c r="N1020">
        <v>3</v>
      </c>
      <c r="O1020">
        <v>1</v>
      </c>
      <c r="P1020">
        <v>74.021559999999994</v>
      </c>
      <c r="Q1020">
        <v>49.347707</v>
      </c>
      <c r="R1020">
        <v>50</v>
      </c>
      <c r="S1020">
        <v>60.688400999999999</v>
      </c>
      <c r="T1020">
        <v>75</v>
      </c>
      <c r="U1020">
        <v>40.458933999999999</v>
      </c>
      <c r="V1020">
        <v>50</v>
      </c>
      <c r="W1020">
        <v>65.188034999999999</v>
      </c>
      <c r="X1020">
        <v>43.458689999999997</v>
      </c>
      <c r="Y1020">
        <v>50</v>
      </c>
      <c r="Z1020">
        <v>73.439991000000006</v>
      </c>
      <c r="AA1020">
        <v>51.563308999999997</v>
      </c>
      <c r="AB1020">
        <v>34.375539000000003</v>
      </c>
      <c r="AC1020">
        <v>50</v>
      </c>
      <c r="AD1020">
        <v>68.423316999999997</v>
      </c>
      <c r="AE1020">
        <v>45.615544999999997</v>
      </c>
      <c r="AF1020">
        <v>50</v>
      </c>
      <c r="AG1020">
        <v>56.501550999999999</v>
      </c>
      <c r="AH1020">
        <v>75</v>
      </c>
      <c r="AI1020">
        <v>37.667701000000001</v>
      </c>
      <c r="AJ1020">
        <v>50</v>
      </c>
      <c r="AK1020">
        <v>14.31</v>
      </c>
      <c r="AL1020">
        <v>21.87</v>
      </c>
      <c r="AM1020">
        <v>18.489999999999998</v>
      </c>
      <c r="AN1020">
        <v>0.65893699999999999</v>
      </c>
      <c r="AO1020">
        <v>65.893707000000006</v>
      </c>
      <c r="AP1020">
        <v>100</v>
      </c>
      <c r="AQ1020">
        <v>0.5635</v>
      </c>
      <c r="AR1020">
        <v>56.350048999999999</v>
      </c>
      <c r="AS1020">
        <v>100</v>
      </c>
      <c r="AT1020">
        <v>0.60608600000000001</v>
      </c>
      <c r="AU1020">
        <v>0.68762199999999996</v>
      </c>
      <c r="AV1020">
        <v>60.608604</v>
      </c>
      <c r="AW1020">
        <v>100</v>
      </c>
      <c r="AX1020">
        <v>0.51936899999999997</v>
      </c>
      <c r="AY1020">
        <v>0.58713000000000004</v>
      </c>
      <c r="AZ1020">
        <v>51.936929999999997</v>
      </c>
      <c r="BA1020">
        <v>100</v>
      </c>
      <c r="BB1020">
        <v>0.420074</v>
      </c>
      <c r="BC1020">
        <v>21.003699000000001</v>
      </c>
      <c r="BD1020">
        <v>50</v>
      </c>
      <c r="BE1020">
        <v>0.57174100000000005</v>
      </c>
      <c r="BF1020">
        <v>28.587025000000001</v>
      </c>
      <c r="BG1020">
        <v>50</v>
      </c>
      <c r="BH1020">
        <v>0</v>
      </c>
      <c r="BI1020">
        <v>0.987599</v>
      </c>
      <c r="BJ1020">
        <v>0.98005699999999996</v>
      </c>
      <c r="BK1020">
        <v>0.992537</v>
      </c>
      <c r="BL1020">
        <v>0.98194099999999995</v>
      </c>
      <c r="BM1020">
        <v>0.96857099999999996</v>
      </c>
      <c r="BN1020">
        <v>0.990672</v>
      </c>
      <c r="BO1020">
        <v>0.99288299999999996</v>
      </c>
      <c r="BP1020">
        <v>0.980769</v>
      </c>
      <c r="BQ1020">
        <v>1</v>
      </c>
      <c r="BR1020">
        <v>6.2147000000000001E-2</v>
      </c>
      <c r="BS1020">
        <v>47.570621000000003</v>
      </c>
      <c r="BT1020">
        <v>50</v>
      </c>
      <c r="BU1020">
        <v>0.119266</v>
      </c>
      <c r="BV1020">
        <v>36.146788999999998</v>
      </c>
      <c r="BW1020">
        <v>50</v>
      </c>
      <c r="BX1020" t="s">
        <v>125</v>
      </c>
      <c r="BY1020" t="s">
        <v>125</v>
      </c>
      <c r="BZ1020" t="s">
        <v>125</v>
      </c>
      <c r="CA1020" t="s">
        <v>125</v>
      </c>
      <c r="CB1020" t="s">
        <v>125</v>
      </c>
      <c r="CC1020" t="s">
        <v>125</v>
      </c>
      <c r="CD1020">
        <v>0.94078899999999999</v>
      </c>
      <c r="CE1020">
        <v>50</v>
      </c>
      <c r="CF1020">
        <v>50</v>
      </c>
      <c r="CG1020" t="s">
        <v>125</v>
      </c>
      <c r="CH1020" t="s">
        <v>125</v>
      </c>
      <c r="CI1020" t="s">
        <v>125</v>
      </c>
      <c r="CJ1020" t="s">
        <v>125</v>
      </c>
      <c r="CK1020" t="s">
        <v>125</v>
      </c>
      <c r="CL1020" t="s">
        <v>125</v>
      </c>
      <c r="CM1020" t="s">
        <v>125</v>
      </c>
      <c r="CN1020" t="s">
        <v>125</v>
      </c>
      <c r="CO1020" t="s">
        <v>125</v>
      </c>
      <c r="CP1020" t="s">
        <v>125</v>
      </c>
      <c r="CQ1020">
        <v>0.44384099999999999</v>
      </c>
      <c r="CR1020">
        <v>0.97526500000000005</v>
      </c>
      <c r="CS1020">
        <v>29.589372000000001</v>
      </c>
      <c r="CT1020">
        <v>50</v>
      </c>
      <c r="CU1020" t="s">
        <v>125</v>
      </c>
      <c r="CV1020" t="s">
        <v>125</v>
      </c>
      <c r="CW1020" t="s">
        <v>125</v>
      </c>
      <c r="CX1020" t="s">
        <v>125</v>
      </c>
      <c r="CY1020" t="s">
        <v>125</v>
      </c>
      <c r="CZ1020" t="s">
        <v>125</v>
      </c>
      <c r="DA1020">
        <v>15.314097</v>
      </c>
      <c r="DB1020">
        <v>17.400950000000002</v>
      </c>
      <c r="DC1020">
        <v>16.332519999999999</v>
      </c>
      <c r="DD1020" t="s">
        <v>125</v>
      </c>
      <c r="DE1020">
        <v>1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Q1020" t="s">
        <v>126</v>
      </c>
    </row>
    <row r="1021" spans="1:121" x14ac:dyDescent="0.15">
      <c r="A1021">
        <v>2018</v>
      </c>
      <c r="B1021" t="s">
        <v>212</v>
      </c>
      <c r="C1021" t="str">
        <f t="shared" si="46"/>
        <v>1550011</v>
      </c>
      <c r="D1021" t="s">
        <v>1166</v>
      </c>
      <c r="E1021" t="str">
        <f>"1551711"</f>
        <v>1551711</v>
      </c>
      <c r="F1021" t="s">
        <v>328</v>
      </c>
      <c r="G1021" t="s">
        <v>329</v>
      </c>
      <c r="H1021">
        <v>5</v>
      </c>
      <c r="I1021" t="s">
        <v>336</v>
      </c>
      <c r="J1021" t="s">
        <v>331</v>
      </c>
      <c r="K1021">
        <v>777.17499099999998</v>
      </c>
      <c r="L1021">
        <v>950</v>
      </c>
      <c r="M1021">
        <v>81.807894000000005</v>
      </c>
      <c r="N1021">
        <v>2</v>
      </c>
      <c r="O1021">
        <v>0</v>
      </c>
      <c r="P1021">
        <v>77.456477000000007</v>
      </c>
      <c r="Q1021">
        <v>50</v>
      </c>
      <c r="R1021">
        <v>50</v>
      </c>
      <c r="S1021">
        <v>69.837190000000007</v>
      </c>
      <c r="T1021">
        <v>75</v>
      </c>
      <c r="U1021">
        <v>46.558126999999999</v>
      </c>
      <c r="V1021">
        <v>50</v>
      </c>
      <c r="W1021">
        <v>75.637545000000003</v>
      </c>
      <c r="X1021">
        <v>50</v>
      </c>
      <c r="Y1021">
        <v>50</v>
      </c>
      <c r="Z1021">
        <v>75</v>
      </c>
      <c r="AA1021">
        <v>68.362516999999997</v>
      </c>
      <c r="AB1021">
        <v>45.575011000000003</v>
      </c>
      <c r="AC1021">
        <v>50</v>
      </c>
      <c r="AD1021">
        <v>75.179523000000003</v>
      </c>
      <c r="AE1021">
        <v>50</v>
      </c>
      <c r="AF1021">
        <v>50</v>
      </c>
      <c r="AG1021">
        <v>68.927419</v>
      </c>
      <c r="AH1021" t="s">
        <v>125</v>
      </c>
      <c r="AI1021">
        <v>45.951613000000002</v>
      </c>
      <c r="AJ1021">
        <v>50</v>
      </c>
      <c r="AK1021">
        <v>5.16</v>
      </c>
      <c r="AL1021">
        <v>6.63</v>
      </c>
      <c r="AM1021" t="s">
        <v>125</v>
      </c>
      <c r="AN1021">
        <v>0.72178799999999999</v>
      </c>
      <c r="AO1021">
        <v>72.178819000000004</v>
      </c>
      <c r="AP1021">
        <v>100</v>
      </c>
      <c r="AQ1021">
        <v>0.84640700000000002</v>
      </c>
      <c r="AR1021">
        <v>84.640726999999998</v>
      </c>
      <c r="AS1021">
        <v>100</v>
      </c>
      <c r="AT1021">
        <v>0.66920199999999996</v>
      </c>
      <c r="AU1021">
        <v>0.80538600000000005</v>
      </c>
      <c r="AV1021">
        <v>66.920226</v>
      </c>
      <c r="AW1021">
        <v>100</v>
      </c>
      <c r="AX1021">
        <v>0.82864899999999997</v>
      </c>
      <c r="AY1021">
        <v>0.87509300000000001</v>
      </c>
      <c r="AZ1021">
        <v>82.864939000000007</v>
      </c>
      <c r="BA1021">
        <v>100</v>
      </c>
      <c r="BB1021">
        <v>0.89581699999999997</v>
      </c>
      <c r="BC1021">
        <v>44.790849999999999</v>
      </c>
      <c r="BD1021">
        <v>50</v>
      </c>
      <c r="BE1021">
        <v>0.76011700000000004</v>
      </c>
      <c r="BF1021">
        <v>38.005839999999999</v>
      </c>
      <c r="BG1021">
        <v>50</v>
      </c>
      <c r="BH1021">
        <v>0</v>
      </c>
      <c r="BI1021">
        <v>0.99468100000000004</v>
      </c>
      <c r="BJ1021">
        <v>0.99137900000000001</v>
      </c>
      <c r="BK1021">
        <v>1</v>
      </c>
      <c r="BL1021">
        <v>0.99468100000000004</v>
      </c>
      <c r="BM1021">
        <v>0.99137900000000001</v>
      </c>
      <c r="BN1021">
        <v>1</v>
      </c>
      <c r="BO1021">
        <v>0.98148100000000005</v>
      </c>
      <c r="BP1021">
        <v>1</v>
      </c>
      <c r="BQ1021" t="s">
        <v>125</v>
      </c>
      <c r="BR1021">
        <v>6.5088999999999994E-2</v>
      </c>
      <c r="BS1021">
        <v>46.982249000000003</v>
      </c>
      <c r="BT1021">
        <v>50</v>
      </c>
      <c r="BU1021">
        <v>0.10204100000000001</v>
      </c>
      <c r="BV1021">
        <v>39.591836999999998</v>
      </c>
      <c r="BW1021">
        <v>50</v>
      </c>
      <c r="BX1021" t="s">
        <v>125</v>
      </c>
      <c r="BY1021" t="s">
        <v>125</v>
      </c>
      <c r="BZ1021" t="s">
        <v>125</v>
      </c>
      <c r="CA1021" t="s">
        <v>125</v>
      </c>
      <c r="CB1021" t="s">
        <v>125</v>
      </c>
      <c r="CC1021" t="s">
        <v>125</v>
      </c>
      <c r="CD1021" t="s">
        <v>125</v>
      </c>
      <c r="CE1021" t="s">
        <v>125</v>
      </c>
      <c r="CF1021" t="s">
        <v>125</v>
      </c>
      <c r="CG1021" t="s">
        <v>125</v>
      </c>
      <c r="CH1021" t="s">
        <v>125</v>
      </c>
      <c r="CI1021" t="s">
        <v>125</v>
      </c>
      <c r="CJ1021" t="s">
        <v>125</v>
      </c>
      <c r="CK1021" t="s">
        <v>125</v>
      </c>
      <c r="CL1021" t="s">
        <v>125</v>
      </c>
      <c r="CM1021" t="s">
        <v>125</v>
      </c>
      <c r="CN1021" t="s">
        <v>125</v>
      </c>
      <c r="CO1021" t="s">
        <v>125</v>
      </c>
      <c r="CP1021" t="s">
        <v>125</v>
      </c>
      <c r="CQ1021">
        <v>0.19672100000000001</v>
      </c>
      <c r="CR1021">
        <v>1</v>
      </c>
      <c r="CS1021">
        <v>13.114754</v>
      </c>
      <c r="CT1021">
        <v>50</v>
      </c>
      <c r="CU1021" t="s">
        <v>125</v>
      </c>
      <c r="CV1021" t="s">
        <v>125</v>
      </c>
      <c r="CW1021" t="s">
        <v>125</v>
      </c>
      <c r="CX1021" t="s">
        <v>125</v>
      </c>
      <c r="CY1021" t="s">
        <v>125</v>
      </c>
      <c r="CZ1021" t="s">
        <v>125</v>
      </c>
      <c r="DA1021">
        <v>15.314097</v>
      </c>
      <c r="DB1021">
        <v>17.400950000000002</v>
      </c>
      <c r="DC1021">
        <v>16.332519999999999</v>
      </c>
      <c r="DD1021" t="s">
        <v>125</v>
      </c>
      <c r="DE1021">
        <v>0</v>
      </c>
      <c r="DH1021" t="s">
        <v>332</v>
      </c>
      <c r="DI1021" t="s">
        <v>453</v>
      </c>
      <c r="DJ1021">
        <v>0</v>
      </c>
      <c r="DK1021">
        <v>0</v>
      </c>
      <c r="DL1021">
        <v>1</v>
      </c>
      <c r="DM1021">
        <v>0</v>
      </c>
      <c r="DN1021">
        <v>1</v>
      </c>
      <c r="DO1021">
        <v>0</v>
      </c>
      <c r="DQ1021" t="s">
        <v>126</v>
      </c>
    </row>
    <row r="1022" spans="1:121" x14ac:dyDescent="0.15">
      <c r="A1022">
        <v>2018</v>
      </c>
      <c r="B1022" t="s">
        <v>212</v>
      </c>
      <c r="C1022" t="str">
        <f t="shared" si="46"/>
        <v>1550011</v>
      </c>
      <c r="D1022" t="s">
        <v>1167</v>
      </c>
      <c r="E1022" t="str">
        <f>"1551211"</f>
        <v>1551211</v>
      </c>
      <c r="F1022" t="s">
        <v>328</v>
      </c>
      <c r="G1022" t="s">
        <v>329</v>
      </c>
      <c r="H1022">
        <v>5</v>
      </c>
      <c r="I1022" t="s">
        <v>330</v>
      </c>
      <c r="J1022" t="s">
        <v>331</v>
      </c>
      <c r="K1022">
        <v>589.10356300000001</v>
      </c>
      <c r="L1022">
        <v>950</v>
      </c>
      <c r="M1022">
        <v>62.010900999999997</v>
      </c>
      <c r="N1022">
        <v>3</v>
      </c>
      <c r="O1022">
        <v>0</v>
      </c>
      <c r="P1022">
        <v>70.645146999999994</v>
      </c>
      <c r="Q1022">
        <v>47.096764</v>
      </c>
      <c r="R1022">
        <v>50</v>
      </c>
      <c r="S1022">
        <v>62.057039000000003</v>
      </c>
      <c r="T1022">
        <v>75</v>
      </c>
      <c r="U1022">
        <v>41.371360000000003</v>
      </c>
      <c r="V1022">
        <v>50</v>
      </c>
      <c r="W1022">
        <v>68.623185000000007</v>
      </c>
      <c r="X1022">
        <v>45.74879</v>
      </c>
      <c r="Y1022">
        <v>50</v>
      </c>
      <c r="Z1022">
        <v>75</v>
      </c>
      <c r="AA1022">
        <v>58.815986000000002</v>
      </c>
      <c r="AB1022">
        <v>39.210658000000002</v>
      </c>
      <c r="AC1022">
        <v>50</v>
      </c>
      <c r="AD1022">
        <v>65.315224000000001</v>
      </c>
      <c r="AE1022">
        <v>43.543481999999997</v>
      </c>
      <c r="AF1022">
        <v>50</v>
      </c>
      <c r="AG1022">
        <v>56.833333000000003</v>
      </c>
      <c r="AH1022">
        <v>71.483870999999994</v>
      </c>
      <c r="AI1022">
        <v>37.888888999999999</v>
      </c>
      <c r="AJ1022">
        <v>50</v>
      </c>
      <c r="AK1022">
        <v>12.94</v>
      </c>
      <c r="AL1022">
        <v>16.18</v>
      </c>
      <c r="AM1022">
        <v>14.65</v>
      </c>
      <c r="AN1022">
        <v>0.409271</v>
      </c>
      <c r="AO1022">
        <v>40.927146999999998</v>
      </c>
      <c r="AP1022">
        <v>100</v>
      </c>
      <c r="AQ1022">
        <v>0.52508500000000002</v>
      </c>
      <c r="AR1022">
        <v>52.508488</v>
      </c>
      <c r="AS1022">
        <v>100</v>
      </c>
      <c r="AT1022">
        <v>0.35275699999999999</v>
      </c>
      <c r="AU1022">
        <v>0.45286900000000002</v>
      </c>
      <c r="AV1022">
        <v>35.275672999999998</v>
      </c>
      <c r="AW1022">
        <v>100</v>
      </c>
      <c r="AX1022">
        <v>0.45536599999999999</v>
      </c>
      <c r="AY1022">
        <v>0.57886800000000005</v>
      </c>
      <c r="AZ1022">
        <v>45.536638000000004</v>
      </c>
      <c r="BA1022">
        <v>100</v>
      </c>
      <c r="BB1022">
        <v>0.77096500000000001</v>
      </c>
      <c r="BC1022">
        <v>38.548226999999997</v>
      </c>
      <c r="BD1022">
        <v>50</v>
      </c>
      <c r="BE1022">
        <v>0.52431000000000005</v>
      </c>
      <c r="BF1022">
        <v>26.215485000000001</v>
      </c>
      <c r="BG1022">
        <v>50</v>
      </c>
      <c r="BH1022">
        <v>0</v>
      </c>
      <c r="BI1022">
        <v>0.99441299999999999</v>
      </c>
      <c r="BJ1022">
        <v>1</v>
      </c>
      <c r="BK1022">
        <v>0.98876399999999998</v>
      </c>
      <c r="BL1022">
        <v>0.99441299999999999</v>
      </c>
      <c r="BM1022">
        <v>1</v>
      </c>
      <c r="BN1022">
        <v>0.98876399999999998</v>
      </c>
      <c r="BO1022">
        <v>0.98275900000000005</v>
      </c>
      <c r="BP1022">
        <v>1</v>
      </c>
      <c r="BQ1022">
        <v>0.97058800000000001</v>
      </c>
      <c r="BR1022">
        <v>0.10975600000000001</v>
      </c>
      <c r="BS1022">
        <v>38.048780000000001</v>
      </c>
      <c r="BT1022">
        <v>50</v>
      </c>
      <c r="BU1022">
        <v>0.20129900000000001</v>
      </c>
      <c r="BV1022">
        <v>19.740259999999999</v>
      </c>
      <c r="BW1022">
        <v>50</v>
      </c>
      <c r="BX1022" t="s">
        <v>125</v>
      </c>
      <c r="BY1022" t="s">
        <v>125</v>
      </c>
      <c r="BZ1022" t="s">
        <v>125</v>
      </c>
      <c r="CA1022" t="s">
        <v>125</v>
      </c>
      <c r="CB1022" t="s">
        <v>125</v>
      </c>
      <c r="CC1022" t="s">
        <v>125</v>
      </c>
      <c r="CD1022" t="s">
        <v>125</v>
      </c>
      <c r="CE1022" t="s">
        <v>125</v>
      </c>
      <c r="CF1022" t="s">
        <v>125</v>
      </c>
      <c r="CG1022" t="s">
        <v>125</v>
      </c>
      <c r="CH1022" t="s">
        <v>125</v>
      </c>
      <c r="CI1022" t="s">
        <v>125</v>
      </c>
      <c r="CJ1022" t="s">
        <v>125</v>
      </c>
      <c r="CK1022" t="s">
        <v>125</v>
      </c>
      <c r="CL1022" t="s">
        <v>125</v>
      </c>
      <c r="CM1022" t="s">
        <v>125</v>
      </c>
      <c r="CN1022" t="s">
        <v>125</v>
      </c>
      <c r="CO1022" t="s">
        <v>125</v>
      </c>
      <c r="CP1022" t="s">
        <v>125</v>
      </c>
      <c r="CQ1022">
        <v>0.56164400000000003</v>
      </c>
      <c r="CR1022">
        <v>1.013889</v>
      </c>
      <c r="CS1022">
        <v>37.442922000000003</v>
      </c>
      <c r="CT1022">
        <v>50</v>
      </c>
      <c r="CU1022" t="s">
        <v>125</v>
      </c>
      <c r="CV1022" t="s">
        <v>125</v>
      </c>
      <c r="CW1022" t="s">
        <v>125</v>
      </c>
      <c r="CX1022" t="s">
        <v>125</v>
      </c>
      <c r="CY1022" t="s">
        <v>125</v>
      </c>
      <c r="CZ1022" t="s">
        <v>125</v>
      </c>
      <c r="DA1022">
        <v>15.314097</v>
      </c>
      <c r="DB1022">
        <v>17.400950000000002</v>
      </c>
      <c r="DC1022">
        <v>16.332519999999999</v>
      </c>
      <c r="DD1022" t="s">
        <v>125</v>
      </c>
      <c r="DE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Q1022" t="s">
        <v>126</v>
      </c>
    </row>
    <row r="1023" spans="1:121" x14ac:dyDescent="0.15">
      <c r="A1023">
        <v>2018</v>
      </c>
      <c r="B1023" t="s">
        <v>212</v>
      </c>
      <c r="C1023" t="str">
        <f t="shared" si="46"/>
        <v>1550011</v>
      </c>
      <c r="D1023" t="s">
        <v>1168</v>
      </c>
      <c r="E1023" t="str">
        <f>"1551311"</f>
        <v>1551311</v>
      </c>
      <c r="F1023" t="s">
        <v>328</v>
      </c>
      <c r="G1023" t="s">
        <v>329</v>
      </c>
      <c r="H1023">
        <v>5</v>
      </c>
      <c r="I1023" t="s">
        <v>330</v>
      </c>
      <c r="J1023" t="s">
        <v>331</v>
      </c>
      <c r="K1023">
        <v>814.63394700000003</v>
      </c>
      <c r="L1023">
        <v>950</v>
      </c>
      <c r="M1023">
        <v>85.750941999999995</v>
      </c>
      <c r="N1023">
        <v>1</v>
      </c>
      <c r="O1023">
        <v>0</v>
      </c>
      <c r="P1023">
        <v>84.473515000000006</v>
      </c>
      <c r="Q1023">
        <v>50</v>
      </c>
      <c r="R1023">
        <v>50</v>
      </c>
      <c r="S1023">
        <v>75.915075999999999</v>
      </c>
      <c r="T1023">
        <v>75</v>
      </c>
      <c r="U1023">
        <v>50</v>
      </c>
      <c r="V1023">
        <v>50</v>
      </c>
      <c r="W1023">
        <v>77.652973000000003</v>
      </c>
      <c r="X1023">
        <v>50</v>
      </c>
      <c r="Y1023">
        <v>50</v>
      </c>
      <c r="Z1023">
        <v>75</v>
      </c>
      <c r="AA1023">
        <v>68.852743000000004</v>
      </c>
      <c r="AB1023">
        <v>45.901828999999999</v>
      </c>
      <c r="AC1023">
        <v>50</v>
      </c>
      <c r="AD1023">
        <v>80.541934999999995</v>
      </c>
      <c r="AE1023">
        <v>50</v>
      </c>
      <c r="AF1023">
        <v>50</v>
      </c>
      <c r="AG1023">
        <v>72.973352000000006</v>
      </c>
      <c r="AH1023">
        <v>75</v>
      </c>
      <c r="AI1023">
        <v>48.648901000000002</v>
      </c>
      <c r="AJ1023">
        <v>50</v>
      </c>
      <c r="AK1023">
        <v>-0.91</v>
      </c>
      <c r="AL1023">
        <v>6.14</v>
      </c>
      <c r="AM1023">
        <v>2.02</v>
      </c>
      <c r="AN1023">
        <v>0.905972</v>
      </c>
      <c r="AO1023">
        <v>90.597206999999997</v>
      </c>
      <c r="AP1023">
        <v>100</v>
      </c>
      <c r="AQ1023">
        <v>0.89824000000000004</v>
      </c>
      <c r="AR1023">
        <v>89.823999000000001</v>
      </c>
      <c r="AS1023">
        <v>100</v>
      </c>
      <c r="AT1023">
        <v>0.88296300000000005</v>
      </c>
      <c r="AU1023">
        <v>0.921763</v>
      </c>
      <c r="AV1023">
        <v>88.296294000000003</v>
      </c>
      <c r="AW1023">
        <v>100</v>
      </c>
      <c r="AX1023">
        <v>0.90647699999999998</v>
      </c>
      <c r="AY1023">
        <v>0.89258700000000002</v>
      </c>
      <c r="AZ1023">
        <v>90.647688000000002</v>
      </c>
      <c r="BA1023">
        <v>100</v>
      </c>
      <c r="BB1023">
        <v>0.74254600000000004</v>
      </c>
      <c r="BC1023">
        <v>37.127310000000001</v>
      </c>
      <c r="BD1023">
        <v>50</v>
      </c>
      <c r="BE1023">
        <v>0.62438700000000003</v>
      </c>
      <c r="BF1023">
        <v>31.219329999999999</v>
      </c>
      <c r="BG1023">
        <v>50</v>
      </c>
      <c r="BH1023">
        <v>0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0.106061</v>
      </c>
      <c r="BS1023">
        <v>38.787878999999997</v>
      </c>
      <c r="BT1023">
        <v>50</v>
      </c>
      <c r="BU1023">
        <v>0.194245</v>
      </c>
      <c r="BV1023">
        <v>21.151078999999999</v>
      </c>
      <c r="BW1023">
        <v>50</v>
      </c>
      <c r="BX1023" t="s">
        <v>125</v>
      </c>
      <c r="BY1023" t="s">
        <v>125</v>
      </c>
      <c r="BZ1023" t="s">
        <v>125</v>
      </c>
      <c r="CA1023" t="s">
        <v>125</v>
      </c>
      <c r="CB1023" t="s">
        <v>125</v>
      </c>
      <c r="CC1023" t="s">
        <v>125</v>
      </c>
      <c r="CD1023" t="s">
        <v>125</v>
      </c>
      <c r="CE1023" t="s">
        <v>125</v>
      </c>
      <c r="CF1023" t="s">
        <v>125</v>
      </c>
      <c r="CG1023" t="s">
        <v>125</v>
      </c>
      <c r="CH1023" t="s">
        <v>125</v>
      </c>
      <c r="CI1023" t="s">
        <v>125</v>
      </c>
      <c r="CJ1023" t="s">
        <v>125</v>
      </c>
      <c r="CK1023" t="s">
        <v>125</v>
      </c>
      <c r="CL1023" t="s">
        <v>125</v>
      </c>
      <c r="CM1023" t="s">
        <v>125</v>
      </c>
      <c r="CN1023" t="s">
        <v>125</v>
      </c>
      <c r="CO1023" t="s">
        <v>125</v>
      </c>
      <c r="CP1023" t="s">
        <v>125</v>
      </c>
      <c r="CQ1023">
        <v>0.48648599999999997</v>
      </c>
      <c r="CR1023">
        <v>1</v>
      </c>
      <c r="CS1023">
        <v>32.432431999999999</v>
      </c>
      <c r="CT1023">
        <v>50</v>
      </c>
      <c r="CU1023" t="s">
        <v>125</v>
      </c>
      <c r="CV1023" t="s">
        <v>125</v>
      </c>
      <c r="CW1023" t="s">
        <v>125</v>
      </c>
      <c r="CX1023" t="s">
        <v>125</v>
      </c>
      <c r="CY1023" t="s">
        <v>125</v>
      </c>
      <c r="CZ1023" t="s">
        <v>125</v>
      </c>
      <c r="DA1023">
        <v>15.314097</v>
      </c>
      <c r="DB1023">
        <v>17.400950000000002</v>
      </c>
      <c r="DC1023">
        <v>16.332519999999999</v>
      </c>
      <c r="DD1023" t="s">
        <v>125</v>
      </c>
      <c r="DE1023">
        <v>0</v>
      </c>
      <c r="DH1023" t="s">
        <v>332</v>
      </c>
      <c r="DI1023" t="s">
        <v>1169</v>
      </c>
      <c r="DJ1023">
        <v>0</v>
      </c>
      <c r="DK1023">
        <v>1</v>
      </c>
      <c r="DL1023">
        <v>1</v>
      </c>
      <c r="DM1023">
        <v>1</v>
      </c>
      <c r="DN1023">
        <v>1</v>
      </c>
      <c r="DO1023">
        <v>0</v>
      </c>
      <c r="DQ1023" t="s">
        <v>126</v>
      </c>
    </row>
    <row r="1024" spans="1:121" x14ac:dyDescent="0.15">
      <c r="A1024">
        <v>2018</v>
      </c>
      <c r="B1024" t="s">
        <v>212</v>
      </c>
      <c r="C1024" t="str">
        <f t="shared" si="46"/>
        <v>1550011</v>
      </c>
      <c r="D1024" t="s">
        <v>1170</v>
      </c>
      <c r="E1024" t="str">
        <f>"1551511"</f>
        <v>1551511</v>
      </c>
      <c r="F1024" t="s">
        <v>328</v>
      </c>
      <c r="G1024" t="s">
        <v>339</v>
      </c>
      <c r="H1024">
        <v>5</v>
      </c>
      <c r="I1024" t="s">
        <v>330</v>
      </c>
      <c r="J1024" t="s">
        <v>331</v>
      </c>
      <c r="K1024">
        <v>727.65759100000002</v>
      </c>
      <c r="L1024">
        <v>950</v>
      </c>
      <c r="M1024">
        <v>76.595535999999996</v>
      </c>
      <c r="N1024">
        <v>2</v>
      </c>
      <c r="O1024">
        <v>0</v>
      </c>
      <c r="P1024">
        <v>73.295936999999995</v>
      </c>
      <c r="Q1024">
        <v>48.863957999999997</v>
      </c>
      <c r="R1024">
        <v>50</v>
      </c>
      <c r="S1024">
        <v>67.098961000000003</v>
      </c>
      <c r="T1024">
        <v>75</v>
      </c>
      <c r="U1024">
        <v>44.732641000000001</v>
      </c>
      <c r="V1024">
        <v>50</v>
      </c>
      <c r="W1024">
        <v>70.691733999999997</v>
      </c>
      <c r="X1024">
        <v>47.127822999999999</v>
      </c>
      <c r="Y1024">
        <v>50</v>
      </c>
      <c r="Z1024">
        <v>75</v>
      </c>
      <c r="AA1024">
        <v>65.100431999999998</v>
      </c>
      <c r="AB1024">
        <v>43.400288000000003</v>
      </c>
      <c r="AC1024">
        <v>50</v>
      </c>
      <c r="AD1024">
        <v>68.509217000000007</v>
      </c>
      <c r="AE1024">
        <v>45.672811000000003</v>
      </c>
      <c r="AF1024">
        <v>50</v>
      </c>
      <c r="AG1024">
        <v>65.290323000000001</v>
      </c>
      <c r="AH1024">
        <v>71.043239999999997</v>
      </c>
      <c r="AI1024">
        <v>43.526882000000001</v>
      </c>
      <c r="AJ1024">
        <v>50</v>
      </c>
      <c r="AK1024">
        <v>7.9</v>
      </c>
      <c r="AL1024">
        <v>9.89</v>
      </c>
      <c r="AM1024">
        <v>5.75</v>
      </c>
      <c r="AN1024">
        <v>0.63706499999999999</v>
      </c>
      <c r="AO1024">
        <v>63.706502</v>
      </c>
      <c r="AP1024">
        <v>100</v>
      </c>
      <c r="AQ1024">
        <v>0.69481599999999999</v>
      </c>
      <c r="AR1024">
        <v>69.481645</v>
      </c>
      <c r="AS1024">
        <v>100</v>
      </c>
      <c r="AT1024">
        <v>0.617201</v>
      </c>
      <c r="AU1024">
        <v>0.65202400000000005</v>
      </c>
      <c r="AV1024">
        <v>61.720089000000002</v>
      </c>
      <c r="AW1024">
        <v>100</v>
      </c>
      <c r="AX1024">
        <v>0.71043900000000004</v>
      </c>
      <c r="AY1024">
        <v>0.68310000000000004</v>
      </c>
      <c r="AZ1024">
        <v>71.043897999999999</v>
      </c>
      <c r="BA1024">
        <v>100</v>
      </c>
      <c r="BB1024">
        <v>0.75529999999999997</v>
      </c>
      <c r="BC1024">
        <v>37.765003</v>
      </c>
      <c r="BD1024">
        <v>50</v>
      </c>
      <c r="BE1024">
        <v>0.62518700000000005</v>
      </c>
      <c r="BF1024">
        <v>31.259326000000001</v>
      </c>
      <c r="BG1024">
        <v>50</v>
      </c>
      <c r="BH1024">
        <v>0</v>
      </c>
      <c r="BI1024">
        <v>0.99528300000000003</v>
      </c>
      <c r="BJ1024">
        <v>0.98969099999999999</v>
      </c>
      <c r="BK1024">
        <v>1</v>
      </c>
      <c r="BL1024">
        <v>0.99056599999999995</v>
      </c>
      <c r="BM1024">
        <v>0.97938099999999995</v>
      </c>
      <c r="BN1024">
        <v>1</v>
      </c>
      <c r="BO1024">
        <v>1</v>
      </c>
      <c r="BP1024">
        <v>1</v>
      </c>
      <c r="BQ1024">
        <v>1</v>
      </c>
      <c r="BR1024">
        <v>4.4618999999999999E-2</v>
      </c>
      <c r="BS1024">
        <v>50</v>
      </c>
      <c r="BT1024">
        <v>50</v>
      </c>
      <c r="BU1024">
        <v>6.4326999999999995E-2</v>
      </c>
      <c r="BV1024">
        <v>47.134503000000002</v>
      </c>
      <c r="BW1024">
        <v>50</v>
      </c>
      <c r="BX1024" t="s">
        <v>125</v>
      </c>
      <c r="BY1024" t="s">
        <v>125</v>
      </c>
      <c r="BZ1024" t="s">
        <v>125</v>
      </c>
      <c r="CA1024" t="s">
        <v>125</v>
      </c>
      <c r="CB1024" t="s">
        <v>125</v>
      </c>
      <c r="CC1024" t="s">
        <v>125</v>
      </c>
      <c r="CD1024" t="s">
        <v>125</v>
      </c>
      <c r="CE1024" t="s">
        <v>125</v>
      </c>
      <c r="CF1024" t="s">
        <v>125</v>
      </c>
      <c r="CG1024" t="s">
        <v>125</v>
      </c>
      <c r="CH1024" t="s">
        <v>125</v>
      </c>
      <c r="CI1024" t="s">
        <v>125</v>
      </c>
      <c r="CJ1024" t="s">
        <v>125</v>
      </c>
      <c r="CK1024" t="s">
        <v>125</v>
      </c>
      <c r="CL1024" t="s">
        <v>125</v>
      </c>
      <c r="CM1024" t="s">
        <v>125</v>
      </c>
      <c r="CN1024" t="s">
        <v>125</v>
      </c>
      <c r="CO1024" t="s">
        <v>125</v>
      </c>
      <c r="CP1024" t="s">
        <v>125</v>
      </c>
      <c r="CQ1024">
        <v>0.33333299999999999</v>
      </c>
      <c r="CR1024">
        <v>1.0169490000000001</v>
      </c>
      <c r="CS1024">
        <v>22.222221999999999</v>
      </c>
      <c r="CT1024">
        <v>50</v>
      </c>
      <c r="CU1024" t="s">
        <v>125</v>
      </c>
      <c r="CV1024" t="s">
        <v>125</v>
      </c>
      <c r="CW1024" t="s">
        <v>125</v>
      </c>
      <c r="CX1024" t="s">
        <v>125</v>
      </c>
      <c r="CY1024" t="s">
        <v>125</v>
      </c>
      <c r="CZ1024" t="s">
        <v>125</v>
      </c>
      <c r="DA1024">
        <v>15.314097</v>
      </c>
      <c r="DB1024">
        <v>17.400950000000002</v>
      </c>
      <c r="DC1024">
        <v>16.332519999999999</v>
      </c>
      <c r="DD1024" t="s">
        <v>125</v>
      </c>
      <c r="DE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Q1024" t="s">
        <v>126</v>
      </c>
    </row>
    <row r="1025" spans="1:121" x14ac:dyDescent="0.15">
      <c r="A1025">
        <v>2018</v>
      </c>
      <c r="B1025" t="s">
        <v>146</v>
      </c>
      <c r="C1025" t="str">
        <f t="shared" ref="C1025:C1033" si="47">"1560011"</f>
        <v>1560011</v>
      </c>
      <c r="D1025" t="s">
        <v>1171</v>
      </c>
      <c r="E1025" t="str">
        <f>"1560811"</f>
        <v>1560811</v>
      </c>
      <c r="F1025" t="s">
        <v>328</v>
      </c>
      <c r="G1025" t="s">
        <v>329</v>
      </c>
      <c r="H1025">
        <v>4</v>
      </c>
      <c r="J1025" t="s">
        <v>331</v>
      </c>
      <c r="K1025">
        <v>685.84724400000005</v>
      </c>
      <c r="L1025">
        <v>850</v>
      </c>
      <c r="M1025">
        <v>80.687911</v>
      </c>
      <c r="N1025">
        <v>2</v>
      </c>
      <c r="O1025">
        <v>0</v>
      </c>
      <c r="P1025">
        <v>68.217489999999998</v>
      </c>
      <c r="Q1025">
        <v>45.478327</v>
      </c>
      <c r="R1025">
        <v>50</v>
      </c>
      <c r="S1025">
        <v>62.959766000000002</v>
      </c>
      <c r="T1025">
        <v>75</v>
      </c>
      <c r="U1025">
        <v>41.973177</v>
      </c>
      <c r="V1025">
        <v>50</v>
      </c>
      <c r="W1025">
        <v>63.380011000000003</v>
      </c>
      <c r="X1025">
        <v>42.253340999999999</v>
      </c>
      <c r="Y1025">
        <v>50</v>
      </c>
      <c r="Z1025">
        <v>71.271355</v>
      </c>
      <c r="AA1025">
        <v>59.145631000000002</v>
      </c>
      <c r="AB1025">
        <v>39.430421000000003</v>
      </c>
      <c r="AC1025">
        <v>50</v>
      </c>
      <c r="AD1025" t="s">
        <v>125</v>
      </c>
      <c r="AE1025" t="s">
        <v>125</v>
      </c>
      <c r="AF1025" t="s">
        <v>125</v>
      </c>
      <c r="AG1025" t="s">
        <v>125</v>
      </c>
      <c r="AH1025" t="s">
        <v>125</v>
      </c>
      <c r="AI1025" t="s">
        <v>125</v>
      </c>
      <c r="AJ1025" t="s">
        <v>125</v>
      </c>
      <c r="AK1025">
        <v>12.04</v>
      </c>
      <c r="AL1025">
        <v>12.12</v>
      </c>
      <c r="AM1025" t="s">
        <v>125</v>
      </c>
      <c r="AN1025">
        <v>0.89566599999999996</v>
      </c>
      <c r="AO1025">
        <v>89.566608000000002</v>
      </c>
      <c r="AP1025">
        <v>100</v>
      </c>
      <c r="AQ1025">
        <v>0.84840899999999997</v>
      </c>
      <c r="AR1025">
        <v>84.840931999999995</v>
      </c>
      <c r="AS1025">
        <v>100</v>
      </c>
      <c r="AT1025">
        <v>0.93555600000000005</v>
      </c>
      <c r="AU1025">
        <v>0.85245199999999999</v>
      </c>
      <c r="AV1025">
        <v>93.555622999999997</v>
      </c>
      <c r="AW1025">
        <v>100</v>
      </c>
      <c r="AX1025">
        <v>0.865008</v>
      </c>
      <c r="AY1025">
        <v>0.83111900000000005</v>
      </c>
      <c r="AZ1025">
        <v>86.500826000000004</v>
      </c>
      <c r="BA1025">
        <v>100</v>
      </c>
      <c r="BB1025">
        <v>0.90670700000000004</v>
      </c>
      <c r="BC1025">
        <v>45.335349999999998</v>
      </c>
      <c r="BD1025">
        <v>50</v>
      </c>
      <c r="BE1025">
        <v>0.57789400000000002</v>
      </c>
      <c r="BF1025">
        <v>28.894687999999999</v>
      </c>
      <c r="BG1025">
        <v>50</v>
      </c>
      <c r="BH1025">
        <v>0</v>
      </c>
      <c r="BI1025">
        <v>0.98591499999999999</v>
      </c>
      <c r="BJ1025">
        <v>0.97938099999999995</v>
      </c>
      <c r="BK1025">
        <v>1</v>
      </c>
      <c r="BL1025">
        <v>0.97887299999999999</v>
      </c>
      <c r="BM1025">
        <v>0.96907200000000004</v>
      </c>
      <c r="BN1025">
        <v>1</v>
      </c>
      <c r="BO1025" t="s">
        <v>125</v>
      </c>
      <c r="BP1025" t="s">
        <v>125</v>
      </c>
      <c r="BQ1025" t="s">
        <v>125</v>
      </c>
      <c r="BR1025">
        <v>0.10169499999999999</v>
      </c>
      <c r="BS1025">
        <v>39.661017000000001</v>
      </c>
      <c r="BT1025">
        <v>50</v>
      </c>
      <c r="BU1025">
        <v>0.125523</v>
      </c>
      <c r="BV1025">
        <v>34.895397000000003</v>
      </c>
      <c r="BW1025">
        <v>50</v>
      </c>
      <c r="BX1025" t="s">
        <v>125</v>
      </c>
      <c r="BY1025" t="s">
        <v>125</v>
      </c>
      <c r="BZ1025" t="s">
        <v>125</v>
      </c>
      <c r="CA1025" t="s">
        <v>125</v>
      </c>
      <c r="CB1025" t="s">
        <v>125</v>
      </c>
      <c r="CC1025" t="s">
        <v>125</v>
      </c>
      <c r="CD1025" t="s">
        <v>125</v>
      </c>
      <c r="CE1025" t="s">
        <v>125</v>
      </c>
      <c r="CF1025" t="s">
        <v>125</v>
      </c>
      <c r="CG1025" t="s">
        <v>125</v>
      </c>
      <c r="CH1025" t="s">
        <v>125</v>
      </c>
      <c r="CI1025" t="s">
        <v>125</v>
      </c>
      <c r="CJ1025" t="s">
        <v>125</v>
      </c>
      <c r="CK1025" t="s">
        <v>125</v>
      </c>
      <c r="CL1025" t="s">
        <v>125</v>
      </c>
      <c r="CM1025" t="s">
        <v>125</v>
      </c>
      <c r="CN1025" t="s">
        <v>125</v>
      </c>
      <c r="CO1025" t="s">
        <v>125</v>
      </c>
      <c r="CP1025" t="s">
        <v>125</v>
      </c>
      <c r="CQ1025">
        <v>0.40384599999999998</v>
      </c>
      <c r="CR1025">
        <v>0.82539700000000005</v>
      </c>
      <c r="CS1025">
        <v>13.461537999999999</v>
      </c>
      <c r="CT1025">
        <v>50</v>
      </c>
      <c r="CU1025" t="s">
        <v>125</v>
      </c>
      <c r="CV1025" t="s">
        <v>125</v>
      </c>
      <c r="CW1025" t="s">
        <v>125</v>
      </c>
      <c r="CX1025" t="s">
        <v>125</v>
      </c>
      <c r="CY1025" t="s">
        <v>125</v>
      </c>
      <c r="CZ1025" t="s">
        <v>125</v>
      </c>
      <c r="DA1025">
        <v>15.314097</v>
      </c>
      <c r="DB1025">
        <v>17.400950000000002</v>
      </c>
      <c r="DC1025">
        <v>16.332519999999999</v>
      </c>
      <c r="DD1025" t="s">
        <v>125</v>
      </c>
      <c r="DE1025">
        <v>0</v>
      </c>
      <c r="DH1025" t="s">
        <v>332</v>
      </c>
      <c r="DI1025" t="s">
        <v>1169</v>
      </c>
      <c r="DJ1025">
        <v>0</v>
      </c>
      <c r="DK1025">
        <v>1</v>
      </c>
      <c r="DL1025">
        <v>1</v>
      </c>
      <c r="DM1025">
        <v>1</v>
      </c>
      <c r="DN1025">
        <v>1</v>
      </c>
      <c r="DO1025">
        <v>0</v>
      </c>
      <c r="DQ1025" t="s">
        <v>126</v>
      </c>
    </row>
    <row r="1026" spans="1:121" x14ac:dyDescent="0.15">
      <c r="A1026">
        <v>2018</v>
      </c>
      <c r="B1026" t="s">
        <v>146</v>
      </c>
      <c r="C1026" t="str">
        <f t="shared" si="47"/>
        <v>1560011</v>
      </c>
      <c r="D1026" t="s">
        <v>1172</v>
      </c>
      <c r="E1026" t="str">
        <f>"1565311"</f>
        <v>1565311</v>
      </c>
      <c r="F1026" t="s">
        <v>328</v>
      </c>
      <c r="G1026">
        <v>5</v>
      </c>
      <c r="H1026">
        <v>6</v>
      </c>
      <c r="I1026" t="s">
        <v>330</v>
      </c>
      <c r="J1026" t="s">
        <v>331</v>
      </c>
      <c r="K1026">
        <v>669.88555299999996</v>
      </c>
      <c r="L1026">
        <v>950</v>
      </c>
      <c r="M1026">
        <v>70.514268999999999</v>
      </c>
      <c r="N1026">
        <v>2</v>
      </c>
      <c r="O1026">
        <v>0</v>
      </c>
      <c r="P1026">
        <v>68.006153999999995</v>
      </c>
      <c r="Q1026">
        <v>45.337435999999997</v>
      </c>
      <c r="R1026">
        <v>50</v>
      </c>
      <c r="S1026">
        <v>64.582138</v>
      </c>
      <c r="T1026">
        <v>75</v>
      </c>
      <c r="U1026">
        <v>43.054758</v>
      </c>
      <c r="V1026">
        <v>50</v>
      </c>
      <c r="W1026">
        <v>63.086477000000002</v>
      </c>
      <c r="X1026">
        <v>42.057651</v>
      </c>
      <c r="Y1026">
        <v>50</v>
      </c>
      <c r="Z1026">
        <v>72.271736000000004</v>
      </c>
      <c r="AA1026">
        <v>59.055425</v>
      </c>
      <c r="AB1026">
        <v>39.370283000000001</v>
      </c>
      <c r="AC1026">
        <v>50</v>
      </c>
      <c r="AD1026">
        <v>64.655518999999998</v>
      </c>
      <c r="AE1026">
        <v>43.103679</v>
      </c>
      <c r="AF1026">
        <v>50</v>
      </c>
      <c r="AG1026">
        <v>60.980137999999997</v>
      </c>
      <c r="AH1026">
        <v>72.835313999999997</v>
      </c>
      <c r="AI1026">
        <v>40.653426000000003</v>
      </c>
      <c r="AJ1026">
        <v>50</v>
      </c>
      <c r="AK1026">
        <v>10.41</v>
      </c>
      <c r="AL1026">
        <v>13.21</v>
      </c>
      <c r="AM1026">
        <v>11.85</v>
      </c>
      <c r="AN1026">
        <v>0.66085899999999997</v>
      </c>
      <c r="AO1026">
        <v>66.085891000000004</v>
      </c>
      <c r="AP1026">
        <v>100</v>
      </c>
      <c r="AQ1026">
        <v>0.65080899999999997</v>
      </c>
      <c r="AR1026">
        <v>65.080883</v>
      </c>
      <c r="AS1026">
        <v>100</v>
      </c>
      <c r="AT1026">
        <v>0.65085199999999999</v>
      </c>
      <c r="AU1026">
        <v>0.67864899999999995</v>
      </c>
      <c r="AV1026">
        <v>65.085222000000002</v>
      </c>
      <c r="AW1026">
        <v>100</v>
      </c>
      <c r="AX1026">
        <v>0.63197999999999999</v>
      </c>
      <c r="AY1026">
        <v>0.68428199999999995</v>
      </c>
      <c r="AZ1026">
        <v>63.19802</v>
      </c>
      <c r="BA1026">
        <v>100</v>
      </c>
      <c r="BB1026">
        <v>0.64390099999999995</v>
      </c>
      <c r="BC1026">
        <v>32.195061000000003</v>
      </c>
      <c r="BD1026">
        <v>50</v>
      </c>
      <c r="BE1026">
        <v>0.53245900000000002</v>
      </c>
      <c r="BF1026">
        <v>26.622968</v>
      </c>
      <c r="BG1026">
        <v>50</v>
      </c>
      <c r="BH1026">
        <v>0</v>
      </c>
      <c r="BI1026">
        <v>0.99560400000000004</v>
      </c>
      <c r="BJ1026">
        <v>0.99687999999999999</v>
      </c>
      <c r="BK1026">
        <v>0.99256500000000003</v>
      </c>
      <c r="BL1026">
        <v>0.99560899999999997</v>
      </c>
      <c r="BM1026">
        <v>0.99687999999999999</v>
      </c>
      <c r="BN1026">
        <v>0.99259299999999995</v>
      </c>
      <c r="BO1026">
        <v>0.997807</v>
      </c>
      <c r="BP1026">
        <v>0.99687499999999996</v>
      </c>
      <c r="BQ1026">
        <v>1</v>
      </c>
      <c r="BR1026">
        <v>0.10989</v>
      </c>
      <c r="BS1026">
        <v>38.021977999999997</v>
      </c>
      <c r="BT1026">
        <v>50</v>
      </c>
      <c r="BU1026">
        <v>0.13689499999999999</v>
      </c>
      <c r="BV1026">
        <v>32.621034999999999</v>
      </c>
      <c r="BW1026">
        <v>50</v>
      </c>
      <c r="BX1026" t="s">
        <v>125</v>
      </c>
      <c r="BY1026" t="s">
        <v>125</v>
      </c>
      <c r="BZ1026" t="s">
        <v>125</v>
      </c>
      <c r="CA1026" t="s">
        <v>125</v>
      </c>
      <c r="CB1026" t="s">
        <v>125</v>
      </c>
      <c r="CC1026" t="s">
        <v>125</v>
      </c>
      <c r="CD1026" t="s">
        <v>125</v>
      </c>
      <c r="CE1026" t="s">
        <v>125</v>
      </c>
      <c r="CF1026" t="s">
        <v>125</v>
      </c>
      <c r="CG1026" t="s">
        <v>125</v>
      </c>
      <c r="CH1026" t="s">
        <v>125</v>
      </c>
      <c r="CI1026" t="s">
        <v>125</v>
      </c>
      <c r="CJ1026" t="s">
        <v>125</v>
      </c>
      <c r="CK1026" t="s">
        <v>125</v>
      </c>
      <c r="CL1026" t="s">
        <v>125</v>
      </c>
      <c r="CM1026" t="s">
        <v>125</v>
      </c>
      <c r="CN1026" t="s">
        <v>125</v>
      </c>
      <c r="CO1026" t="s">
        <v>125</v>
      </c>
      <c r="CP1026" t="s">
        <v>125</v>
      </c>
      <c r="CQ1026">
        <v>0.41095900000000002</v>
      </c>
      <c r="CR1026">
        <v>0.964758</v>
      </c>
      <c r="CS1026">
        <v>27.397259999999999</v>
      </c>
      <c r="CT1026">
        <v>50</v>
      </c>
      <c r="CU1026" t="s">
        <v>125</v>
      </c>
      <c r="CV1026" t="s">
        <v>125</v>
      </c>
      <c r="CW1026" t="s">
        <v>125</v>
      </c>
      <c r="CX1026" t="s">
        <v>125</v>
      </c>
      <c r="CY1026" t="s">
        <v>125</v>
      </c>
      <c r="CZ1026" t="s">
        <v>125</v>
      </c>
      <c r="DA1026">
        <v>15.314097</v>
      </c>
      <c r="DB1026">
        <v>17.400950000000002</v>
      </c>
      <c r="DC1026">
        <v>16.332519999999999</v>
      </c>
      <c r="DD1026" t="s">
        <v>125</v>
      </c>
      <c r="DE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Q1026" t="s">
        <v>126</v>
      </c>
    </row>
    <row r="1027" spans="1:121" x14ac:dyDescent="0.15">
      <c r="A1027">
        <v>2018</v>
      </c>
      <c r="B1027" t="s">
        <v>146</v>
      </c>
      <c r="C1027" t="str">
        <f t="shared" si="47"/>
        <v>1560011</v>
      </c>
      <c r="D1027" t="s">
        <v>1173</v>
      </c>
      <c r="E1027" t="str">
        <f>"1560611"</f>
        <v>1560611</v>
      </c>
      <c r="F1027" t="s">
        <v>328</v>
      </c>
      <c r="G1027" t="s">
        <v>329</v>
      </c>
      <c r="H1027">
        <v>4</v>
      </c>
      <c r="J1027" t="s">
        <v>331</v>
      </c>
      <c r="K1027">
        <v>632.25193000000002</v>
      </c>
      <c r="L1027">
        <v>850</v>
      </c>
      <c r="M1027">
        <v>74.382580000000004</v>
      </c>
      <c r="N1027">
        <v>3</v>
      </c>
      <c r="O1027">
        <v>0</v>
      </c>
      <c r="P1027">
        <v>84.627465000000001</v>
      </c>
      <c r="Q1027">
        <v>50</v>
      </c>
      <c r="R1027">
        <v>50</v>
      </c>
      <c r="S1027">
        <v>81.984453999999999</v>
      </c>
      <c r="T1027">
        <v>75</v>
      </c>
      <c r="U1027">
        <v>50</v>
      </c>
      <c r="V1027">
        <v>50</v>
      </c>
      <c r="W1027">
        <v>80.663084999999995</v>
      </c>
      <c r="X1027">
        <v>50</v>
      </c>
      <c r="Y1027">
        <v>50</v>
      </c>
      <c r="Z1027">
        <v>75</v>
      </c>
      <c r="AA1027">
        <v>77.718508</v>
      </c>
      <c r="AB1027">
        <v>50</v>
      </c>
      <c r="AC1027">
        <v>50</v>
      </c>
      <c r="AD1027" t="s">
        <v>125</v>
      </c>
      <c r="AE1027" t="s">
        <v>125</v>
      </c>
      <c r="AF1027" t="s">
        <v>125</v>
      </c>
      <c r="AG1027" t="s">
        <v>125</v>
      </c>
      <c r="AH1027" t="s">
        <v>125</v>
      </c>
      <c r="AI1027" t="s">
        <v>125</v>
      </c>
      <c r="AJ1027" t="s">
        <v>125</v>
      </c>
      <c r="AK1027">
        <v>-6.98</v>
      </c>
      <c r="AL1027">
        <v>-2.71</v>
      </c>
      <c r="AM1027" t="s">
        <v>125</v>
      </c>
      <c r="AN1027">
        <v>0.52642500000000003</v>
      </c>
      <c r="AO1027">
        <v>52.642524999999999</v>
      </c>
      <c r="AP1027">
        <v>100</v>
      </c>
      <c r="AQ1027">
        <v>0.74010100000000001</v>
      </c>
      <c r="AR1027">
        <v>74.010064</v>
      </c>
      <c r="AS1027">
        <v>100</v>
      </c>
      <c r="AT1027">
        <v>0.50553199999999998</v>
      </c>
      <c r="AU1027">
        <v>0.55527800000000005</v>
      </c>
      <c r="AV1027">
        <v>50.553161000000003</v>
      </c>
      <c r="AW1027">
        <v>100</v>
      </c>
      <c r="AX1027">
        <v>0.69390499999999999</v>
      </c>
      <c r="AY1027">
        <v>0.803894</v>
      </c>
      <c r="AZ1027">
        <v>69.390510000000006</v>
      </c>
      <c r="BA1027">
        <v>100</v>
      </c>
      <c r="BB1027">
        <v>0.77394200000000002</v>
      </c>
      <c r="BC1027">
        <v>38.697105000000001</v>
      </c>
      <c r="BD1027">
        <v>50</v>
      </c>
      <c r="BE1027">
        <v>0.60470199999999996</v>
      </c>
      <c r="BF1027">
        <v>30.235081000000001</v>
      </c>
      <c r="BG1027">
        <v>50</v>
      </c>
      <c r="BH1027">
        <v>1</v>
      </c>
      <c r="BI1027">
        <v>0.94308899999999996</v>
      </c>
      <c r="BJ1027">
        <v>0.93243200000000004</v>
      </c>
      <c r="BK1027">
        <v>0.95918400000000004</v>
      </c>
      <c r="BL1027">
        <v>0.94308899999999996</v>
      </c>
      <c r="BM1027">
        <v>0.93243200000000004</v>
      </c>
      <c r="BN1027">
        <v>0.95918400000000004</v>
      </c>
      <c r="BO1027" t="s">
        <v>125</v>
      </c>
      <c r="BP1027" t="s">
        <v>125</v>
      </c>
      <c r="BQ1027" t="s">
        <v>125</v>
      </c>
      <c r="BR1027">
        <v>4.5161E-2</v>
      </c>
      <c r="BS1027">
        <v>50</v>
      </c>
      <c r="BT1027">
        <v>50</v>
      </c>
      <c r="BU1027">
        <v>5.7292000000000003E-2</v>
      </c>
      <c r="BV1027">
        <v>48.541666999999997</v>
      </c>
      <c r="BW1027">
        <v>50</v>
      </c>
      <c r="BX1027" t="s">
        <v>125</v>
      </c>
      <c r="BY1027" t="s">
        <v>125</v>
      </c>
      <c r="BZ1027" t="s">
        <v>125</v>
      </c>
      <c r="CA1027" t="s">
        <v>125</v>
      </c>
      <c r="CB1027" t="s">
        <v>125</v>
      </c>
      <c r="CC1027" t="s">
        <v>125</v>
      </c>
      <c r="CD1027" t="s">
        <v>125</v>
      </c>
      <c r="CE1027" t="s">
        <v>125</v>
      </c>
      <c r="CF1027" t="s">
        <v>125</v>
      </c>
      <c r="CG1027" t="s">
        <v>125</v>
      </c>
      <c r="CH1027" t="s">
        <v>125</v>
      </c>
      <c r="CI1027" t="s">
        <v>125</v>
      </c>
      <c r="CJ1027" t="s">
        <v>125</v>
      </c>
      <c r="CK1027" t="s">
        <v>125</v>
      </c>
      <c r="CL1027" t="s">
        <v>125</v>
      </c>
      <c r="CM1027" t="s">
        <v>125</v>
      </c>
      <c r="CN1027" t="s">
        <v>125</v>
      </c>
      <c r="CO1027" t="s">
        <v>125</v>
      </c>
      <c r="CP1027" t="s">
        <v>125</v>
      </c>
      <c r="CQ1027">
        <v>0.272727</v>
      </c>
      <c r="CR1027">
        <v>0.98214299999999999</v>
      </c>
      <c r="CS1027">
        <v>18.181818</v>
      </c>
      <c r="CT1027">
        <v>50</v>
      </c>
      <c r="CU1027" t="s">
        <v>125</v>
      </c>
      <c r="CV1027" t="s">
        <v>125</v>
      </c>
      <c r="CW1027" t="s">
        <v>125</v>
      </c>
      <c r="CX1027" t="s">
        <v>125</v>
      </c>
      <c r="CY1027" t="s">
        <v>125</v>
      </c>
      <c r="CZ1027" t="s">
        <v>125</v>
      </c>
      <c r="DA1027">
        <v>15.314097</v>
      </c>
      <c r="DB1027">
        <v>17.400950000000002</v>
      </c>
      <c r="DC1027">
        <v>16.332519999999999</v>
      </c>
      <c r="DD1027" t="s">
        <v>125</v>
      </c>
      <c r="DE1027">
        <v>1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Q1027" t="s">
        <v>126</v>
      </c>
    </row>
    <row r="1028" spans="1:121" x14ac:dyDescent="0.15">
      <c r="A1028">
        <v>2018</v>
      </c>
      <c r="B1028" t="s">
        <v>146</v>
      </c>
      <c r="C1028" t="str">
        <f t="shared" si="47"/>
        <v>1560011</v>
      </c>
      <c r="D1028" t="s">
        <v>1174</v>
      </c>
      <c r="E1028" t="str">
        <f>"1560311"</f>
        <v>1560311</v>
      </c>
      <c r="F1028" t="s">
        <v>328</v>
      </c>
      <c r="G1028" t="s">
        <v>329</v>
      </c>
      <c r="H1028">
        <v>4</v>
      </c>
      <c r="I1028" t="s">
        <v>330</v>
      </c>
      <c r="J1028" t="s">
        <v>331</v>
      </c>
      <c r="K1028">
        <v>662.20024599999999</v>
      </c>
      <c r="L1028">
        <v>850</v>
      </c>
      <c r="M1028">
        <v>77.905911000000003</v>
      </c>
      <c r="N1028">
        <v>2</v>
      </c>
      <c r="O1028">
        <v>0</v>
      </c>
      <c r="P1028">
        <v>64.090475999999995</v>
      </c>
      <c r="Q1028">
        <v>42.726984000000002</v>
      </c>
      <c r="R1028">
        <v>50</v>
      </c>
      <c r="S1028">
        <v>62.546950000000002</v>
      </c>
      <c r="T1028">
        <v>69.466204000000005</v>
      </c>
      <c r="U1028">
        <v>41.697966999999998</v>
      </c>
      <c r="V1028">
        <v>50</v>
      </c>
      <c r="W1028">
        <v>65.707609000000005</v>
      </c>
      <c r="X1028">
        <v>43.805072000000003</v>
      </c>
      <c r="Y1028">
        <v>50</v>
      </c>
      <c r="Z1028">
        <v>69.991983000000005</v>
      </c>
      <c r="AA1028">
        <v>64.477441999999996</v>
      </c>
      <c r="AB1028">
        <v>42.984960999999998</v>
      </c>
      <c r="AC1028">
        <v>50</v>
      </c>
      <c r="AD1028" t="s">
        <v>125</v>
      </c>
      <c r="AE1028" t="s">
        <v>125</v>
      </c>
      <c r="AF1028" t="s">
        <v>125</v>
      </c>
      <c r="AG1028" t="s">
        <v>125</v>
      </c>
      <c r="AH1028" t="s">
        <v>125</v>
      </c>
      <c r="AI1028" t="s">
        <v>125</v>
      </c>
      <c r="AJ1028" t="s">
        <v>125</v>
      </c>
      <c r="AK1028">
        <v>6.91</v>
      </c>
      <c r="AL1028">
        <v>5.51</v>
      </c>
      <c r="AM1028" t="s">
        <v>125</v>
      </c>
      <c r="AN1028">
        <v>0.65802499999999997</v>
      </c>
      <c r="AO1028">
        <v>65.802457000000004</v>
      </c>
      <c r="AP1028">
        <v>100</v>
      </c>
      <c r="AQ1028">
        <v>0.86362700000000003</v>
      </c>
      <c r="AR1028">
        <v>86.362711000000004</v>
      </c>
      <c r="AS1028">
        <v>100</v>
      </c>
      <c r="AT1028">
        <v>0.65992600000000001</v>
      </c>
      <c r="AU1028" t="s">
        <v>125</v>
      </c>
      <c r="AV1028">
        <v>65.992579000000006</v>
      </c>
      <c r="AW1028">
        <v>100</v>
      </c>
      <c r="AX1028">
        <v>0.87017599999999995</v>
      </c>
      <c r="AY1028" t="s">
        <v>125</v>
      </c>
      <c r="AZ1028">
        <v>87.017591999999993</v>
      </c>
      <c r="BA1028">
        <v>100</v>
      </c>
      <c r="BB1028">
        <v>0.86492999999999998</v>
      </c>
      <c r="BC1028">
        <v>43.246485999999997</v>
      </c>
      <c r="BD1028">
        <v>50</v>
      </c>
      <c r="BE1028">
        <v>0.62301600000000001</v>
      </c>
      <c r="BF1028">
        <v>31.150798000000002</v>
      </c>
      <c r="BG1028">
        <v>50</v>
      </c>
      <c r="BH1028">
        <v>0</v>
      </c>
      <c r="BI1028">
        <v>0.99324299999999999</v>
      </c>
      <c r="BJ1028">
        <v>0.99159699999999995</v>
      </c>
      <c r="BK1028">
        <v>1</v>
      </c>
      <c r="BL1028">
        <v>1</v>
      </c>
      <c r="BM1028">
        <v>1</v>
      </c>
      <c r="BN1028">
        <v>1</v>
      </c>
      <c r="BO1028" t="s">
        <v>125</v>
      </c>
      <c r="BP1028" t="s">
        <v>125</v>
      </c>
      <c r="BQ1028" t="s">
        <v>125</v>
      </c>
      <c r="BR1028">
        <v>7.8947000000000003E-2</v>
      </c>
      <c r="BS1028">
        <v>44.210526000000002</v>
      </c>
      <c r="BT1028">
        <v>50</v>
      </c>
      <c r="BU1028">
        <v>8.6538000000000004E-2</v>
      </c>
      <c r="BV1028">
        <v>42.692307999999997</v>
      </c>
      <c r="BW1028">
        <v>50</v>
      </c>
      <c r="BX1028" t="s">
        <v>125</v>
      </c>
      <c r="BY1028" t="s">
        <v>125</v>
      </c>
      <c r="BZ1028" t="s">
        <v>125</v>
      </c>
      <c r="CA1028" t="s">
        <v>125</v>
      </c>
      <c r="CB1028" t="s">
        <v>125</v>
      </c>
      <c r="CC1028" t="s">
        <v>125</v>
      </c>
      <c r="CD1028" t="s">
        <v>125</v>
      </c>
      <c r="CE1028" t="s">
        <v>125</v>
      </c>
      <c r="CF1028" t="s">
        <v>125</v>
      </c>
      <c r="CG1028" t="s">
        <v>125</v>
      </c>
      <c r="CH1028" t="s">
        <v>125</v>
      </c>
      <c r="CI1028" t="s">
        <v>125</v>
      </c>
      <c r="CJ1028" t="s">
        <v>125</v>
      </c>
      <c r="CK1028" t="s">
        <v>125</v>
      </c>
      <c r="CL1028" t="s">
        <v>125</v>
      </c>
      <c r="CM1028" t="s">
        <v>125</v>
      </c>
      <c r="CN1028" t="s">
        <v>125</v>
      </c>
      <c r="CO1028" t="s">
        <v>125</v>
      </c>
      <c r="CP1028" t="s">
        <v>125</v>
      </c>
      <c r="CQ1028">
        <v>0.367647</v>
      </c>
      <c r="CR1028">
        <v>0.97142899999999999</v>
      </c>
      <c r="CS1028">
        <v>24.509803999999999</v>
      </c>
      <c r="CT1028">
        <v>50</v>
      </c>
      <c r="CU1028" t="s">
        <v>125</v>
      </c>
      <c r="CV1028" t="s">
        <v>125</v>
      </c>
      <c r="CW1028" t="s">
        <v>125</v>
      </c>
      <c r="CX1028" t="s">
        <v>125</v>
      </c>
      <c r="CY1028" t="s">
        <v>125</v>
      </c>
      <c r="CZ1028" t="s">
        <v>125</v>
      </c>
      <c r="DA1028">
        <v>15.314097</v>
      </c>
      <c r="DB1028">
        <v>17.400950000000002</v>
      </c>
      <c r="DC1028">
        <v>16.332519999999999</v>
      </c>
      <c r="DD1028" t="s">
        <v>125</v>
      </c>
      <c r="DE1028">
        <v>0</v>
      </c>
      <c r="DH1028" t="s">
        <v>332</v>
      </c>
      <c r="DI1028" t="s">
        <v>453</v>
      </c>
      <c r="DJ1028">
        <v>0</v>
      </c>
      <c r="DK1028">
        <v>0</v>
      </c>
      <c r="DL1028">
        <v>1</v>
      </c>
      <c r="DM1028">
        <v>0</v>
      </c>
      <c r="DN1028">
        <v>1</v>
      </c>
      <c r="DO1028">
        <v>0</v>
      </c>
      <c r="DQ1028" t="s">
        <v>126</v>
      </c>
    </row>
    <row r="1029" spans="1:121" x14ac:dyDescent="0.15">
      <c r="A1029">
        <v>2018</v>
      </c>
      <c r="B1029" t="s">
        <v>146</v>
      </c>
      <c r="C1029" t="str">
        <f t="shared" si="47"/>
        <v>1560011</v>
      </c>
      <c r="D1029" t="s">
        <v>1175</v>
      </c>
      <c r="E1029" t="str">
        <f>"1565111"</f>
        <v>1565111</v>
      </c>
      <c r="F1029" t="s">
        <v>328</v>
      </c>
      <c r="G1029">
        <v>7</v>
      </c>
      <c r="H1029">
        <v>8</v>
      </c>
      <c r="J1029" t="s">
        <v>331</v>
      </c>
      <c r="K1029">
        <v>638.23616800000002</v>
      </c>
      <c r="L1029">
        <v>1000</v>
      </c>
      <c r="M1029">
        <v>63.823616999999999</v>
      </c>
      <c r="N1029">
        <v>3</v>
      </c>
      <c r="O1029">
        <v>0</v>
      </c>
      <c r="P1029">
        <v>63.221378999999999</v>
      </c>
      <c r="Q1029">
        <v>42.147585999999997</v>
      </c>
      <c r="R1029">
        <v>50</v>
      </c>
      <c r="S1029">
        <v>58.939321</v>
      </c>
      <c r="T1029">
        <v>71.799722000000003</v>
      </c>
      <c r="U1029">
        <v>39.292881000000001</v>
      </c>
      <c r="V1029">
        <v>50</v>
      </c>
      <c r="W1029">
        <v>59.831451000000001</v>
      </c>
      <c r="X1029">
        <v>39.887633999999998</v>
      </c>
      <c r="Y1029">
        <v>50</v>
      </c>
      <c r="Z1029">
        <v>67.568185</v>
      </c>
      <c r="AA1029">
        <v>55.891083999999999</v>
      </c>
      <c r="AB1029">
        <v>37.260722999999999</v>
      </c>
      <c r="AC1029">
        <v>50</v>
      </c>
      <c r="AD1029">
        <v>59.105020000000003</v>
      </c>
      <c r="AE1029">
        <v>39.403345999999999</v>
      </c>
      <c r="AF1029">
        <v>50</v>
      </c>
      <c r="AG1029">
        <v>55.229303999999999</v>
      </c>
      <c r="AH1029">
        <v>66.493103000000005</v>
      </c>
      <c r="AI1029">
        <v>36.819535999999999</v>
      </c>
      <c r="AJ1029">
        <v>50</v>
      </c>
      <c r="AK1029">
        <v>12.86</v>
      </c>
      <c r="AL1029">
        <v>11.67</v>
      </c>
      <c r="AM1029">
        <v>11.26</v>
      </c>
      <c r="AN1029">
        <v>0.503803</v>
      </c>
      <c r="AO1029">
        <v>50.380293999999999</v>
      </c>
      <c r="AP1029">
        <v>100</v>
      </c>
      <c r="AQ1029">
        <v>0.52864299999999997</v>
      </c>
      <c r="AR1029">
        <v>52.864254000000003</v>
      </c>
      <c r="AS1029">
        <v>100</v>
      </c>
      <c r="AT1029">
        <v>0.48164299999999999</v>
      </c>
      <c r="AU1029">
        <v>0.543848</v>
      </c>
      <c r="AV1029">
        <v>48.164292000000003</v>
      </c>
      <c r="AW1029">
        <v>100</v>
      </c>
      <c r="AX1029">
        <v>0.52706500000000001</v>
      </c>
      <c r="AY1029">
        <v>0.53145100000000001</v>
      </c>
      <c r="AZ1029">
        <v>52.706538999999999</v>
      </c>
      <c r="BA1029">
        <v>100</v>
      </c>
      <c r="BB1029">
        <v>0.980603</v>
      </c>
      <c r="BC1029">
        <v>49.030141</v>
      </c>
      <c r="BD1029">
        <v>50</v>
      </c>
      <c r="BE1029">
        <v>0.55331300000000005</v>
      </c>
      <c r="BF1029">
        <v>27.665651</v>
      </c>
      <c r="BG1029">
        <v>50</v>
      </c>
      <c r="BH1029">
        <v>0</v>
      </c>
      <c r="BI1029">
        <v>0.98451999999999995</v>
      </c>
      <c r="BJ1029">
        <v>0.981846</v>
      </c>
      <c r="BK1029">
        <v>0.99026000000000003</v>
      </c>
      <c r="BL1029">
        <v>0.97316800000000003</v>
      </c>
      <c r="BM1029">
        <v>0.96369099999999996</v>
      </c>
      <c r="BN1029">
        <v>0.993506</v>
      </c>
      <c r="BO1029">
        <v>0.982213</v>
      </c>
      <c r="BP1029">
        <v>0.97660800000000003</v>
      </c>
      <c r="BQ1029">
        <v>0.99390199999999995</v>
      </c>
      <c r="BR1029">
        <v>0.16546</v>
      </c>
      <c r="BS1029">
        <v>26.907962999999999</v>
      </c>
      <c r="BT1029">
        <v>50</v>
      </c>
      <c r="BU1029">
        <v>0.21102399999999999</v>
      </c>
      <c r="BV1029">
        <v>17.795276000000001</v>
      </c>
      <c r="BW1029">
        <v>50</v>
      </c>
      <c r="BX1029" t="s">
        <v>125</v>
      </c>
      <c r="BY1029" t="s">
        <v>125</v>
      </c>
      <c r="BZ1029" t="s">
        <v>125</v>
      </c>
      <c r="CA1029" t="s">
        <v>125</v>
      </c>
      <c r="CB1029" t="s">
        <v>125</v>
      </c>
      <c r="CC1029" t="s">
        <v>125</v>
      </c>
      <c r="CD1029">
        <v>0.95652199999999998</v>
      </c>
      <c r="CE1029">
        <v>50</v>
      </c>
      <c r="CF1029">
        <v>50</v>
      </c>
      <c r="CG1029" t="s">
        <v>125</v>
      </c>
      <c r="CH1029" t="s">
        <v>125</v>
      </c>
      <c r="CI1029" t="s">
        <v>125</v>
      </c>
      <c r="CJ1029" t="s">
        <v>125</v>
      </c>
      <c r="CK1029" t="s">
        <v>125</v>
      </c>
      <c r="CL1029" t="s">
        <v>125</v>
      </c>
      <c r="CM1029" t="s">
        <v>125</v>
      </c>
      <c r="CN1029" t="s">
        <v>125</v>
      </c>
      <c r="CO1029" t="s">
        <v>125</v>
      </c>
      <c r="CP1029" t="s">
        <v>125</v>
      </c>
      <c r="CQ1029">
        <v>0.418651</v>
      </c>
      <c r="CR1029">
        <v>0.99604700000000002</v>
      </c>
      <c r="CS1029">
        <v>27.910053000000001</v>
      </c>
      <c r="CT1029">
        <v>50</v>
      </c>
      <c r="CU1029" t="s">
        <v>125</v>
      </c>
      <c r="CV1029" t="s">
        <v>125</v>
      </c>
      <c r="CW1029" t="s">
        <v>125</v>
      </c>
      <c r="CX1029" t="s">
        <v>125</v>
      </c>
      <c r="CY1029" t="s">
        <v>125</v>
      </c>
      <c r="CZ1029" t="s">
        <v>125</v>
      </c>
      <c r="DA1029">
        <v>15.314097</v>
      </c>
      <c r="DB1029">
        <v>17.400950000000002</v>
      </c>
      <c r="DC1029">
        <v>16.332519999999999</v>
      </c>
      <c r="DD1029" t="s">
        <v>125</v>
      </c>
      <c r="DE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Q1029" t="s">
        <v>126</v>
      </c>
    </row>
    <row r="1030" spans="1:121" x14ac:dyDescent="0.15">
      <c r="A1030">
        <v>2018</v>
      </c>
      <c r="B1030" t="s">
        <v>146</v>
      </c>
      <c r="C1030" t="str">
        <f t="shared" si="47"/>
        <v>1560011</v>
      </c>
      <c r="D1030" t="s">
        <v>1176</v>
      </c>
      <c r="E1030" t="str">
        <f>"1561411"</f>
        <v>1561411</v>
      </c>
      <c r="F1030" t="s">
        <v>328</v>
      </c>
      <c r="G1030" t="s">
        <v>329</v>
      </c>
      <c r="H1030">
        <v>4</v>
      </c>
      <c r="I1030" t="s">
        <v>330</v>
      </c>
      <c r="J1030" t="s">
        <v>331</v>
      </c>
      <c r="K1030">
        <v>667.33454099999994</v>
      </c>
      <c r="L1030">
        <v>850</v>
      </c>
      <c r="M1030">
        <v>78.509945999999999</v>
      </c>
      <c r="N1030">
        <v>2</v>
      </c>
      <c r="O1030">
        <v>0</v>
      </c>
      <c r="P1030">
        <v>68.259801999999993</v>
      </c>
      <c r="Q1030">
        <v>45.506535</v>
      </c>
      <c r="R1030">
        <v>50</v>
      </c>
      <c r="S1030">
        <v>67.050786000000002</v>
      </c>
      <c r="T1030">
        <v>74.676885999999996</v>
      </c>
      <c r="U1030">
        <v>44.700524000000001</v>
      </c>
      <c r="V1030">
        <v>50</v>
      </c>
      <c r="W1030">
        <v>62.323853999999997</v>
      </c>
      <c r="X1030">
        <v>41.549236000000001</v>
      </c>
      <c r="Y1030">
        <v>50</v>
      </c>
      <c r="Z1030">
        <v>67.385289</v>
      </c>
      <c r="AA1030">
        <v>61.370249999999999</v>
      </c>
      <c r="AB1030">
        <v>40.913499999999999</v>
      </c>
      <c r="AC1030">
        <v>50</v>
      </c>
      <c r="AD1030" t="s">
        <v>125</v>
      </c>
      <c r="AE1030" t="s">
        <v>125</v>
      </c>
      <c r="AF1030" t="s">
        <v>125</v>
      </c>
      <c r="AG1030" t="s">
        <v>125</v>
      </c>
      <c r="AH1030" t="s">
        <v>125</v>
      </c>
      <c r="AI1030" t="s">
        <v>125</v>
      </c>
      <c r="AJ1030" t="s">
        <v>125</v>
      </c>
      <c r="AK1030">
        <v>7.62</v>
      </c>
      <c r="AL1030">
        <v>6.01</v>
      </c>
      <c r="AM1030" t="s">
        <v>125</v>
      </c>
      <c r="AN1030">
        <v>0.72165900000000005</v>
      </c>
      <c r="AO1030">
        <v>72.165919000000002</v>
      </c>
      <c r="AP1030">
        <v>100</v>
      </c>
      <c r="AQ1030">
        <v>0.87403399999999998</v>
      </c>
      <c r="AR1030">
        <v>87.403368999999998</v>
      </c>
      <c r="AS1030">
        <v>100</v>
      </c>
      <c r="AT1030">
        <v>0.69820300000000002</v>
      </c>
      <c r="AU1030" t="s">
        <v>125</v>
      </c>
      <c r="AV1030">
        <v>69.820255000000003</v>
      </c>
      <c r="AW1030">
        <v>100</v>
      </c>
      <c r="AX1030">
        <v>0.83529399999999998</v>
      </c>
      <c r="AY1030" t="s">
        <v>125</v>
      </c>
      <c r="AZ1030">
        <v>83.529420999999999</v>
      </c>
      <c r="BA1030">
        <v>100</v>
      </c>
      <c r="BB1030">
        <v>0.69797299999999995</v>
      </c>
      <c r="BC1030">
        <v>34.89866</v>
      </c>
      <c r="BD1030">
        <v>50</v>
      </c>
      <c r="BE1030">
        <v>0.52446599999999999</v>
      </c>
      <c r="BF1030">
        <v>26.223293000000002</v>
      </c>
      <c r="BG1030">
        <v>50</v>
      </c>
      <c r="BH1030">
        <v>0</v>
      </c>
      <c r="BI1030">
        <v>0.994475</v>
      </c>
      <c r="BJ1030">
        <v>0.99337699999999995</v>
      </c>
      <c r="BK1030">
        <v>1</v>
      </c>
      <c r="BL1030">
        <v>0.994475</v>
      </c>
      <c r="BM1030">
        <v>0.99337699999999995</v>
      </c>
      <c r="BN1030">
        <v>1</v>
      </c>
      <c r="BO1030" t="s">
        <v>125</v>
      </c>
      <c r="BP1030" t="s">
        <v>125</v>
      </c>
      <c r="BQ1030" t="s">
        <v>125</v>
      </c>
      <c r="BR1030">
        <v>0.113208</v>
      </c>
      <c r="BS1030">
        <v>37.358491000000001</v>
      </c>
      <c r="BT1030">
        <v>50</v>
      </c>
      <c r="BU1030">
        <v>0.113111</v>
      </c>
      <c r="BV1030">
        <v>37.377892000000003</v>
      </c>
      <c r="BW1030">
        <v>50</v>
      </c>
      <c r="BX1030" t="s">
        <v>125</v>
      </c>
      <c r="BY1030" t="s">
        <v>125</v>
      </c>
      <c r="BZ1030" t="s">
        <v>125</v>
      </c>
      <c r="CA1030" t="s">
        <v>125</v>
      </c>
      <c r="CB1030" t="s">
        <v>125</v>
      </c>
      <c r="CC1030" t="s">
        <v>125</v>
      </c>
      <c r="CD1030" t="s">
        <v>125</v>
      </c>
      <c r="CE1030" t="s">
        <v>125</v>
      </c>
      <c r="CF1030" t="s">
        <v>125</v>
      </c>
      <c r="CG1030" t="s">
        <v>125</v>
      </c>
      <c r="CH1030" t="s">
        <v>125</v>
      </c>
      <c r="CI1030" t="s">
        <v>125</v>
      </c>
      <c r="CJ1030" t="s">
        <v>125</v>
      </c>
      <c r="CK1030" t="s">
        <v>125</v>
      </c>
      <c r="CL1030" t="s">
        <v>125</v>
      </c>
      <c r="CM1030" t="s">
        <v>125</v>
      </c>
      <c r="CN1030" t="s">
        <v>125</v>
      </c>
      <c r="CO1030" t="s">
        <v>125</v>
      </c>
      <c r="CP1030" t="s">
        <v>125</v>
      </c>
      <c r="CQ1030">
        <v>0.68831200000000003</v>
      </c>
      <c r="CR1030">
        <v>1</v>
      </c>
      <c r="CS1030">
        <v>45.887445999999997</v>
      </c>
      <c r="CT1030">
        <v>50</v>
      </c>
      <c r="CU1030" t="s">
        <v>125</v>
      </c>
      <c r="CV1030" t="s">
        <v>125</v>
      </c>
      <c r="CW1030" t="s">
        <v>125</v>
      </c>
      <c r="CX1030" t="s">
        <v>125</v>
      </c>
      <c r="CY1030" t="s">
        <v>125</v>
      </c>
      <c r="CZ1030" t="s">
        <v>125</v>
      </c>
      <c r="DA1030">
        <v>15.314097</v>
      </c>
      <c r="DB1030">
        <v>17.400950000000002</v>
      </c>
      <c r="DC1030">
        <v>16.332519999999999</v>
      </c>
      <c r="DD1030" t="s">
        <v>125</v>
      </c>
      <c r="DE1030">
        <v>0</v>
      </c>
      <c r="DH1030" t="s">
        <v>332</v>
      </c>
      <c r="DI1030" t="s">
        <v>453</v>
      </c>
      <c r="DJ1030">
        <v>0</v>
      </c>
      <c r="DK1030">
        <v>0</v>
      </c>
      <c r="DL1030">
        <v>1</v>
      </c>
      <c r="DM1030">
        <v>0</v>
      </c>
      <c r="DN1030">
        <v>1</v>
      </c>
      <c r="DO1030">
        <v>0</v>
      </c>
      <c r="DQ1030" t="s">
        <v>126</v>
      </c>
    </row>
    <row r="1031" spans="1:121" x14ac:dyDescent="0.15">
      <c r="A1031">
        <v>2018</v>
      </c>
      <c r="B1031" t="s">
        <v>146</v>
      </c>
      <c r="C1031" t="str">
        <f t="shared" si="47"/>
        <v>1560011</v>
      </c>
      <c r="D1031" t="s">
        <v>1177</v>
      </c>
      <c r="E1031" t="str">
        <f>"1560411"</f>
        <v>1560411</v>
      </c>
      <c r="F1031" t="s">
        <v>328</v>
      </c>
      <c r="G1031" t="s">
        <v>329</v>
      </c>
      <c r="H1031">
        <v>4</v>
      </c>
      <c r="J1031" t="s">
        <v>331</v>
      </c>
      <c r="K1031">
        <v>664.18233299999997</v>
      </c>
      <c r="L1031">
        <v>850</v>
      </c>
      <c r="M1031">
        <v>78.139098000000004</v>
      </c>
      <c r="N1031">
        <v>2</v>
      </c>
      <c r="O1031">
        <v>0</v>
      </c>
      <c r="P1031">
        <v>67.389797999999999</v>
      </c>
      <c r="Q1031">
        <v>44.926532000000002</v>
      </c>
      <c r="R1031">
        <v>50</v>
      </c>
      <c r="S1031">
        <v>65.488603999999995</v>
      </c>
      <c r="T1031">
        <v>70.044296000000003</v>
      </c>
      <c r="U1031">
        <v>43.659069000000002</v>
      </c>
      <c r="V1031">
        <v>50</v>
      </c>
      <c r="W1031">
        <v>66.514691999999997</v>
      </c>
      <c r="X1031">
        <v>44.343128</v>
      </c>
      <c r="Y1031">
        <v>50</v>
      </c>
      <c r="Z1031">
        <v>72.236552000000003</v>
      </c>
      <c r="AA1031">
        <v>62.416604</v>
      </c>
      <c r="AB1031">
        <v>41.611069000000001</v>
      </c>
      <c r="AC1031">
        <v>50</v>
      </c>
      <c r="AD1031" t="s">
        <v>125</v>
      </c>
      <c r="AE1031" t="s">
        <v>125</v>
      </c>
      <c r="AF1031" t="s">
        <v>125</v>
      </c>
      <c r="AG1031" t="s">
        <v>125</v>
      </c>
      <c r="AH1031" t="s">
        <v>125</v>
      </c>
      <c r="AI1031" t="s">
        <v>125</v>
      </c>
      <c r="AJ1031" t="s">
        <v>125</v>
      </c>
      <c r="AK1031">
        <v>4.55</v>
      </c>
      <c r="AL1031">
        <v>9.81</v>
      </c>
      <c r="AM1031" t="s">
        <v>125</v>
      </c>
      <c r="AN1031">
        <v>0.66255600000000003</v>
      </c>
      <c r="AO1031">
        <v>66.255633000000003</v>
      </c>
      <c r="AP1031">
        <v>100</v>
      </c>
      <c r="AQ1031">
        <v>0.80476599999999998</v>
      </c>
      <c r="AR1031">
        <v>80.476624999999999</v>
      </c>
      <c r="AS1031">
        <v>100</v>
      </c>
      <c r="AT1031">
        <v>0.74724000000000002</v>
      </c>
      <c r="AU1031">
        <v>0.54530199999999995</v>
      </c>
      <c r="AV1031">
        <v>74.723992999999993</v>
      </c>
      <c r="AW1031">
        <v>100</v>
      </c>
      <c r="AX1031">
        <v>0.84202900000000003</v>
      </c>
      <c r="AY1031">
        <v>0.75317199999999995</v>
      </c>
      <c r="AZ1031">
        <v>84.202871999999999</v>
      </c>
      <c r="BA1031">
        <v>100</v>
      </c>
      <c r="BB1031">
        <v>0.80269999999999997</v>
      </c>
      <c r="BC1031">
        <v>40.134976000000002</v>
      </c>
      <c r="BD1031">
        <v>50</v>
      </c>
      <c r="BE1031">
        <v>0.60992900000000005</v>
      </c>
      <c r="BF1031">
        <v>30.496466000000002</v>
      </c>
      <c r="BG1031">
        <v>50</v>
      </c>
      <c r="BH1031">
        <v>0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 t="s">
        <v>125</v>
      </c>
      <c r="BP1031" t="s">
        <v>125</v>
      </c>
      <c r="BQ1031" t="s">
        <v>125</v>
      </c>
      <c r="BR1031">
        <v>8.4698999999999997E-2</v>
      </c>
      <c r="BS1031">
        <v>43.060108999999997</v>
      </c>
      <c r="BT1031">
        <v>50</v>
      </c>
      <c r="BU1031">
        <v>0.115207</v>
      </c>
      <c r="BV1031">
        <v>36.958525000000002</v>
      </c>
      <c r="BW1031">
        <v>50</v>
      </c>
      <c r="BX1031" t="s">
        <v>125</v>
      </c>
      <c r="BY1031" t="s">
        <v>125</v>
      </c>
      <c r="BZ1031" t="s">
        <v>125</v>
      </c>
      <c r="CA1031" t="s">
        <v>125</v>
      </c>
      <c r="CB1031" t="s">
        <v>125</v>
      </c>
      <c r="CC1031" t="s">
        <v>125</v>
      </c>
      <c r="CD1031" t="s">
        <v>125</v>
      </c>
      <c r="CE1031" t="s">
        <v>125</v>
      </c>
      <c r="CF1031" t="s">
        <v>125</v>
      </c>
      <c r="CG1031" t="s">
        <v>125</v>
      </c>
      <c r="CH1031" t="s">
        <v>125</v>
      </c>
      <c r="CI1031" t="s">
        <v>125</v>
      </c>
      <c r="CJ1031" t="s">
        <v>125</v>
      </c>
      <c r="CK1031" t="s">
        <v>125</v>
      </c>
      <c r="CL1031" t="s">
        <v>125</v>
      </c>
      <c r="CM1031" t="s">
        <v>125</v>
      </c>
      <c r="CN1031" t="s">
        <v>125</v>
      </c>
      <c r="CO1031" t="s">
        <v>125</v>
      </c>
      <c r="CP1031" t="s">
        <v>125</v>
      </c>
      <c r="CQ1031">
        <v>0.5</v>
      </c>
      <c r="CR1031">
        <v>0.95384599999999997</v>
      </c>
      <c r="CS1031">
        <v>33.333333000000003</v>
      </c>
      <c r="CT1031">
        <v>50</v>
      </c>
      <c r="CU1031" t="s">
        <v>125</v>
      </c>
      <c r="CV1031" t="s">
        <v>125</v>
      </c>
      <c r="CW1031" t="s">
        <v>125</v>
      </c>
      <c r="CX1031" t="s">
        <v>125</v>
      </c>
      <c r="CY1031" t="s">
        <v>125</v>
      </c>
      <c r="CZ1031" t="s">
        <v>125</v>
      </c>
      <c r="DA1031">
        <v>15.314097</v>
      </c>
      <c r="DB1031">
        <v>17.400950000000002</v>
      </c>
      <c r="DC1031">
        <v>16.332519999999999</v>
      </c>
      <c r="DD1031" t="s">
        <v>125</v>
      </c>
      <c r="DE1031">
        <v>0</v>
      </c>
      <c r="DH1031" t="s">
        <v>332</v>
      </c>
      <c r="DI1031" t="s">
        <v>597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Q1031" t="s">
        <v>126</v>
      </c>
    </row>
    <row r="1032" spans="1:121" x14ac:dyDescent="0.15">
      <c r="A1032">
        <v>2018</v>
      </c>
      <c r="B1032" t="s">
        <v>146</v>
      </c>
      <c r="C1032" t="str">
        <f t="shared" si="47"/>
        <v>1560011</v>
      </c>
      <c r="D1032" t="s">
        <v>736</v>
      </c>
      <c r="E1032" t="str">
        <f>"1561211"</f>
        <v>1561211</v>
      </c>
      <c r="F1032" t="s">
        <v>328</v>
      </c>
      <c r="G1032" t="s">
        <v>329</v>
      </c>
      <c r="H1032">
        <v>4</v>
      </c>
      <c r="I1032" t="s">
        <v>330</v>
      </c>
      <c r="J1032" t="s">
        <v>331</v>
      </c>
      <c r="K1032">
        <v>592.45513200000005</v>
      </c>
      <c r="L1032">
        <v>850</v>
      </c>
      <c r="M1032">
        <v>69.700603999999998</v>
      </c>
      <c r="N1032">
        <v>3</v>
      </c>
      <c r="O1032">
        <v>0</v>
      </c>
      <c r="P1032">
        <v>64.573096000000007</v>
      </c>
      <c r="Q1032">
        <v>43.048729999999999</v>
      </c>
      <c r="R1032">
        <v>50</v>
      </c>
      <c r="S1032">
        <v>63.7502</v>
      </c>
      <c r="T1032">
        <v>68.364292000000006</v>
      </c>
      <c r="U1032">
        <v>42.500134000000003</v>
      </c>
      <c r="V1032">
        <v>50</v>
      </c>
      <c r="W1032">
        <v>59.732317999999999</v>
      </c>
      <c r="X1032">
        <v>39.821545999999998</v>
      </c>
      <c r="Y1032">
        <v>50</v>
      </c>
      <c r="Z1032">
        <v>66.013591000000005</v>
      </c>
      <c r="AA1032">
        <v>58.368941999999997</v>
      </c>
      <c r="AB1032">
        <v>38.912627999999998</v>
      </c>
      <c r="AC1032">
        <v>50</v>
      </c>
      <c r="AD1032" t="s">
        <v>125</v>
      </c>
      <c r="AE1032" t="s">
        <v>125</v>
      </c>
      <c r="AF1032" t="s">
        <v>125</v>
      </c>
      <c r="AG1032" t="s">
        <v>125</v>
      </c>
      <c r="AH1032" t="s">
        <v>125</v>
      </c>
      <c r="AI1032" t="s">
        <v>125</v>
      </c>
      <c r="AJ1032" t="s">
        <v>125</v>
      </c>
      <c r="AK1032">
        <v>4.6100000000000003</v>
      </c>
      <c r="AL1032">
        <v>7.64</v>
      </c>
      <c r="AM1032" t="s">
        <v>125</v>
      </c>
      <c r="AN1032">
        <v>0.66497600000000001</v>
      </c>
      <c r="AO1032">
        <v>66.497590000000002</v>
      </c>
      <c r="AP1032">
        <v>100</v>
      </c>
      <c r="AQ1032">
        <v>0.57320800000000005</v>
      </c>
      <c r="AR1032">
        <v>57.320821000000002</v>
      </c>
      <c r="AS1032">
        <v>100</v>
      </c>
      <c r="AT1032">
        <v>0.65624300000000002</v>
      </c>
      <c r="AU1032" t="s">
        <v>125</v>
      </c>
      <c r="AV1032">
        <v>65.624252999999996</v>
      </c>
      <c r="AW1032">
        <v>100</v>
      </c>
      <c r="AX1032">
        <v>0.60807999999999995</v>
      </c>
      <c r="AY1032" t="s">
        <v>125</v>
      </c>
      <c r="AZ1032">
        <v>60.807980999999998</v>
      </c>
      <c r="BA1032">
        <v>100</v>
      </c>
      <c r="BB1032">
        <v>0.88221899999999998</v>
      </c>
      <c r="BC1032">
        <v>44.110965</v>
      </c>
      <c r="BD1032">
        <v>50</v>
      </c>
      <c r="BE1032">
        <v>0.57440400000000003</v>
      </c>
      <c r="BF1032">
        <v>28.720219</v>
      </c>
      <c r="BG1032">
        <v>50</v>
      </c>
      <c r="BH1032">
        <v>0</v>
      </c>
      <c r="BI1032">
        <v>0.99408300000000005</v>
      </c>
      <c r="BJ1032">
        <v>0.99290800000000001</v>
      </c>
      <c r="BK1032">
        <v>1</v>
      </c>
      <c r="BL1032">
        <v>0.99408300000000005</v>
      </c>
      <c r="BM1032">
        <v>0.99290800000000001</v>
      </c>
      <c r="BN1032">
        <v>1</v>
      </c>
      <c r="BO1032" t="s">
        <v>125</v>
      </c>
      <c r="BP1032" t="s">
        <v>125</v>
      </c>
      <c r="BQ1032" t="s">
        <v>125</v>
      </c>
      <c r="BR1032">
        <v>0.154028</v>
      </c>
      <c r="BS1032">
        <v>29.194313000000001</v>
      </c>
      <c r="BT1032">
        <v>50</v>
      </c>
      <c r="BU1032">
        <v>0.17052</v>
      </c>
      <c r="BV1032">
        <v>25.895954</v>
      </c>
      <c r="BW1032">
        <v>50</v>
      </c>
      <c r="BX1032" t="s">
        <v>125</v>
      </c>
      <c r="BY1032" t="s">
        <v>125</v>
      </c>
      <c r="BZ1032" t="s">
        <v>125</v>
      </c>
      <c r="CA1032" t="s">
        <v>125</v>
      </c>
      <c r="CB1032" t="s">
        <v>125</v>
      </c>
      <c r="CC1032" t="s">
        <v>125</v>
      </c>
      <c r="CD1032" t="s">
        <v>125</v>
      </c>
      <c r="CE1032" t="s">
        <v>125</v>
      </c>
      <c r="CF1032" t="s">
        <v>125</v>
      </c>
      <c r="CG1032" t="s">
        <v>125</v>
      </c>
      <c r="CH1032" t="s">
        <v>125</v>
      </c>
      <c r="CI1032" t="s">
        <v>125</v>
      </c>
      <c r="CJ1032" t="s">
        <v>125</v>
      </c>
      <c r="CK1032" t="s">
        <v>125</v>
      </c>
      <c r="CL1032" t="s">
        <v>125</v>
      </c>
      <c r="CM1032" t="s">
        <v>125</v>
      </c>
      <c r="CN1032" t="s">
        <v>125</v>
      </c>
      <c r="CO1032" t="s">
        <v>125</v>
      </c>
      <c r="CP1032" t="s">
        <v>125</v>
      </c>
      <c r="CQ1032">
        <v>0.75675700000000001</v>
      </c>
      <c r="CR1032">
        <v>1.0136989999999999</v>
      </c>
      <c r="CS1032">
        <v>50</v>
      </c>
      <c r="CT1032">
        <v>50</v>
      </c>
      <c r="CU1032" t="s">
        <v>125</v>
      </c>
      <c r="CV1032" t="s">
        <v>125</v>
      </c>
      <c r="CW1032" t="s">
        <v>125</v>
      </c>
      <c r="CX1032" t="s">
        <v>125</v>
      </c>
      <c r="CY1032" t="s">
        <v>125</v>
      </c>
      <c r="CZ1032" t="s">
        <v>125</v>
      </c>
      <c r="DA1032">
        <v>15.314097</v>
      </c>
      <c r="DB1032">
        <v>17.400950000000002</v>
      </c>
      <c r="DC1032">
        <v>16.332519999999999</v>
      </c>
      <c r="DD1032" t="s">
        <v>125</v>
      </c>
      <c r="DE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Q1032" t="s">
        <v>126</v>
      </c>
    </row>
    <row r="1033" spans="1:121" x14ac:dyDescent="0.15">
      <c r="A1033">
        <v>2018</v>
      </c>
      <c r="B1033" t="s">
        <v>146</v>
      </c>
      <c r="C1033" t="str">
        <f t="shared" si="47"/>
        <v>1560011</v>
      </c>
      <c r="D1033" t="s">
        <v>1178</v>
      </c>
      <c r="E1033" t="str">
        <f>"1566111"</f>
        <v>1566111</v>
      </c>
      <c r="F1033" t="s">
        <v>328</v>
      </c>
      <c r="G1033">
        <v>9</v>
      </c>
      <c r="H1033">
        <v>12</v>
      </c>
      <c r="J1033" t="s">
        <v>331</v>
      </c>
      <c r="K1033">
        <v>1072.1144959999999</v>
      </c>
      <c r="L1033">
        <v>1550</v>
      </c>
      <c r="M1033">
        <v>69.168677000000002</v>
      </c>
      <c r="N1033">
        <v>3</v>
      </c>
      <c r="O1033">
        <v>0</v>
      </c>
      <c r="P1033">
        <v>50.382716000000002</v>
      </c>
      <c r="Q1033">
        <v>100.765432</v>
      </c>
      <c r="R1033">
        <v>150</v>
      </c>
      <c r="S1033">
        <v>46.400793999999998</v>
      </c>
      <c r="T1033">
        <v>56.941175999999999</v>
      </c>
      <c r="U1033">
        <v>92.801586999999998</v>
      </c>
      <c r="V1033">
        <v>150</v>
      </c>
      <c r="W1033">
        <v>43.926279000000001</v>
      </c>
      <c r="X1033">
        <v>87.852557000000004</v>
      </c>
      <c r="Y1033">
        <v>150</v>
      </c>
      <c r="Z1033">
        <v>47.697479000000001</v>
      </c>
      <c r="AA1033">
        <v>41.636620999999998</v>
      </c>
      <c r="AB1033">
        <v>83.273242999999994</v>
      </c>
      <c r="AC1033">
        <v>150</v>
      </c>
      <c r="AD1033">
        <v>54.170065999999998</v>
      </c>
      <c r="AE1033">
        <v>72.226754999999997</v>
      </c>
      <c r="AF1033">
        <v>100</v>
      </c>
      <c r="AG1033">
        <v>51.803905999999998</v>
      </c>
      <c r="AH1033">
        <v>57.975641000000003</v>
      </c>
      <c r="AI1033">
        <v>69.071875000000006</v>
      </c>
      <c r="AJ1033">
        <v>100</v>
      </c>
      <c r="AK1033">
        <v>10.54</v>
      </c>
      <c r="AL1033">
        <v>6.06</v>
      </c>
      <c r="AM1033">
        <v>6.17</v>
      </c>
      <c r="AN1033" t="s">
        <v>125</v>
      </c>
      <c r="AO1033" t="s">
        <v>125</v>
      </c>
      <c r="AP1033" t="s">
        <v>125</v>
      </c>
      <c r="AQ1033" t="s">
        <v>125</v>
      </c>
      <c r="AR1033" t="s">
        <v>125</v>
      </c>
      <c r="AS1033" t="s">
        <v>125</v>
      </c>
      <c r="AT1033" t="s">
        <v>125</v>
      </c>
      <c r="AU1033" t="s">
        <v>125</v>
      </c>
      <c r="AV1033" t="s">
        <v>125</v>
      </c>
      <c r="AW1033" t="s">
        <v>125</v>
      </c>
      <c r="AX1033" t="s">
        <v>125</v>
      </c>
      <c r="AY1033" t="s">
        <v>125</v>
      </c>
      <c r="AZ1033" t="s">
        <v>125</v>
      </c>
      <c r="BA1033" t="s">
        <v>125</v>
      </c>
      <c r="BB1033">
        <v>0.52758099999999997</v>
      </c>
      <c r="BC1033">
        <v>26.379072000000001</v>
      </c>
      <c r="BD1033">
        <v>50</v>
      </c>
      <c r="BE1033">
        <v>0.61585699999999999</v>
      </c>
      <c r="BF1033">
        <v>30.792838</v>
      </c>
      <c r="BG1033">
        <v>50</v>
      </c>
      <c r="BH1033">
        <v>0</v>
      </c>
      <c r="BI1033">
        <v>0.97075999999999996</v>
      </c>
      <c r="BJ1033">
        <v>0.96774199999999999</v>
      </c>
      <c r="BK1033">
        <v>0.97599999999999998</v>
      </c>
      <c r="BL1033">
        <v>0.97075999999999996</v>
      </c>
      <c r="BM1033">
        <v>0.96774199999999999</v>
      </c>
      <c r="BN1033">
        <v>0.97599999999999998</v>
      </c>
      <c r="BO1033">
        <v>0.973607</v>
      </c>
      <c r="BP1033">
        <v>0.96296300000000001</v>
      </c>
      <c r="BQ1033">
        <v>0.99199999999999999</v>
      </c>
      <c r="BR1033">
        <v>0.135546</v>
      </c>
      <c r="BS1033">
        <v>32.890732999999997</v>
      </c>
      <c r="BT1033">
        <v>50</v>
      </c>
      <c r="BU1033">
        <v>0.170569</v>
      </c>
      <c r="BV1033">
        <v>25.886288</v>
      </c>
      <c r="BW1033">
        <v>50</v>
      </c>
      <c r="BX1033">
        <v>0.66666700000000001</v>
      </c>
      <c r="BY1033">
        <v>44.444443999999997</v>
      </c>
      <c r="BZ1033">
        <v>50</v>
      </c>
      <c r="CA1033">
        <v>0.21568599999999999</v>
      </c>
      <c r="CB1033">
        <v>14.379085</v>
      </c>
      <c r="CC1033">
        <v>50</v>
      </c>
      <c r="CD1033">
        <v>0.92009700000000005</v>
      </c>
      <c r="CE1033">
        <v>48.941322</v>
      </c>
      <c r="CF1033">
        <v>50</v>
      </c>
      <c r="CG1033">
        <v>0.884409</v>
      </c>
      <c r="CH1033">
        <v>94.086022</v>
      </c>
      <c r="CI1033">
        <v>100</v>
      </c>
      <c r="CJ1033">
        <v>0</v>
      </c>
      <c r="CK1033">
        <v>0.84587800000000002</v>
      </c>
      <c r="CL1033">
        <v>89.987036000000003</v>
      </c>
      <c r="CM1033">
        <v>100</v>
      </c>
      <c r="CN1033">
        <v>0.67352900000000004</v>
      </c>
      <c r="CO1033">
        <v>89.803922</v>
      </c>
      <c r="CP1033">
        <v>100</v>
      </c>
      <c r="CQ1033">
        <v>0.51104099999999997</v>
      </c>
      <c r="CR1033">
        <v>0.949102</v>
      </c>
      <c r="CS1033">
        <v>34.069400999999999</v>
      </c>
      <c r="CT1033">
        <v>50</v>
      </c>
      <c r="CU1033">
        <v>0.41355500000000001</v>
      </c>
      <c r="CV1033">
        <v>34.462885999999997</v>
      </c>
      <c r="CW1033">
        <v>50</v>
      </c>
      <c r="CX1033">
        <v>0.84587800000000002</v>
      </c>
      <c r="CY1033">
        <v>0.915385</v>
      </c>
      <c r="CZ1033">
        <v>6.9505999999999998E-2</v>
      </c>
      <c r="DA1033">
        <v>15.314097</v>
      </c>
      <c r="DB1033">
        <v>17.400950000000002</v>
      </c>
      <c r="DC1033">
        <v>16.332519999999999</v>
      </c>
      <c r="DD1033">
        <v>7.9891730000000001</v>
      </c>
      <c r="DE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Q1033" t="s">
        <v>126</v>
      </c>
    </row>
    <row r="1034" spans="1:121" x14ac:dyDescent="0.15">
      <c r="A1034">
        <v>2018</v>
      </c>
      <c r="B1034" t="s">
        <v>180</v>
      </c>
      <c r="C1034" t="str">
        <f>"1570011"</f>
        <v>1570011</v>
      </c>
      <c r="D1034" t="s">
        <v>1179</v>
      </c>
      <c r="E1034" t="str">
        <f>"1570111"</f>
        <v>1570111</v>
      </c>
      <c r="F1034" t="s">
        <v>328</v>
      </c>
      <c r="G1034" t="s">
        <v>329</v>
      </c>
      <c r="H1034">
        <v>2</v>
      </c>
      <c r="I1034" t="s">
        <v>330</v>
      </c>
      <c r="J1034" t="s">
        <v>331</v>
      </c>
      <c r="K1034">
        <v>29.808416999999999</v>
      </c>
      <c r="L1034">
        <v>100</v>
      </c>
      <c r="M1034">
        <v>29.808416999999999</v>
      </c>
      <c r="N1034" t="s">
        <v>125</v>
      </c>
      <c r="O1034" t="s">
        <v>125</v>
      </c>
      <c r="P1034" t="s">
        <v>125</v>
      </c>
      <c r="Q1034" t="s">
        <v>125</v>
      </c>
      <c r="R1034" t="s">
        <v>125</v>
      </c>
      <c r="S1034" t="s">
        <v>125</v>
      </c>
      <c r="T1034" t="s">
        <v>125</v>
      </c>
      <c r="U1034" t="s">
        <v>125</v>
      </c>
      <c r="V1034" t="s">
        <v>125</v>
      </c>
      <c r="W1034" t="s">
        <v>125</v>
      </c>
      <c r="X1034" t="s">
        <v>125</v>
      </c>
      <c r="Y1034" t="s">
        <v>125</v>
      </c>
      <c r="Z1034" t="s">
        <v>125</v>
      </c>
      <c r="AA1034" t="s">
        <v>125</v>
      </c>
      <c r="AB1034" t="s">
        <v>125</v>
      </c>
      <c r="AC1034" t="s">
        <v>125</v>
      </c>
      <c r="AD1034" t="s">
        <v>125</v>
      </c>
      <c r="AE1034" t="s">
        <v>125</v>
      </c>
      <c r="AF1034" t="s">
        <v>125</v>
      </c>
      <c r="AG1034" t="s">
        <v>125</v>
      </c>
      <c r="AH1034" t="s">
        <v>125</v>
      </c>
      <c r="AI1034" t="s">
        <v>125</v>
      </c>
      <c r="AJ1034" t="s">
        <v>125</v>
      </c>
      <c r="AK1034" t="s">
        <v>125</v>
      </c>
      <c r="AL1034" t="s">
        <v>125</v>
      </c>
      <c r="AM1034" t="s">
        <v>125</v>
      </c>
      <c r="AN1034" t="s">
        <v>125</v>
      </c>
      <c r="AO1034" t="s">
        <v>125</v>
      </c>
      <c r="AP1034" t="s">
        <v>125</v>
      </c>
      <c r="AQ1034" t="s">
        <v>125</v>
      </c>
      <c r="AR1034" t="s">
        <v>125</v>
      </c>
      <c r="AS1034" t="s">
        <v>125</v>
      </c>
      <c r="AT1034" t="s">
        <v>125</v>
      </c>
      <c r="AU1034" t="s">
        <v>125</v>
      </c>
      <c r="AV1034" t="s">
        <v>125</v>
      </c>
      <c r="AW1034" t="s">
        <v>125</v>
      </c>
      <c r="AX1034" t="s">
        <v>125</v>
      </c>
      <c r="AY1034" t="s">
        <v>125</v>
      </c>
      <c r="AZ1034" t="s">
        <v>125</v>
      </c>
      <c r="BA1034" t="s">
        <v>125</v>
      </c>
      <c r="BB1034" t="s">
        <v>125</v>
      </c>
      <c r="BC1034" t="s">
        <v>125</v>
      </c>
      <c r="BD1034" t="s">
        <v>125</v>
      </c>
      <c r="BE1034" t="s">
        <v>125</v>
      </c>
      <c r="BF1034" t="s">
        <v>125</v>
      </c>
      <c r="BG1034" t="s">
        <v>125</v>
      </c>
      <c r="BH1034" t="s">
        <v>125</v>
      </c>
      <c r="BI1034" t="s">
        <v>125</v>
      </c>
      <c r="BJ1034" t="s">
        <v>125</v>
      </c>
      <c r="BK1034" t="s">
        <v>125</v>
      </c>
      <c r="BL1034" t="s">
        <v>125</v>
      </c>
      <c r="BM1034" t="s">
        <v>125</v>
      </c>
      <c r="BN1034" t="s">
        <v>125</v>
      </c>
      <c r="BO1034" t="s">
        <v>125</v>
      </c>
      <c r="BP1034" t="s">
        <v>125</v>
      </c>
      <c r="BQ1034" t="s">
        <v>125</v>
      </c>
      <c r="BR1034">
        <v>0.19289300000000001</v>
      </c>
      <c r="BS1034">
        <v>21.421320000000001</v>
      </c>
      <c r="BT1034">
        <v>50</v>
      </c>
      <c r="BU1034">
        <v>0.25806499999999999</v>
      </c>
      <c r="BV1034">
        <v>8.3870970000000007</v>
      </c>
      <c r="BW1034">
        <v>50</v>
      </c>
      <c r="BX1034" t="s">
        <v>125</v>
      </c>
      <c r="BY1034" t="s">
        <v>125</v>
      </c>
      <c r="BZ1034" t="s">
        <v>125</v>
      </c>
      <c r="CA1034" t="s">
        <v>125</v>
      </c>
      <c r="CB1034" t="s">
        <v>125</v>
      </c>
      <c r="CC1034" t="s">
        <v>125</v>
      </c>
      <c r="CD1034" t="s">
        <v>125</v>
      </c>
      <c r="CE1034" t="s">
        <v>125</v>
      </c>
      <c r="CF1034" t="s">
        <v>125</v>
      </c>
      <c r="CG1034" t="s">
        <v>125</v>
      </c>
      <c r="CH1034" t="s">
        <v>125</v>
      </c>
      <c r="CI1034" t="s">
        <v>125</v>
      </c>
      <c r="CJ1034" t="s">
        <v>125</v>
      </c>
      <c r="CK1034" t="s">
        <v>125</v>
      </c>
      <c r="CL1034" t="s">
        <v>125</v>
      </c>
      <c r="CM1034" t="s">
        <v>125</v>
      </c>
      <c r="CN1034" t="s">
        <v>125</v>
      </c>
      <c r="CO1034" t="s">
        <v>125</v>
      </c>
      <c r="CP1034" t="s">
        <v>125</v>
      </c>
      <c r="CQ1034" t="s">
        <v>125</v>
      </c>
      <c r="CR1034" t="s">
        <v>125</v>
      </c>
      <c r="CS1034" t="s">
        <v>125</v>
      </c>
      <c r="CT1034" t="s">
        <v>125</v>
      </c>
      <c r="CU1034" t="s">
        <v>125</v>
      </c>
      <c r="CV1034" t="s">
        <v>125</v>
      </c>
      <c r="CW1034" t="s">
        <v>125</v>
      </c>
      <c r="CX1034" t="s">
        <v>125</v>
      </c>
      <c r="CY1034" t="s">
        <v>125</v>
      </c>
      <c r="CZ1034" t="s">
        <v>125</v>
      </c>
      <c r="DA1034" t="s">
        <v>125</v>
      </c>
      <c r="DB1034" t="s">
        <v>125</v>
      </c>
      <c r="DC1034" t="s">
        <v>125</v>
      </c>
      <c r="DD1034" t="s">
        <v>125</v>
      </c>
      <c r="DE1034" t="s">
        <v>125</v>
      </c>
      <c r="DJ1034" t="s">
        <v>125</v>
      </c>
      <c r="DK1034" t="s">
        <v>125</v>
      </c>
      <c r="DL1034" t="s">
        <v>125</v>
      </c>
      <c r="DM1034" t="s">
        <v>125</v>
      </c>
      <c r="DN1034" t="s">
        <v>125</v>
      </c>
      <c r="DO1034" t="s">
        <v>125</v>
      </c>
      <c r="DQ1034" t="s">
        <v>126</v>
      </c>
    </row>
    <row r="1035" spans="1:121" x14ac:dyDescent="0.15">
      <c r="A1035">
        <v>2018</v>
      </c>
      <c r="B1035" t="s">
        <v>180</v>
      </c>
      <c r="C1035" t="str">
        <f>"1570011"</f>
        <v>1570011</v>
      </c>
      <c r="D1035" t="s">
        <v>1180</v>
      </c>
      <c r="E1035" t="str">
        <f>"1576111"</f>
        <v>1576111</v>
      </c>
      <c r="F1035" t="s">
        <v>328</v>
      </c>
      <c r="G1035">
        <v>9</v>
      </c>
      <c r="H1035">
        <v>12</v>
      </c>
      <c r="J1035" t="s">
        <v>331</v>
      </c>
      <c r="K1035">
        <v>1029.949206</v>
      </c>
      <c r="L1035">
        <v>1050</v>
      </c>
      <c r="M1035">
        <v>98.090401</v>
      </c>
      <c r="N1035">
        <v>1</v>
      </c>
      <c r="O1035">
        <v>0</v>
      </c>
      <c r="P1035">
        <v>74.097222000000002</v>
      </c>
      <c r="Q1035">
        <v>148.194444</v>
      </c>
      <c r="R1035">
        <v>150</v>
      </c>
      <c r="S1035" t="s">
        <v>125</v>
      </c>
      <c r="T1035">
        <v>75</v>
      </c>
      <c r="U1035" t="s">
        <v>125</v>
      </c>
      <c r="V1035" t="s">
        <v>125</v>
      </c>
      <c r="W1035">
        <v>71.591667000000001</v>
      </c>
      <c r="X1035">
        <v>143.183333</v>
      </c>
      <c r="Y1035">
        <v>150</v>
      </c>
      <c r="Z1035">
        <v>73.058881999999997</v>
      </c>
      <c r="AA1035" t="s">
        <v>125</v>
      </c>
      <c r="AB1035" t="s">
        <v>125</v>
      </c>
      <c r="AC1035" t="s">
        <v>125</v>
      </c>
      <c r="AD1035">
        <v>79.062211000000005</v>
      </c>
      <c r="AE1035">
        <v>100</v>
      </c>
      <c r="AF1035">
        <v>100</v>
      </c>
      <c r="AG1035" t="s">
        <v>125</v>
      </c>
      <c r="AH1035">
        <v>75</v>
      </c>
      <c r="AI1035" t="s">
        <v>125</v>
      </c>
      <c r="AJ1035" t="s">
        <v>125</v>
      </c>
      <c r="AK1035" t="s">
        <v>125</v>
      </c>
      <c r="AL1035" t="s">
        <v>125</v>
      </c>
      <c r="AM1035" t="s">
        <v>125</v>
      </c>
      <c r="AN1035" t="s">
        <v>125</v>
      </c>
      <c r="AO1035" t="s">
        <v>125</v>
      </c>
      <c r="AP1035" t="s">
        <v>125</v>
      </c>
      <c r="AQ1035" t="s">
        <v>125</v>
      </c>
      <c r="AR1035" t="s">
        <v>125</v>
      </c>
      <c r="AS1035" t="s">
        <v>125</v>
      </c>
      <c r="AT1035" t="s">
        <v>125</v>
      </c>
      <c r="AU1035" t="s">
        <v>125</v>
      </c>
      <c r="AV1035" t="s">
        <v>125</v>
      </c>
      <c r="AW1035" t="s">
        <v>125</v>
      </c>
      <c r="AX1035" t="s">
        <v>125</v>
      </c>
      <c r="AY1035" t="s">
        <v>125</v>
      </c>
      <c r="AZ1035" t="s">
        <v>125</v>
      </c>
      <c r="BA1035" t="s">
        <v>125</v>
      </c>
      <c r="BB1035" t="s">
        <v>125</v>
      </c>
      <c r="BC1035" t="s">
        <v>125</v>
      </c>
      <c r="BD1035" t="s">
        <v>125</v>
      </c>
      <c r="BE1035" t="s">
        <v>125</v>
      </c>
      <c r="BF1035" t="s">
        <v>125</v>
      </c>
      <c r="BG1035" t="s">
        <v>125</v>
      </c>
      <c r="BH1035">
        <v>0</v>
      </c>
      <c r="BI1035">
        <v>0.98378399999999999</v>
      </c>
      <c r="BJ1035" t="s">
        <v>125</v>
      </c>
      <c r="BK1035">
        <v>0.99411799999999995</v>
      </c>
      <c r="BL1035">
        <v>0.98378399999999999</v>
      </c>
      <c r="BM1035" t="s">
        <v>125</v>
      </c>
      <c r="BN1035">
        <v>0.99411799999999995</v>
      </c>
      <c r="BO1035">
        <v>0.99459500000000001</v>
      </c>
      <c r="BP1035" t="s">
        <v>125</v>
      </c>
      <c r="BQ1035">
        <v>1</v>
      </c>
      <c r="BR1035">
        <v>4.3640999999999999E-2</v>
      </c>
      <c r="BS1035">
        <v>50</v>
      </c>
      <c r="BT1035">
        <v>50</v>
      </c>
      <c r="BU1035">
        <v>0.107143</v>
      </c>
      <c r="BV1035">
        <v>38.571429000000002</v>
      </c>
      <c r="BW1035">
        <v>50</v>
      </c>
      <c r="BX1035">
        <v>0.98977000000000004</v>
      </c>
      <c r="BY1035">
        <v>50</v>
      </c>
      <c r="BZ1035">
        <v>50</v>
      </c>
      <c r="CA1035">
        <v>0.86189300000000002</v>
      </c>
      <c r="CB1035">
        <v>50</v>
      </c>
      <c r="CC1035">
        <v>50</v>
      </c>
      <c r="CD1035">
        <v>0.98058299999999998</v>
      </c>
      <c r="CE1035">
        <v>50</v>
      </c>
      <c r="CF1035">
        <v>50</v>
      </c>
      <c r="CG1035">
        <v>0.985294</v>
      </c>
      <c r="CH1035">
        <v>100</v>
      </c>
      <c r="CI1035">
        <v>100</v>
      </c>
      <c r="CJ1035">
        <v>0</v>
      </c>
      <c r="CK1035">
        <v>0.96666700000000005</v>
      </c>
      <c r="CL1035">
        <v>100</v>
      </c>
      <c r="CM1035">
        <v>100</v>
      </c>
      <c r="CN1035">
        <v>0.93103400000000003</v>
      </c>
      <c r="CO1035">
        <v>100</v>
      </c>
      <c r="CP1035">
        <v>100</v>
      </c>
      <c r="CQ1035">
        <v>0.83084599999999997</v>
      </c>
      <c r="CR1035">
        <v>0.98048800000000003</v>
      </c>
      <c r="CS1035">
        <v>50</v>
      </c>
      <c r="CT1035">
        <v>50</v>
      </c>
      <c r="CU1035">
        <v>0.70324200000000003</v>
      </c>
      <c r="CV1035">
        <v>50</v>
      </c>
      <c r="CW1035">
        <v>50</v>
      </c>
      <c r="CX1035">
        <v>0.96666700000000005</v>
      </c>
      <c r="CY1035">
        <v>0.94</v>
      </c>
      <c r="CZ1035">
        <v>-2.6667E-2</v>
      </c>
      <c r="DA1035">
        <v>15.314097</v>
      </c>
      <c r="DB1035">
        <v>17.400950000000002</v>
      </c>
      <c r="DC1035">
        <v>16.332519999999999</v>
      </c>
      <c r="DD1035">
        <v>7.9891730000000001</v>
      </c>
      <c r="DE1035">
        <v>0</v>
      </c>
      <c r="DH1035" t="s">
        <v>332</v>
      </c>
      <c r="DI1035" t="s">
        <v>333</v>
      </c>
      <c r="DJ1035">
        <v>1</v>
      </c>
      <c r="DK1035">
        <v>0</v>
      </c>
      <c r="DL1035">
        <v>0</v>
      </c>
      <c r="DM1035">
        <v>0</v>
      </c>
      <c r="DN1035">
        <v>0</v>
      </c>
      <c r="DO1035">
        <v>0</v>
      </c>
      <c r="DQ1035" t="s">
        <v>126</v>
      </c>
    </row>
    <row r="1036" spans="1:121" x14ac:dyDescent="0.15">
      <c r="A1036">
        <v>2018</v>
      </c>
      <c r="B1036" t="s">
        <v>180</v>
      </c>
      <c r="C1036" t="str">
        <f>"1570011"</f>
        <v>1570011</v>
      </c>
      <c r="D1036" t="s">
        <v>1181</v>
      </c>
      <c r="E1036" t="str">
        <f>"1570211"</f>
        <v>1570211</v>
      </c>
      <c r="F1036" t="s">
        <v>328</v>
      </c>
      <c r="G1036">
        <v>3</v>
      </c>
      <c r="H1036">
        <v>5</v>
      </c>
      <c r="J1036" t="s">
        <v>331</v>
      </c>
      <c r="K1036">
        <v>722.20878000000005</v>
      </c>
      <c r="L1036">
        <v>850</v>
      </c>
      <c r="M1036">
        <v>84.965738999999999</v>
      </c>
      <c r="N1036">
        <v>3</v>
      </c>
      <c r="O1036">
        <v>1</v>
      </c>
      <c r="P1036">
        <v>81.784513000000004</v>
      </c>
      <c r="Q1036">
        <v>50</v>
      </c>
      <c r="R1036">
        <v>50</v>
      </c>
      <c r="S1036">
        <v>68.042798000000005</v>
      </c>
      <c r="T1036">
        <v>75</v>
      </c>
      <c r="U1036">
        <v>45.361865999999999</v>
      </c>
      <c r="V1036">
        <v>50</v>
      </c>
      <c r="W1036">
        <v>79.641605999999996</v>
      </c>
      <c r="X1036">
        <v>50</v>
      </c>
      <c r="Y1036">
        <v>50</v>
      </c>
      <c r="Z1036">
        <v>75</v>
      </c>
      <c r="AA1036">
        <v>66.893558999999996</v>
      </c>
      <c r="AB1036">
        <v>44.595706</v>
      </c>
      <c r="AC1036">
        <v>50</v>
      </c>
      <c r="AD1036">
        <v>84.111855000000006</v>
      </c>
      <c r="AE1036">
        <v>50</v>
      </c>
      <c r="AF1036">
        <v>50</v>
      </c>
      <c r="AG1036">
        <v>57.707923999999998</v>
      </c>
      <c r="AH1036">
        <v>75</v>
      </c>
      <c r="AI1036">
        <v>38.47195</v>
      </c>
      <c r="AJ1036">
        <v>50</v>
      </c>
      <c r="AK1036">
        <v>6.95</v>
      </c>
      <c r="AL1036">
        <v>8.1</v>
      </c>
      <c r="AM1036">
        <v>17.29</v>
      </c>
      <c r="AN1036">
        <v>0.758436</v>
      </c>
      <c r="AO1036">
        <v>75.843557000000004</v>
      </c>
      <c r="AP1036">
        <v>100</v>
      </c>
      <c r="AQ1036">
        <v>0.83853999999999995</v>
      </c>
      <c r="AR1036">
        <v>83.854023999999995</v>
      </c>
      <c r="AS1036">
        <v>100</v>
      </c>
      <c r="AT1036">
        <v>0.62065400000000004</v>
      </c>
      <c r="AU1036">
        <v>0.77583899999999995</v>
      </c>
      <c r="AV1036">
        <v>62.065449000000001</v>
      </c>
      <c r="AW1036">
        <v>100</v>
      </c>
      <c r="AX1036">
        <v>0.76484600000000003</v>
      </c>
      <c r="AY1036">
        <v>0.84791499999999997</v>
      </c>
      <c r="AZ1036">
        <v>76.484633000000002</v>
      </c>
      <c r="BA1036">
        <v>100</v>
      </c>
      <c r="BB1036" t="s">
        <v>125</v>
      </c>
      <c r="BC1036" t="s">
        <v>125</v>
      </c>
      <c r="BD1036" t="s">
        <v>125</v>
      </c>
      <c r="BE1036" t="s">
        <v>125</v>
      </c>
      <c r="BF1036" t="s">
        <v>125</v>
      </c>
      <c r="BG1036" t="s">
        <v>125</v>
      </c>
      <c r="BH1036">
        <v>0</v>
      </c>
      <c r="BI1036">
        <v>0.99804300000000001</v>
      </c>
      <c r="BJ1036">
        <v>1</v>
      </c>
      <c r="BK1036">
        <v>0.99767399999999995</v>
      </c>
      <c r="BL1036">
        <v>0.99412900000000004</v>
      </c>
      <c r="BM1036">
        <v>1</v>
      </c>
      <c r="BN1036">
        <v>0.99302299999999999</v>
      </c>
      <c r="BO1036">
        <v>0.99444399999999999</v>
      </c>
      <c r="BP1036">
        <v>1</v>
      </c>
      <c r="BQ1036">
        <v>0.99358999999999997</v>
      </c>
      <c r="BR1036">
        <v>3.7255000000000003E-2</v>
      </c>
      <c r="BS1036">
        <v>50</v>
      </c>
      <c r="BT1036">
        <v>50</v>
      </c>
      <c r="BU1036">
        <v>5.7142999999999999E-2</v>
      </c>
      <c r="BV1036">
        <v>48.571429000000002</v>
      </c>
      <c r="BW1036">
        <v>50</v>
      </c>
      <c r="BX1036" t="s">
        <v>125</v>
      </c>
      <c r="BY1036" t="s">
        <v>125</v>
      </c>
      <c r="BZ1036" t="s">
        <v>125</v>
      </c>
      <c r="CA1036" t="s">
        <v>125</v>
      </c>
      <c r="CB1036" t="s">
        <v>125</v>
      </c>
      <c r="CC1036" t="s">
        <v>125</v>
      </c>
      <c r="CD1036" t="s">
        <v>125</v>
      </c>
      <c r="CE1036" t="s">
        <v>125</v>
      </c>
      <c r="CF1036" t="s">
        <v>125</v>
      </c>
      <c r="CG1036" t="s">
        <v>125</v>
      </c>
      <c r="CH1036" t="s">
        <v>125</v>
      </c>
      <c r="CI1036" t="s">
        <v>125</v>
      </c>
      <c r="CJ1036" t="s">
        <v>125</v>
      </c>
      <c r="CK1036" t="s">
        <v>125</v>
      </c>
      <c r="CL1036" t="s">
        <v>125</v>
      </c>
      <c r="CM1036" t="s">
        <v>125</v>
      </c>
      <c r="CN1036" t="s">
        <v>125</v>
      </c>
      <c r="CO1036" t="s">
        <v>125</v>
      </c>
      <c r="CP1036" t="s">
        <v>125</v>
      </c>
      <c r="CQ1036">
        <v>0.704403</v>
      </c>
      <c r="CR1036">
        <v>0.95783099999999999</v>
      </c>
      <c r="CS1036">
        <v>46.960168000000003</v>
      </c>
      <c r="CT1036">
        <v>50</v>
      </c>
      <c r="CU1036" t="s">
        <v>125</v>
      </c>
      <c r="CV1036" t="s">
        <v>125</v>
      </c>
      <c r="CW1036" t="s">
        <v>125</v>
      </c>
      <c r="CX1036" t="s">
        <v>125</v>
      </c>
      <c r="CY1036" t="s">
        <v>125</v>
      </c>
      <c r="CZ1036" t="s">
        <v>125</v>
      </c>
      <c r="DA1036">
        <v>15.314097</v>
      </c>
      <c r="DB1036">
        <v>17.400950000000002</v>
      </c>
      <c r="DC1036">
        <v>16.332519999999999</v>
      </c>
      <c r="DD1036" t="s">
        <v>125</v>
      </c>
      <c r="DE1036">
        <v>1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Q1036" t="s">
        <v>126</v>
      </c>
    </row>
    <row r="1037" spans="1:121" x14ac:dyDescent="0.15">
      <c r="A1037">
        <v>2018</v>
      </c>
      <c r="B1037" t="s">
        <v>180</v>
      </c>
      <c r="C1037" t="str">
        <f>"1570011"</f>
        <v>1570011</v>
      </c>
      <c r="D1037" t="s">
        <v>1182</v>
      </c>
      <c r="E1037" t="str">
        <f>"1575111"</f>
        <v>1575111</v>
      </c>
      <c r="F1037" t="s">
        <v>328</v>
      </c>
      <c r="G1037">
        <v>6</v>
      </c>
      <c r="H1037">
        <v>8</v>
      </c>
      <c r="J1037" t="s">
        <v>331</v>
      </c>
      <c r="K1037">
        <v>684.80236000000002</v>
      </c>
      <c r="L1037">
        <v>900</v>
      </c>
      <c r="M1037">
        <v>76.089151000000001</v>
      </c>
      <c r="N1037">
        <v>3</v>
      </c>
      <c r="O1037">
        <v>1</v>
      </c>
      <c r="P1037">
        <v>78.217055999999999</v>
      </c>
      <c r="Q1037">
        <v>50</v>
      </c>
      <c r="R1037">
        <v>50</v>
      </c>
      <c r="S1037">
        <v>57.791696999999999</v>
      </c>
      <c r="T1037">
        <v>75</v>
      </c>
      <c r="U1037">
        <v>38.527797999999997</v>
      </c>
      <c r="V1037">
        <v>50</v>
      </c>
      <c r="W1037">
        <v>75.500684000000007</v>
      </c>
      <c r="X1037">
        <v>50</v>
      </c>
      <c r="Y1037">
        <v>50</v>
      </c>
      <c r="Z1037">
        <v>75</v>
      </c>
      <c r="AA1037">
        <v>54.712654000000001</v>
      </c>
      <c r="AB1037">
        <v>36.475102</v>
      </c>
      <c r="AC1037">
        <v>50</v>
      </c>
      <c r="AD1037">
        <v>78.766541000000004</v>
      </c>
      <c r="AE1037">
        <v>50</v>
      </c>
      <c r="AF1037">
        <v>50</v>
      </c>
      <c r="AG1037">
        <v>60.396489000000003</v>
      </c>
      <c r="AH1037">
        <v>75</v>
      </c>
      <c r="AI1037">
        <v>40.264325999999997</v>
      </c>
      <c r="AJ1037">
        <v>50</v>
      </c>
      <c r="AK1037">
        <v>17.2</v>
      </c>
      <c r="AL1037">
        <v>20.28</v>
      </c>
      <c r="AM1037">
        <v>14.6</v>
      </c>
      <c r="AN1037">
        <v>0.58064800000000005</v>
      </c>
      <c r="AO1037">
        <v>58.064802999999998</v>
      </c>
      <c r="AP1037">
        <v>100</v>
      </c>
      <c r="AQ1037">
        <v>0.70198199999999999</v>
      </c>
      <c r="AR1037">
        <v>70.198248000000007</v>
      </c>
      <c r="AS1037">
        <v>100</v>
      </c>
      <c r="AT1037">
        <v>0.47521000000000002</v>
      </c>
      <c r="AU1037">
        <v>0.59438199999999997</v>
      </c>
      <c r="AV1037">
        <v>47.520991000000002</v>
      </c>
      <c r="AW1037">
        <v>100</v>
      </c>
      <c r="AX1037">
        <v>0.59097299999999997</v>
      </c>
      <c r="AY1037">
        <v>0.71653299999999998</v>
      </c>
      <c r="AZ1037">
        <v>59.097333999999996</v>
      </c>
      <c r="BA1037">
        <v>100</v>
      </c>
      <c r="BB1037" t="s">
        <v>125</v>
      </c>
      <c r="BC1037" t="s">
        <v>125</v>
      </c>
      <c r="BD1037" t="s">
        <v>125</v>
      </c>
      <c r="BE1037" t="s">
        <v>125</v>
      </c>
      <c r="BF1037" t="s">
        <v>125</v>
      </c>
      <c r="BG1037" t="s">
        <v>125</v>
      </c>
      <c r="BH1037">
        <v>0</v>
      </c>
      <c r="BI1037">
        <v>0.984402</v>
      </c>
      <c r="BJ1037">
        <v>0.95945899999999995</v>
      </c>
      <c r="BK1037">
        <v>0.98807199999999995</v>
      </c>
      <c r="BL1037">
        <v>0.98093600000000003</v>
      </c>
      <c r="BM1037">
        <v>0.95945899999999995</v>
      </c>
      <c r="BN1037">
        <v>0.98409500000000005</v>
      </c>
      <c r="BO1037">
        <v>0.98429299999999997</v>
      </c>
      <c r="BP1037">
        <v>1</v>
      </c>
      <c r="BQ1037">
        <v>0.98181799999999997</v>
      </c>
      <c r="BR1037">
        <v>6.6087000000000007E-2</v>
      </c>
      <c r="BS1037">
        <v>46.782609000000001</v>
      </c>
      <c r="BT1037">
        <v>50</v>
      </c>
      <c r="BU1037">
        <v>7.1429000000000006E-2</v>
      </c>
      <c r="BV1037">
        <v>45.714286000000001</v>
      </c>
      <c r="BW1037">
        <v>50</v>
      </c>
      <c r="BX1037" t="s">
        <v>125</v>
      </c>
      <c r="BY1037" t="s">
        <v>125</v>
      </c>
      <c r="BZ1037" t="s">
        <v>125</v>
      </c>
      <c r="CA1037" t="s">
        <v>125</v>
      </c>
      <c r="CB1037" t="s">
        <v>125</v>
      </c>
      <c r="CC1037" t="s">
        <v>125</v>
      </c>
      <c r="CD1037">
        <v>0.99481900000000001</v>
      </c>
      <c r="CE1037">
        <v>50</v>
      </c>
      <c r="CF1037">
        <v>50</v>
      </c>
      <c r="CG1037" t="s">
        <v>125</v>
      </c>
      <c r="CH1037" t="s">
        <v>125</v>
      </c>
      <c r="CI1037" t="s">
        <v>125</v>
      </c>
      <c r="CJ1037" t="s">
        <v>125</v>
      </c>
      <c r="CK1037" t="s">
        <v>125</v>
      </c>
      <c r="CL1037" t="s">
        <v>125</v>
      </c>
      <c r="CM1037" t="s">
        <v>125</v>
      </c>
      <c r="CN1037" t="s">
        <v>125</v>
      </c>
      <c r="CO1037" t="s">
        <v>125</v>
      </c>
      <c r="CP1037" t="s">
        <v>125</v>
      </c>
      <c r="CQ1037">
        <v>0.63235300000000005</v>
      </c>
      <c r="CR1037">
        <v>0.906667</v>
      </c>
      <c r="CS1037">
        <v>42.156863000000001</v>
      </c>
      <c r="CT1037">
        <v>50</v>
      </c>
      <c r="CU1037" t="s">
        <v>125</v>
      </c>
      <c r="CV1037" t="s">
        <v>125</v>
      </c>
      <c r="CW1037" t="s">
        <v>125</v>
      </c>
      <c r="CX1037" t="s">
        <v>125</v>
      </c>
      <c r="CY1037" t="s">
        <v>125</v>
      </c>
      <c r="CZ1037" t="s">
        <v>125</v>
      </c>
      <c r="DA1037">
        <v>15.314097</v>
      </c>
      <c r="DB1037">
        <v>17.400950000000002</v>
      </c>
      <c r="DC1037">
        <v>16.332519999999999</v>
      </c>
      <c r="DD1037" t="s">
        <v>125</v>
      </c>
      <c r="DE1037">
        <v>1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Q1037" t="s">
        <v>126</v>
      </c>
    </row>
    <row r="1038" spans="1:121" x14ac:dyDescent="0.15">
      <c r="A1038">
        <v>2018</v>
      </c>
      <c r="B1038" t="s">
        <v>238</v>
      </c>
      <c r="C1038" t="str">
        <f t="shared" ref="C1038:C1045" si="48">"1580011"</f>
        <v>1580011</v>
      </c>
      <c r="D1038" t="s">
        <v>1183</v>
      </c>
      <c r="E1038" t="str">
        <f>"1585111"</f>
        <v>1585111</v>
      </c>
      <c r="F1038" t="s">
        <v>328</v>
      </c>
      <c r="G1038">
        <v>6</v>
      </c>
      <c r="H1038">
        <v>8</v>
      </c>
      <c r="J1038" t="s">
        <v>331</v>
      </c>
      <c r="K1038">
        <v>701.67428299999995</v>
      </c>
      <c r="L1038">
        <v>900</v>
      </c>
      <c r="M1038">
        <v>77.963808999999998</v>
      </c>
      <c r="N1038">
        <v>3</v>
      </c>
      <c r="O1038">
        <v>0</v>
      </c>
      <c r="P1038">
        <v>82.422020000000003</v>
      </c>
      <c r="Q1038">
        <v>50</v>
      </c>
      <c r="R1038">
        <v>50</v>
      </c>
      <c r="S1038">
        <v>64.055156999999994</v>
      </c>
      <c r="T1038">
        <v>75</v>
      </c>
      <c r="U1038">
        <v>42.703437999999998</v>
      </c>
      <c r="V1038">
        <v>50</v>
      </c>
      <c r="W1038">
        <v>83.952557999999996</v>
      </c>
      <c r="X1038">
        <v>50</v>
      </c>
      <c r="Y1038">
        <v>50</v>
      </c>
      <c r="Z1038">
        <v>75</v>
      </c>
      <c r="AA1038">
        <v>62.752319</v>
      </c>
      <c r="AB1038">
        <v>41.834879000000001</v>
      </c>
      <c r="AC1038">
        <v>50</v>
      </c>
      <c r="AD1038">
        <v>79.230130000000003</v>
      </c>
      <c r="AE1038">
        <v>50</v>
      </c>
      <c r="AF1038">
        <v>50</v>
      </c>
      <c r="AG1038">
        <v>59.252268999999998</v>
      </c>
      <c r="AH1038">
        <v>75</v>
      </c>
      <c r="AI1038">
        <v>39.501511999999998</v>
      </c>
      <c r="AJ1038">
        <v>50</v>
      </c>
      <c r="AK1038">
        <v>10.94</v>
      </c>
      <c r="AL1038">
        <v>12.24</v>
      </c>
      <c r="AM1038">
        <v>15.74</v>
      </c>
      <c r="AN1038">
        <v>0.58340700000000001</v>
      </c>
      <c r="AO1038">
        <v>58.340665000000001</v>
      </c>
      <c r="AP1038">
        <v>100</v>
      </c>
      <c r="AQ1038">
        <v>0.80336300000000005</v>
      </c>
      <c r="AR1038">
        <v>80.336260999999993</v>
      </c>
      <c r="AS1038">
        <v>100</v>
      </c>
      <c r="AT1038">
        <v>0.53756000000000004</v>
      </c>
      <c r="AU1038">
        <v>0.59173600000000004</v>
      </c>
      <c r="AV1038">
        <v>53.755972999999997</v>
      </c>
      <c r="AW1038">
        <v>100</v>
      </c>
      <c r="AX1038">
        <v>0.60236999999999996</v>
      </c>
      <c r="AY1038">
        <v>0.84012600000000004</v>
      </c>
      <c r="AZ1038">
        <v>60.236969999999999</v>
      </c>
      <c r="BA1038">
        <v>100</v>
      </c>
      <c r="BB1038" t="s">
        <v>125</v>
      </c>
      <c r="BC1038" t="s">
        <v>125</v>
      </c>
      <c r="BD1038" t="s">
        <v>125</v>
      </c>
      <c r="BE1038" t="s">
        <v>125</v>
      </c>
      <c r="BF1038" t="s">
        <v>125</v>
      </c>
      <c r="BG1038" t="s">
        <v>125</v>
      </c>
      <c r="BH1038">
        <v>1</v>
      </c>
      <c r="BI1038">
        <v>0.97192999999999996</v>
      </c>
      <c r="BJ1038">
        <v>0.94078899999999999</v>
      </c>
      <c r="BK1038">
        <v>0.97866299999999995</v>
      </c>
      <c r="BL1038">
        <v>0.97426900000000005</v>
      </c>
      <c r="BM1038">
        <v>0.94736799999999999</v>
      </c>
      <c r="BN1038">
        <v>0.98008499999999998</v>
      </c>
      <c r="BO1038">
        <v>0.96917799999999998</v>
      </c>
      <c r="BP1038">
        <v>0.92682900000000001</v>
      </c>
      <c r="BQ1038">
        <v>0.97609599999999996</v>
      </c>
      <c r="BR1038">
        <v>4.6783999999999999E-2</v>
      </c>
      <c r="BS1038">
        <v>50</v>
      </c>
      <c r="BT1038">
        <v>50</v>
      </c>
      <c r="BU1038">
        <v>0.119718</v>
      </c>
      <c r="BV1038">
        <v>36.056337999999997</v>
      </c>
      <c r="BW1038">
        <v>50</v>
      </c>
      <c r="BX1038" t="s">
        <v>125</v>
      </c>
      <c r="BY1038" t="s">
        <v>125</v>
      </c>
      <c r="BZ1038" t="s">
        <v>125</v>
      </c>
      <c r="CA1038" t="s">
        <v>125</v>
      </c>
      <c r="CB1038" t="s">
        <v>125</v>
      </c>
      <c r="CC1038" t="s">
        <v>125</v>
      </c>
      <c r="CD1038">
        <v>0.985348</v>
      </c>
      <c r="CE1038">
        <v>50</v>
      </c>
      <c r="CF1038">
        <v>50</v>
      </c>
      <c r="CG1038" t="s">
        <v>125</v>
      </c>
      <c r="CH1038" t="s">
        <v>125</v>
      </c>
      <c r="CI1038" t="s">
        <v>125</v>
      </c>
      <c r="CJ1038" t="s">
        <v>125</v>
      </c>
      <c r="CK1038" t="s">
        <v>125</v>
      </c>
      <c r="CL1038" t="s">
        <v>125</v>
      </c>
      <c r="CM1038" t="s">
        <v>125</v>
      </c>
      <c r="CN1038" t="s">
        <v>125</v>
      </c>
      <c r="CO1038" t="s">
        <v>125</v>
      </c>
      <c r="CP1038" t="s">
        <v>125</v>
      </c>
      <c r="CQ1038">
        <v>0.58362400000000003</v>
      </c>
      <c r="CR1038">
        <v>1.0017450000000001</v>
      </c>
      <c r="CS1038">
        <v>38.908245999999998</v>
      </c>
      <c r="CT1038">
        <v>50</v>
      </c>
      <c r="CU1038" t="s">
        <v>125</v>
      </c>
      <c r="CV1038" t="s">
        <v>125</v>
      </c>
      <c r="CW1038" t="s">
        <v>125</v>
      </c>
      <c r="CX1038" t="s">
        <v>125</v>
      </c>
      <c r="CY1038" t="s">
        <v>125</v>
      </c>
      <c r="CZ1038" t="s">
        <v>125</v>
      </c>
      <c r="DA1038">
        <v>15.314097</v>
      </c>
      <c r="DB1038">
        <v>17.400950000000002</v>
      </c>
      <c r="DC1038">
        <v>16.332519999999999</v>
      </c>
      <c r="DD1038" t="s">
        <v>125</v>
      </c>
      <c r="DE1038">
        <v>1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Q1038" t="s">
        <v>126</v>
      </c>
    </row>
    <row r="1039" spans="1:121" x14ac:dyDescent="0.15">
      <c r="A1039">
        <v>2018</v>
      </c>
      <c r="B1039" t="s">
        <v>238</v>
      </c>
      <c r="C1039" t="str">
        <f t="shared" si="48"/>
        <v>1580011</v>
      </c>
      <c r="D1039" t="s">
        <v>1184</v>
      </c>
      <c r="E1039" t="str">
        <f>"1580311"</f>
        <v>1580311</v>
      </c>
      <c r="F1039" t="s">
        <v>328</v>
      </c>
      <c r="G1039" t="s">
        <v>339</v>
      </c>
      <c r="H1039">
        <v>5</v>
      </c>
      <c r="J1039" t="s">
        <v>331</v>
      </c>
      <c r="K1039">
        <v>543.75208599999996</v>
      </c>
      <c r="L1039">
        <v>600</v>
      </c>
      <c r="M1039">
        <v>90.625348000000002</v>
      </c>
      <c r="N1039">
        <v>1</v>
      </c>
      <c r="O1039">
        <v>0</v>
      </c>
      <c r="P1039">
        <v>86.893356999999995</v>
      </c>
      <c r="Q1039">
        <v>50</v>
      </c>
      <c r="R1039">
        <v>50</v>
      </c>
      <c r="S1039">
        <v>65.996401000000006</v>
      </c>
      <c r="T1039">
        <v>75</v>
      </c>
      <c r="U1039">
        <v>43.997601000000003</v>
      </c>
      <c r="V1039">
        <v>50</v>
      </c>
      <c r="W1039">
        <v>84.429809000000006</v>
      </c>
      <c r="X1039">
        <v>50</v>
      </c>
      <c r="Y1039">
        <v>50</v>
      </c>
      <c r="Z1039">
        <v>75</v>
      </c>
      <c r="AA1039">
        <v>68.031126999999998</v>
      </c>
      <c r="AB1039">
        <v>45.354084</v>
      </c>
      <c r="AC1039">
        <v>50</v>
      </c>
      <c r="AD1039">
        <v>77.457690999999997</v>
      </c>
      <c r="AE1039">
        <v>50</v>
      </c>
      <c r="AF1039">
        <v>50</v>
      </c>
      <c r="AG1039" t="s">
        <v>125</v>
      </c>
      <c r="AH1039">
        <v>75</v>
      </c>
      <c r="AI1039" t="s">
        <v>125</v>
      </c>
      <c r="AJ1039" t="s">
        <v>125</v>
      </c>
      <c r="AK1039">
        <v>9</v>
      </c>
      <c r="AL1039">
        <v>6.96</v>
      </c>
      <c r="AM1039" t="s">
        <v>125</v>
      </c>
      <c r="AN1039">
        <v>0.89412499999999995</v>
      </c>
      <c r="AO1039">
        <v>89.412469999999999</v>
      </c>
      <c r="AP1039">
        <v>100</v>
      </c>
      <c r="AQ1039">
        <v>0.83247300000000002</v>
      </c>
      <c r="AR1039">
        <v>83.247305999999995</v>
      </c>
      <c r="AS1039">
        <v>100</v>
      </c>
      <c r="AT1039" t="s">
        <v>125</v>
      </c>
      <c r="AU1039">
        <v>0.91951799999999995</v>
      </c>
      <c r="AV1039" t="s">
        <v>125</v>
      </c>
      <c r="AW1039" t="s">
        <v>125</v>
      </c>
      <c r="AX1039" t="s">
        <v>125</v>
      </c>
      <c r="AY1039">
        <v>0.84981799999999996</v>
      </c>
      <c r="AZ1039" t="s">
        <v>125</v>
      </c>
      <c r="BA1039" t="s">
        <v>125</v>
      </c>
      <c r="BB1039" t="s">
        <v>125</v>
      </c>
      <c r="BC1039" t="s">
        <v>125</v>
      </c>
      <c r="BD1039" t="s">
        <v>125</v>
      </c>
      <c r="BE1039" t="s">
        <v>125</v>
      </c>
      <c r="BF1039" t="s">
        <v>125</v>
      </c>
      <c r="BG1039" t="s">
        <v>125</v>
      </c>
      <c r="BH1039">
        <v>0</v>
      </c>
      <c r="BI1039">
        <v>0.99489799999999995</v>
      </c>
      <c r="BJ1039">
        <v>0.96296300000000001</v>
      </c>
      <c r="BK1039">
        <v>1</v>
      </c>
      <c r="BL1039">
        <v>0.99489799999999995</v>
      </c>
      <c r="BM1039">
        <v>0.96296300000000001</v>
      </c>
      <c r="BN1039">
        <v>1</v>
      </c>
      <c r="BO1039">
        <v>0.98571399999999998</v>
      </c>
      <c r="BP1039" t="s">
        <v>125</v>
      </c>
      <c r="BQ1039">
        <v>1</v>
      </c>
      <c r="BR1039">
        <v>4.3928000000000002E-2</v>
      </c>
      <c r="BS1039">
        <v>50</v>
      </c>
      <c r="BT1039">
        <v>50</v>
      </c>
      <c r="BU1039">
        <v>7.8431000000000001E-2</v>
      </c>
      <c r="BV1039">
        <v>44.313724999999998</v>
      </c>
      <c r="BW1039">
        <v>50</v>
      </c>
      <c r="BX1039" t="s">
        <v>125</v>
      </c>
      <c r="BY1039" t="s">
        <v>125</v>
      </c>
      <c r="BZ1039" t="s">
        <v>125</v>
      </c>
      <c r="CA1039" t="s">
        <v>125</v>
      </c>
      <c r="CB1039" t="s">
        <v>125</v>
      </c>
      <c r="CC1039" t="s">
        <v>125</v>
      </c>
      <c r="CD1039" t="s">
        <v>125</v>
      </c>
      <c r="CE1039" t="s">
        <v>125</v>
      </c>
      <c r="CF1039" t="s">
        <v>125</v>
      </c>
      <c r="CG1039" t="s">
        <v>125</v>
      </c>
      <c r="CH1039" t="s">
        <v>125</v>
      </c>
      <c r="CI1039" t="s">
        <v>125</v>
      </c>
      <c r="CJ1039" t="s">
        <v>125</v>
      </c>
      <c r="CK1039" t="s">
        <v>125</v>
      </c>
      <c r="CL1039" t="s">
        <v>125</v>
      </c>
      <c r="CM1039" t="s">
        <v>125</v>
      </c>
      <c r="CN1039" t="s">
        <v>125</v>
      </c>
      <c r="CO1039" t="s">
        <v>125</v>
      </c>
      <c r="CP1039" t="s">
        <v>125</v>
      </c>
      <c r="CQ1039">
        <v>0.56140400000000001</v>
      </c>
      <c r="CR1039">
        <v>1</v>
      </c>
      <c r="CS1039">
        <v>37.426901000000001</v>
      </c>
      <c r="CT1039">
        <v>50</v>
      </c>
      <c r="CU1039" t="s">
        <v>125</v>
      </c>
      <c r="CV1039" t="s">
        <v>125</v>
      </c>
      <c r="CW1039" t="s">
        <v>125</v>
      </c>
      <c r="CX1039" t="s">
        <v>125</v>
      </c>
      <c r="CY1039" t="s">
        <v>125</v>
      </c>
      <c r="CZ1039" t="s">
        <v>125</v>
      </c>
      <c r="DA1039">
        <v>15.314097</v>
      </c>
      <c r="DB1039">
        <v>17.400950000000002</v>
      </c>
      <c r="DC1039">
        <v>16.332519999999999</v>
      </c>
      <c r="DD1039" t="s">
        <v>125</v>
      </c>
      <c r="DE1039">
        <v>0</v>
      </c>
      <c r="DH1039" t="s">
        <v>332</v>
      </c>
      <c r="DI1039" t="s">
        <v>333</v>
      </c>
      <c r="DJ1039">
        <v>1</v>
      </c>
      <c r="DK1039">
        <v>0</v>
      </c>
      <c r="DL1039">
        <v>0</v>
      </c>
      <c r="DM1039">
        <v>0</v>
      </c>
      <c r="DN1039">
        <v>0</v>
      </c>
      <c r="DO1039">
        <v>0</v>
      </c>
      <c r="DQ1039" t="s">
        <v>126</v>
      </c>
    </row>
    <row r="1040" spans="1:121" x14ac:dyDescent="0.15">
      <c r="A1040">
        <v>2018</v>
      </c>
      <c r="B1040" t="s">
        <v>238</v>
      </c>
      <c r="C1040" t="str">
        <f t="shared" si="48"/>
        <v>1580011</v>
      </c>
      <c r="D1040" t="s">
        <v>1185</v>
      </c>
      <c r="E1040" t="str">
        <f>"1585311"</f>
        <v>1585311</v>
      </c>
      <c r="F1040" t="s">
        <v>328</v>
      </c>
      <c r="G1040">
        <v>6</v>
      </c>
      <c r="H1040">
        <v>8</v>
      </c>
      <c r="J1040" t="s">
        <v>331</v>
      </c>
      <c r="K1040">
        <v>659.09699599999999</v>
      </c>
      <c r="L1040">
        <v>900</v>
      </c>
      <c r="M1040">
        <v>73.233000000000004</v>
      </c>
      <c r="N1040">
        <v>3</v>
      </c>
      <c r="O1040">
        <v>1</v>
      </c>
      <c r="P1040">
        <v>81.324499000000003</v>
      </c>
      <c r="Q1040">
        <v>50</v>
      </c>
      <c r="R1040">
        <v>50</v>
      </c>
      <c r="S1040">
        <v>60.832439999999998</v>
      </c>
      <c r="T1040">
        <v>75</v>
      </c>
      <c r="U1040">
        <v>40.554960000000001</v>
      </c>
      <c r="V1040">
        <v>50</v>
      </c>
      <c r="W1040">
        <v>81.308897999999999</v>
      </c>
      <c r="X1040">
        <v>50</v>
      </c>
      <c r="Y1040">
        <v>50</v>
      </c>
      <c r="Z1040">
        <v>75</v>
      </c>
      <c r="AA1040">
        <v>56.038038</v>
      </c>
      <c r="AB1040">
        <v>37.358691999999998</v>
      </c>
      <c r="AC1040">
        <v>50</v>
      </c>
      <c r="AD1040">
        <v>76.880088999999998</v>
      </c>
      <c r="AE1040">
        <v>50</v>
      </c>
      <c r="AF1040">
        <v>50</v>
      </c>
      <c r="AG1040">
        <v>54.863447999999998</v>
      </c>
      <c r="AH1040">
        <v>75</v>
      </c>
      <c r="AI1040">
        <v>36.575631999999999</v>
      </c>
      <c r="AJ1040">
        <v>50</v>
      </c>
      <c r="AK1040">
        <v>14.16</v>
      </c>
      <c r="AL1040">
        <v>18.96</v>
      </c>
      <c r="AM1040">
        <v>20.13</v>
      </c>
      <c r="AN1040">
        <v>0.58643800000000001</v>
      </c>
      <c r="AO1040">
        <v>58.643836</v>
      </c>
      <c r="AP1040">
        <v>100</v>
      </c>
      <c r="AQ1040">
        <v>0.773312</v>
      </c>
      <c r="AR1040">
        <v>77.331211999999994</v>
      </c>
      <c r="AS1040">
        <v>100</v>
      </c>
      <c r="AT1040">
        <v>0.53356599999999998</v>
      </c>
      <c r="AU1040">
        <v>0.59593600000000002</v>
      </c>
      <c r="AV1040">
        <v>53.356577000000001</v>
      </c>
      <c r="AW1040">
        <v>100</v>
      </c>
      <c r="AX1040">
        <v>0.59986099999999998</v>
      </c>
      <c r="AY1040">
        <v>0.80447100000000005</v>
      </c>
      <c r="AZ1040">
        <v>59.986103</v>
      </c>
      <c r="BA1040">
        <v>100</v>
      </c>
      <c r="BB1040" t="s">
        <v>125</v>
      </c>
      <c r="BC1040" t="s">
        <v>125</v>
      </c>
      <c r="BD1040" t="s">
        <v>125</v>
      </c>
      <c r="BE1040" t="s">
        <v>125</v>
      </c>
      <c r="BF1040" t="s">
        <v>125</v>
      </c>
      <c r="BG1040" t="s">
        <v>125</v>
      </c>
      <c r="BH1040">
        <v>1</v>
      </c>
      <c r="BI1040">
        <v>0.90088100000000004</v>
      </c>
      <c r="BJ1040">
        <v>0.83333299999999999</v>
      </c>
      <c r="BK1040">
        <v>0.91489399999999999</v>
      </c>
      <c r="BL1040">
        <v>0.90528600000000004</v>
      </c>
      <c r="BM1040">
        <v>0.85897400000000002</v>
      </c>
      <c r="BN1040">
        <v>0.91489399999999999</v>
      </c>
      <c r="BO1040">
        <v>0.96318999999999999</v>
      </c>
      <c r="BP1040">
        <v>0.92592600000000003</v>
      </c>
      <c r="BQ1040">
        <v>0.97058800000000001</v>
      </c>
      <c r="BR1040">
        <v>7.0485000000000006E-2</v>
      </c>
      <c r="BS1040">
        <v>45.903084</v>
      </c>
      <c r="BT1040">
        <v>50</v>
      </c>
      <c r="BU1040">
        <v>0.17283999999999999</v>
      </c>
      <c r="BV1040">
        <v>25.432099000000001</v>
      </c>
      <c r="BW1040">
        <v>50</v>
      </c>
      <c r="BX1040" t="s">
        <v>125</v>
      </c>
      <c r="BY1040" t="s">
        <v>125</v>
      </c>
      <c r="BZ1040" t="s">
        <v>125</v>
      </c>
      <c r="CA1040" t="s">
        <v>125</v>
      </c>
      <c r="CB1040" t="s">
        <v>125</v>
      </c>
      <c r="CC1040" t="s">
        <v>125</v>
      </c>
      <c r="CD1040">
        <v>1</v>
      </c>
      <c r="CE1040">
        <v>50</v>
      </c>
      <c r="CF1040">
        <v>50</v>
      </c>
      <c r="CG1040" t="s">
        <v>125</v>
      </c>
      <c r="CH1040" t="s">
        <v>125</v>
      </c>
      <c r="CI1040" t="s">
        <v>125</v>
      </c>
      <c r="CJ1040" t="s">
        <v>125</v>
      </c>
      <c r="CK1040" t="s">
        <v>125</v>
      </c>
      <c r="CL1040" t="s">
        <v>125</v>
      </c>
      <c r="CM1040" t="s">
        <v>125</v>
      </c>
      <c r="CN1040" t="s">
        <v>125</v>
      </c>
      <c r="CO1040" t="s">
        <v>125</v>
      </c>
      <c r="CP1040" t="s">
        <v>125</v>
      </c>
      <c r="CQ1040">
        <v>0.35932199999999997</v>
      </c>
      <c r="CR1040">
        <v>0.96091199999999999</v>
      </c>
      <c r="CS1040">
        <v>23.954802000000001</v>
      </c>
      <c r="CT1040">
        <v>50</v>
      </c>
      <c r="CU1040" t="s">
        <v>125</v>
      </c>
      <c r="CV1040" t="s">
        <v>125</v>
      </c>
      <c r="CW1040" t="s">
        <v>125</v>
      </c>
      <c r="CX1040" t="s">
        <v>125</v>
      </c>
      <c r="CY1040" t="s">
        <v>125</v>
      </c>
      <c r="CZ1040" t="s">
        <v>125</v>
      </c>
      <c r="DA1040">
        <v>15.314097</v>
      </c>
      <c r="DB1040">
        <v>17.400950000000002</v>
      </c>
      <c r="DC1040">
        <v>16.332519999999999</v>
      </c>
      <c r="DD1040" t="s">
        <v>125</v>
      </c>
      <c r="DE1040">
        <v>1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Q1040" t="s">
        <v>126</v>
      </c>
    </row>
    <row r="1041" spans="1:121" x14ac:dyDescent="0.15">
      <c r="A1041">
        <v>2018</v>
      </c>
      <c r="B1041" t="s">
        <v>238</v>
      </c>
      <c r="C1041" t="str">
        <f t="shared" si="48"/>
        <v>1580011</v>
      </c>
      <c r="D1041" t="s">
        <v>1186</v>
      </c>
      <c r="E1041" t="str">
        <f>"1580411"</f>
        <v>1580411</v>
      </c>
      <c r="F1041" t="s">
        <v>328</v>
      </c>
      <c r="G1041" t="s">
        <v>339</v>
      </c>
      <c r="H1041">
        <v>5</v>
      </c>
      <c r="J1041" t="s">
        <v>331</v>
      </c>
      <c r="K1041">
        <v>537.349559</v>
      </c>
      <c r="L1041">
        <v>600</v>
      </c>
      <c r="M1041">
        <v>89.558260000000004</v>
      </c>
      <c r="N1041">
        <v>1</v>
      </c>
      <c r="O1041">
        <v>0</v>
      </c>
      <c r="P1041">
        <v>88.535722000000007</v>
      </c>
      <c r="Q1041">
        <v>50</v>
      </c>
      <c r="R1041">
        <v>50</v>
      </c>
      <c r="S1041">
        <v>71.498317999999998</v>
      </c>
      <c r="T1041">
        <v>75</v>
      </c>
      <c r="U1041">
        <v>47.665545999999999</v>
      </c>
      <c r="V1041">
        <v>50</v>
      </c>
      <c r="W1041">
        <v>86.660274999999999</v>
      </c>
      <c r="X1041">
        <v>50</v>
      </c>
      <c r="Y1041">
        <v>50</v>
      </c>
      <c r="Z1041">
        <v>75</v>
      </c>
      <c r="AA1041">
        <v>66.265876000000006</v>
      </c>
      <c r="AB1041">
        <v>44.177250000000001</v>
      </c>
      <c r="AC1041">
        <v>50</v>
      </c>
      <c r="AD1041">
        <v>77.902816999999999</v>
      </c>
      <c r="AE1041">
        <v>50</v>
      </c>
      <c r="AF1041">
        <v>50</v>
      </c>
      <c r="AG1041" t="s">
        <v>125</v>
      </c>
      <c r="AH1041">
        <v>75</v>
      </c>
      <c r="AI1041" t="s">
        <v>125</v>
      </c>
      <c r="AJ1041" t="s">
        <v>125</v>
      </c>
      <c r="AK1041">
        <v>3.5</v>
      </c>
      <c r="AL1041">
        <v>8.73</v>
      </c>
      <c r="AM1041" t="s">
        <v>125</v>
      </c>
      <c r="AN1041">
        <v>0.80050299999999996</v>
      </c>
      <c r="AO1041">
        <v>80.050336999999999</v>
      </c>
      <c r="AP1041">
        <v>100</v>
      </c>
      <c r="AQ1041">
        <v>0.87484899999999999</v>
      </c>
      <c r="AR1041">
        <v>87.484943999999999</v>
      </c>
      <c r="AS1041">
        <v>100</v>
      </c>
      <c r="AT1041" t="s">
        <v>125</v>
      </c>
      <c r="AU1041">
        <v>0.83686700000000003</v>
      </c>
      <c r="AV1041" t="s">
        <v>125</v>
      </c>
      <c r="AW1041" t="s">
        <v>125</v>
      </c>
      <c r="AX1041" t="s">
        <v>125</v>
      </c>
      <c r="AY1041">
        <v>0.902783</v>
      </c>
      <c r="AZ1041" t="s">
        <v>125</v>
      </c>
      <c r="BA1041" t="s">
        <v>125</v>
      </c>
      <c r="BB1041" t="s">
        <v>125</v>
      </c>
      <c r="BC1041" t="s">
        <v>125</v>
      </c>
      <c r="BD1041" t="s">
        <v>125</v>
      </c>
      <c r="BE1041" t="s">
        <v>125</v>
      </c>
      <c r="BF1041" t="s">
        <v>125</v>
      </c>
      <c r="BG1041" t="s">
        <v>125</v>
      </c>
      <c r="BH1041">
        <v>0</v>
      </c>
      <c r="BI1041">
        <v>0.97619</v>
      </c>
      <c r="BJ1041">
        <v>0.96666700000000005</v>
      </c>
      <c r="BK1041">
        <v>0.97777800000000004</v>
      </c>
      <c r="BL1041">
        <v>0.97619</v>
      </c>
      <c r="BM1041">
        <v>0.96666700000000005</v>
      </c>
      <c r="BN1041">
        <v>0.97777800000000004</v>
      </c>
      <c r="BO1041">
        <v>0.97530899999999998</v>
      </c>
      <c r="BP1041" t="s">
        <v>125</v>
      </c>
      <c r="BQ1041">
        <v>0.98461500000000002</v>
      </c>
      <c r="BR1041">
        <v>3.8071000000000001E-2</v>
      </c>
      <c r="BS1041">
        <v>50</v>
      </c>
      <c r="BT1041">
        <v>50</v>
      </c>
      <c r="BU1041">
        <v>8.4746000000000002E-2</v>
      </c>
      <c r="BV1041">
        <v>43.050846999999997</v>
      </c>
      <c r="BW1041">
        <v>50</v>
      </c>
      <c r="BX1041" t="s">
        <v>125</v>
      </c>
      <c r="BY1041" t="s">
        <v>125</v>
      </c>
      <c r="BZ1041" t="s">
        <v>125</v>
      </c>
      <c r="CA1041" t="s">
        <v>125</v>
      </c>
      <c r="CB1041" t="s">
        <v>125</v>
      </c>
      <c r="CC1041" t="s">
        <v>125</v>
      </c>
      <c r="CD1041" t="s">
        <v>125</v>
      </c>
      <c r="CE1041" t="s">
        <v>125</v>
      </c>
      <c r="CF1041" t="s">
        <v>125</v>
      </c>
      <c r="CG1041" t="s">
        <v>125</v>
      </c>
      <c r="CH1041" t="s">
        <v>125</v>
      </c>
      <c r="CI1041" t="s">
        <v>125</v>
      </c>
      <c r="CJ1041" t="s">
        <v>125</v>
      </c>
      <c r="CK1041" t="s">
        <v>125</v>
      </c>
      <c r="CL1041" t="s">
        <v>125</v>
      </c>
      <c r="CM1041" t="s">
        <v>125</v>
      </c>
      <c r="CN1041" t="s">
        <v>125</v>
      </c>
      <c r="CO1041" t="s">
        <v>125</v>
      </c>
      <c r="CP1041" t="s">
        <v>125</v>
      </c>
      <c r="CQ1041">
        <v>0.52381</v>
      </c>
      <c r="CR1041">
        <v>0.984375</v>
      </c>
      <c r="CS1041">
        <v>34.920634999999997</v>
      </c>
      <c r="CT1041">
        <v>50</v>
      </c>
      <c r="CU1041" t="s">
        <v>125</v>
      </c>
      <c r="CV1041" t="s">
        <v>125</v>
      </c>
      <c r="CW1041" t="s">
        <v>125</v>
      </c>
      <c r="CX1041" t="s">
        <v>125</v>
      </c>
      <c r="CY1041" t="s">
        <v>125</v>
      </c>
      <c r="CZ1041" t="s">
        <v>125</v>
      </c>
      <c r="DA1041">
        <v>15.314097</v>
      </c>
      <c r="DB1041">
        <v>17.400950000000002</v>
      </c>
      <c r="DC1041">
        <v>16.332519999999999</v>
      </c>
      <c r="DD1041" t="s">
        <v>125</v>
      </c>
      <c r="DE1041">
        <v>0</v>
      </c>
      <c r="DH1041" t="s">
        <v>332</v>
      </c>
      <c r="DI1041" t="s">
        <v>498</v>
      </c>
      <c r="DJ1041">
        <v>1</v>
      </c>
      <c r="DK1041">
        <v>1</v>
      </c>
      <c r="DL1041">
        <v>1</v>
      </c>
      <c r="DM1041">
        <v>0</v>
      </c>
      <c r="DN1041">
        <v>0</v>
      </c>
      <c r="DO1041">
        <v>0</v>
      </c>
      <c r="DQ1041" t="s">
        <v>126</v>
      </c>
    </row>
    <row r="1042" spans="1:121" x14ac:dyDescent="0.15">
      <c r="A1042">
        <v>2018</v>
      </c>
      <c r="B1042" t="s">
        <v>238</v>
      </c>
      <c r="C1042" t="str">
        <f t="shared" si="48"/>
        <v>1580011</v>
      </c>
      <c r="D1042" t="s">
        <v>1187</v>
      </c>
      <c r="E1042" t="str">
        <f>"1580511"</f>
        <v>1580511</v>
      </c>
      <c r="F1042" t="s">
        <v>328</v>
      </c>
      <c r="G1042" t="s">
        <v>339</v>
      </c>
      <c r="H1042">
        <v>5</v>
      </c>
      <c r="J1042" t="s">
        <v>331</v>
      </c>
      <c r="K1042">
        <v>640.84862299999998</v>
      </c>
      <c r="L1042">
        <v>800</v>
      </c>
      <c r="M1042">
        <v>80.106077999999997</v>
      </c>
      <c r="N1042">
        <v>2</v>
      </c>
      <c r="O1042">
        <v>0</v>
      </c>
      <c r="P1042">
        <v>85.296459999999996</v>
      </c>
      <c r="Q1042">
        <v>50</v>
      </c>
      <c r="R1042">
        <v>50</v>
      </c>
      <c r="S1042">
        <v>63.079087999999999</v>
      </c>
      <c r="T1042">
        <v>75</v>
      </c>
      <c r="U1042">
        <v>42.052725000000002</v>
      </c>
      <c r="V1042">
        <v>50</v>
      </c>
      <c r="W1042">
        <v>83.469279999999998</v>
      </c>
      <c r="X1042">
        <v>50</v>
      </c>
      <c r="Y1042">
        <v>50</v>
      </c>
      <c r="Z1042">
        <v>75</v>
      </c>
      <c r="AA1042">
        <v>65.754579000000007</v>
      </c>
      <c r="AB1042">
        <v>43.836385999999997</v>
      </c>
      <c r="AC1042">
        <v>50</v>
      </c>
      <c r="AD1042">
        <v>78.846981</v>
      </c>
      <c r="AE1042">
        <v>50</v>
      </c>
      <c r="AF1042">
        <v>50</v>
      </c>
      <c r="AG1042" t="s">
        <v>125</v>
      </c>
      <c r="AH1042">
        <v>75</v>
      </c>
      <c r="AI1042" t="s">
        <v>125</v>
      </c>
      <c r="AJ1042" t="s">
        <v>125</v>
      </c>
      <c r="AK1042">
        <v>11.92</v>
      </c>
      <c r="AL1042">
        <v>9.24</v>
      </c>
      <c r="AM1042" t="s">
        <v>125</v>
      </c>
      <c r="AN1042">
        <v>0.78724899999999998</v>
      </c>
      <c r="AO1042">
        <v>78.724926999999994</v>
      </c>
      <c r="AP1042">
        <v>100</v>
      </c>
      <c r="AQ1042">
        <v>0.83711000000000002</v>
      </c>
      <c r="AR1042">
        <v>83.711000999999996</v>
      </c>
      <c r="AS1042">
        <v>100</v>
      </c>
      <c r="AT1042">
        <v>0.46516999999999997</v>
      </c>
      <c r="AU1042">
        <v>0.84918800000000005</v>
      </c>
      <c r="AV1042">
        <v>46.516956</v>
      </c>
      <c r="AW1042">
        <v>100</v>
      </c>
      <c r="AX1042">
        <v>0.65054199999999995</v>
      </c>
      <c r="AY1042">
        <v>0.87155300000000002</v>
      </c>
      <c r="AZ1042">
        <v>65.054247000000004</v>
      </c>
      <c r="BA1042">
        <v>100</v>
      </c>
      <c r="BB1042" t="s">
        <v>125</v>
      </c>
      <c r="BC1042" t="s">
        <v>125</v>
      </c>
      <c r="BD1042" t="s">
        <v>125</v>
      </c>
      <c r="BE1042" t="s">
        <v>125</v>
      </c>
      <c r="BF1042" t="s">
        <v>125</v>
      </c>
      <c r="BG1042" t="s">
        <v>125</v>
      </c>
      <c r="BH1042">
        <v>0</v>
      </c>
      <c r="BI1042">
        <v>0.99203200000000002</v>
      </c>
      <c r="BJ1042">
        <v>1</v>
      </c>
      <c r="BK1042">
        <v>0.99056599999999995</v>
      </c>
      <c r="BL1042">
        <v>0.98804800000000004</v>
      </c>
      <c r="BM1042">
        <v>0.97435899999999998</v>
      </c>
      <c r="BN1042">
        <v>0.99056599999999995</v>
      </c>
      <c r="BO1042">
        <v>0.95180699999999996</v>
      </c>
      <c r="BP1042" t="s">
        <v>125</v>
      </c>
      <c r="BQ1042">
        <v>0.95833299999999999</v>
      </c>
      <c r="BR1042">
        <v>3.8217000000000001E-2</v>
      </c>
      <c r="BS1042">
        <v>50</v>
      </c>
      <c r="BT1042">
        <v>50</v>
      </c>
      <c r="BU1042">
        <v>4.1096000000000001E-2</v>
      </c>
      <c r="BV1042">
        <v>50</v>
      </c>
      <c r="BW1042">
        <v>50</v>
      </c>
      <c r="BX1042" t="s">
        <v>125</v>
      </c>
      <c r="BY1042" t="s">
        <v>125</v>
      </c>
      <c r="BZ1042" t="s">
        <v>125</v>
      </c>
      <c r="CA1042" t="s">
        <v>125</v>
      </c>
      <c r="CB1042" t="s">
        <v>125</v>
      </c>
      <c r="CC1042" t="s">
        <v>125</v>
      </c>
      <c r="CD1042" t="s">
        <v>125</v>
      </c>
      <c r="CE1042" t="s">
        <v>125</v>
      </c>
      <c r="CF1042" t="s">
        <v>125</v>
      </c>
      <c r="CG1042" t="s">
        <v>125</v>
      </c>
      <c r="CH1042" t="s">
        <v>125</v>
      </c>
      <c r="CI1042" t="s">
        <v>125</v>
      </c>
      <c r="CJ1042" t="s">
        <v>125</v>
      </c>
      <c r="CK1042" t="s">
        <v>125</v>
      </c>
      <c r="CL1042" t="s">
        <v>125</v>
      </c>
      <c r="CM1042" t="s">
        <v>125</v>
      </c>
      <c r="CN1042" t="s">
        <v>125</v>
      </c>
      <c r="CO1042" t="s">
        <v>125</v>
      </c>
      <c r="CP1042" t="s">
        <v>125</v>
      </c>
      <c r="CQ1042">
        <v>0.46428599999999998</v>
      </c>
      <c r="CR1042">
        <v>1.0120480000000001</v>
      </c>
      <c r="CS1042">
        <v>30.952380999999999</v>
      </c>
      <c r="CT1042">
        <v>50</v>
      </c>
      <c r="CU1042" t="s">
        <v>125</v>
      </c>
      <c r="CV1042" t="s">
        <v>125</v>
      </c>
      <c r="CW1042" t="s">
        <v>125</v>
      </c>
      <c r="CX1042" t="s">
        <v>125</v>
      </c>
      <c r="CY1042" t="s">
        <v>125</v>
      </c>
      <c r="CZ1042" t="s">
        <v>125</v>
      </c>
      <c r="DA1042">
        <v>15.314097</v>
      </c>
      <c r="DB1042">
        <v>17.400950000000002</v>
      </c>
      <c r="DC1042">
        <v>16.332519999999999</v>
      </c>
      <c r="DD1042" t="s">
        <v>125</v>
      </c>
      <c r="DE1042">
        <v>0</v>
      </c>
      <c r="DH1042" t="s">
        <v>332</v>
      </c>
      <c r="DI1042" t="s">
        <v>501</v>
      </c>
      <c r="DJ1042">
        <v>0</v>
      </c>
      <c r="DK1042">
        <v>1</v>
      </c>
      <c r="DL1042">
        <v>0</v>
      </c>
      <c r="DM1042">
        <v>0</v>
      </c>
      <c r="DN1042">
        <v>0</v>
      </c>
      <c r="DO1042">
        <v>0</v>
      </c>
      <c r="DQ1042" t="s">
        <v>126</v>
      </c>
    </row>
    <row r="1043" spans="1:121" x14ac:dyDescent="0.15">
      <c r="A1043">
        <v>2018</v>
      </c>
      <c r="B1043" t="s">
        <v>238</v>
      </c>
      <c r="C1043" t="str">
        <f t="shared" si="48"/>
        <v>1580011</v>
      </c>
      <c r="D1043" t="s">
        <v>1188</v>
      </c>
      <c r="E1043" t="str">
        <f>"1580711"</f>
        <v>1580711</v>
      </c>
      <c r="F1043" t="s">
        <v>328</v>
      </c>
      <c r="G1043" t="s">
        <v>339</v>
      </c>
      <c r="H1043">
        <v>5</v>
      </c>
      <c r="J1043" t="s">
        <v>331</v>
      </c>
      <c r="K1043">
        <v>662.14859999999999</v>
      </c>
      <c r="L1043">
        <v>800</v>
      </c>
      <c r="M1043">
        <v>82.768574999999998</v>
      </c>
      <c r="N1043">
        <v>2</v>
      </c>
      <c r="O1043">
        <v>0</v>
      </c>
      <c r="P1043">
        <v>85.991341000000006</v>
      </c>
      <c r="Q1043">
        <v>50</v>
      </c>
      <c r="R1043">
        <v>50</v>
      </c>
      <c r="S1043">
        <v>64.584203000000002</v>
      </c>
      <c r="T1043">
        <v>75</v>
      </c>
      <c r="U1043">
        <v>43.056134999999998</v>
      </c>
      <c r="V1043">
        <v>50</v>
      </c>
      <c r="W1043">
        <v>83.064865999999995</v>
      </c>
      <c r="X1043">
        <v>50</v>
      </c>
      <c r="Y1043">
        <v>50</v>
      </c>
      <c r="Z1043">
        <v>75</v>
      </c>
      <c r="AA1043">
        <v>62.386132000000003</v>
      </c>
      <c r="AB1043">
        <v>41.590753999999997</v>
      </c>
      <c r="AC1043">
        <v>50</v>
      </c>
      <c r="AD1043">
        <v>76.826059000000001</v>
      </c>
      <c r="AE1043">
        <v>50</v>
      </c>
      <c r="AF1043">
        <v>50</v>
      </c>
      <c r="AG1043" t="s">
        <v>125</v>
      </c>
      <c r="AH1043">
        <v>75</v>
      </c>
      <c r="AI1043" t="s">
        <v>125</v>
      </c>
      <c r="AJ1043" t="s">
        <v>125</v>
      </c>
      <c r="AK1043">
        <v>10.41</v>
      </c>
      <c r="AL1043">
        <v>12.61</v>
      </c>
      <c r="AM1043" t="s">
        <v>125</v>
      </c>
      <c r="AN1043">
        <v>0.78175700000000004</v>
      </c>
      <c r="AO1043">
        <v>78.175687999999994</v>
      </c>
      <c r="AP1043">
        <v>100</v>
      </c>
      <c r="AQ1043">
        <v>0.80990099999999998</v>
      </c>
      <c r="AR1043">
        <v>80.990133</v>
      </c>
      <c r="AS1043">
        <v>100</v>
      </c>
      <c r="AT1043">
        <v>0.62747299999999995</v>
      </c>
      <c r="AU1043">
        <v>0.80293300000000001</v>
      </c>
      <c r="AV1043">
        <v>62.747267000000001</v>
      </c>
      <c r="AW1043">
        <v>100</v>
      </c>
      <c r="AX1043">
        <v>0.72620600000000002</v>
      </c>
      <c r="AY1043">
        <v>0.821465</v>
      </c>
      <c r="AZ1043">
        <v>72.620586000000003</v>
      </c>
      <c r="BA1043">
        <v>100</v>
      </c>
      <c r="BB1043" t="s">
        <v>125</v>
      </c>
      <c r="BC1043" t="s">
        <v>125</v>
      </c>
      <c r="BD1043" t="s">
        <v>125</v>
      </c>
      <c r="BE1043" t="s">
        <v>125</v>
      </c>
      <c r="BF1043" t="s">
        <v>125</v>
      </c>
      <c r="BG1043" t="s">
        <v>125</v>
      </c>
      <c r="BH1043">
        <v>0</v>
      </c>
      <c r="BI1043">
        <v>0.99295800000000001</v>
      </c>
      <c r="BJ1043">
        <v>0.97222200000000003</v>
      </c>
      <c r="BK1043">
        <v>0.99596799999999996</v>
      </c>
      <c r="BL1043">
        <v>0.98943700000000001</v>
      </c>
      <c r="BM1043">
        <v>0.97222200000000003</v>
      </c>
      <c r="BN1043">
        <v>0.99193500000000001</v>
      </c>
      <c r="BO1043">
        <v>0.980769</v>
      </c>
      <c r="BP1043" t="s">
        <v>125</v>
      </c>
      <c r="BQ1043">
        <v>0.98888900000000002</v>
      </c>
      <c r="BR1043">
        <v>3.7453E-2</v>
      </c>
      <c r="BS1043">
        <v>50</v>
      </c>
      <c r="BT1043">
        <v>50</v>
      </c>
      <c r="BU1043">
        <v>6.8492999999999998E-2</v>
      </c>
      <c r="BV1043">
        <v>46.301369999999999</v>
      </c>
      <c r="BW1043">
        <v>50</v>
      </c>
      <c r="BX1043" t="s">
        <v>125</v>
      </c>
      <c r="BY1043" t="s">
        <v>125</v>
      </c>
      <c r="BZ1043" t="s">
        <v>125</v>
      </c>
      <c r="CA1043" t="s">
        <v>125</v>
      </c>
      <c r="CB1043" t="s">
        <v>125</v>
      </c>
      <c r="CC1043" t="s">
        <v>125</v>
      </c>
      <c r="CD1043" t="s">
        <v>125</v>
      </c>
      <c r="CE1043" t="s">
        <v>125</v>
      </c>
      <c r="CF1043" t="s">
        <v>125</v>
      </c>
      <c r="CG1043" t="s">
        <v>125</v>
      </c>
      <c r="CH1043" t="s">
        <v>125</v>
      </c>
      <c r="CI1043" t="s">
        <v>125</v>
      </c>
      <c r="CJ1043" t="s">
        <v>125</v>
      </c>
      <c r="CK1043" t="s">
        <v>125</v>
      </c>
      <c r="CL1043" t="s">
        <v>125</v>
      </c>
      <c r="CM1043" t="s">
        <v>125</v>
      </c>
      <c r="CN1043" t="s">
        <v>125</v>
      </c>
      <c r="CO1043" t="s">
        <v>125</v>
      </c>
      <c r="CP1043" t="s">
        <v>125</v>
      </c>
      <c r="CQ1043">
        <v>0.55000000000000004</v>
      </c>
      <c r="CR1043">
        <v>0.98765400000000003</v>
      </c>
      <c r="CS1043">
        <v>36.666666999999997</v>
      </c>
      <c r="CT1043">
        <v>50</v>
      </c>
      <c r="CU1043" t="s">
        <v>125</v>
      </c>
      <c r="CV1043" t="s">
        <v>125</v>
      </c>
      <c r="CW1043" t="s">
        <v>125</v>
      </c>
      <c r="CX1043" t="s">
        <v>125</v>
      </c>
      <c r="CY1043" t="s">
        <v>125</v>
      </c>
      <c r="CZ1043" t="s">
        <v>125</v>
      </c>
      <c r="DA1043">
        <v>15.314097</v>
      </c>
      <c r="DB1043">
        <v>17.400950000000002</v>
      </c>
      <c r="DC1043">
        <v>16.332519999999999</v>
      </c>
      <c r="DD1043" t="s">
        <v>125</v>
      </c>
      <c r="DE1043">
        <v>0</v>
      </c>
      <c r="DH1043" t="s">
        <v>332</v>
      </c>
      <c r="DI1043" t="s">
        <v>501</v>
      </c>
      <c r="DJ1043">
        <v>0</v>
      </c>
      <c r="DK1043">
        <v>1</v>
      </c>
      <c r="DL1043">
        <v>0</v>
      </c>
      <c r="DM1043">
        <v>0</v>
      </c>
      <c r="DN1043">
        <v>0</v>
      </c>
      <c r="DO1043">
        <v>0</v>
      </c>
      <c r="DQ1043" t="s">
        <v>126</v>
      </c>
    </row>
    <row r="1044" spans="1:121" x14ac:dyDescent="0.15">
      <c r="A1044">
        <v>2018</v>
      </c>
      <c r="B1044" t="s">
        <v>238</v>
      </c>
      <c r="C1044" t="str">
        <f t="shared" si="48"/>
        <v>1580011</v>
      </c>
      <c r="D1044" t="s">
        <v>1189</v>
      </c>
      <c r="E1044" t="str">
        <f>"1580811"</f>
        <v>1580811</v>
      </c>
      <c r="F1044" t="s">
        <v>328</v>
      </c>
      <c r="G1044" t="s">
        <v>339</v>
      </c>
      <c r="H1044">
        <v>5</v>
      </c>
      <c r="J1044" t="s">
        <v>331</v>
      </c>
      <c r="K1044">
        <v>707.50822800000003</v>
      </c>
      <c r="L1044">
        <v>850</v>
      </c>
      <c r="M1044">
        <v>83.236261999999996</v>
      </c>
      <c r="N1044">
        <v>2</v>
      </c>
      <c r="O1044">
        <v>0</v>
      </c>
      <c r="P1044">
        <v>85.429920999999993</v>
      </c>
      <c r="Q1044">
        <v>50</v>
      </c>
      <c r="R1044">
        <v>50</v>
      </c>
      <c r="S1044">
        <v>69.192098000000001</v>
      </c>
      <c r="T1044">
        <v>75</v>
      </c>
      <c r="U1044">
        <v>46.128064999999999</v>
      </c>
      <c r="V1044">
        <v>50</v>
      </c>
      <c r="W1044">
        <v>81.795413999999994</v>
      </c>
      <c r="X1044">
        <v>50</v>
      </c>
      <c r="Y1044">
        <v>50</v>
      </c>
      <c r="Z1044">
        <v>75</v>
      </c>
      <c r="AA1044">
        <v>65.329537000000002</v>
      </c>
      <c r="AB1044">
        <v>43.553024000000001</v>
      </c>
      <c r="AC1044">
        <v>50</v>
      </c>
      <c r="AD1044">
        <v>74.665535000000006</v>
      </c>
      <c r="AE1044">
        <v>49.777023</v>
      </c>
      <c r="AF1044">
        <v>50</v>
      </c>
      <c r="AG1044">
        <v>61.464236</v>
      </c>
      <c r="AH1044">
        <v>75</v>
      </c>
      <c r="AI1044">
        <v>40.976157000000001</v>
      </c>
      <c r="AJ1044">
        <v>50</v>
      </c>
      <c r="AK1044">
        <v>5.8</v>
      </c>
      <c r="AL1044">
        <v>9.67</v>
      </c>
      <c r="AM1044">
        <v>13.53</v>
      </c>
      <c r="AN1044">
        <v>0.765544</v>
      </c>
      <c r="AO1044">
        <v>76.554373999999996</v>
      </c>
      <c r="AP1044">
        <v>100</v>
      </c>
      <c r="AQ1044">
        <v>0.87507800000000002</v>
      </c>
      <c r="AR1044">
        <v>87.507824999999997</v>
      </c>
      <c r="AS1044">
        <v>100</v>
      </c>
      <c r="AT1044">
        <v>0.68269999999999997</v>
      </c>
      <c r="AU1044">
        <v>0.78461599999999998</v>
      </c>
      <c r="AV1044">
        <v>68.269958000000003</v>
      </c>
      <c r="AW1044">
        <v>100</v>
      </c>
      <c r="AX1044">
        <v>0.74739299999999997</v>
      </c>
      <c r="AY1044">
        <v>0.904474</v>
      </c>
      <c r="AZ1044">
        <v>74.739255</v>
      </c>
      <c r="BA1044">
        <v>100</v>
      </c>
      <c r="BB1044" t="s">
        <v>125</v>
      </c>
      <c r="BC1044" t="s">
        <v>125</v>
      </c>
      <c r="BD1044" t="s">
        <v>125</v>
      </c>
      <c r="BE1044" t="s">
        <v>125</v>
      </c>
      <c r="BF1044" t="s">
        <v>125</v>
      </c>
      <c r="BG1044" t="s">
        <v>125</v>
      </c>
      <c r="BH1044">
        <v>0</v>
      </c>
      <c r="BI1044">
        <v>0.99616899999999997</v>
      </c>
      <c r="BJ1044">
        <v>1</v>
      </c>
      <c r="BK1044">
        <v>0.99519199999999997</v>
      </c>
      <c r="BL1044">
        <v>0.99616899999999997</v>
      </c>
      <c r="BM1044">
        <v>1</v>
      </c>
      <c r="BN1044">
        <v>0.99519199999999997</v>
      </c>
      <c r="BO1044">
        <v>0.97959200000000002</v>
      </c>
      <c r="BP1044">
        <v>1</v>
      </c>
      <c r="BQ1044">
        <v>0.97297299999999998</v>
      </c>
      <c r="BR1044">
        <v>2.9724E-2</v>
      </c>
      <c r="BS1044">
        <v>50</v>
      </c>
      <c r="BT1044">
        <v>50</v>
      </c>
      <c r="BU1044">
        <v>5.1948000000000001E-2</v>
      </c>
      <c r="BV1044">
        <v>49.610390000000002</v>
      </c>
      <c r="BW1044">
        <v>50</v>
      </c>
      <c r="BX1044" t="s">
        <v>125</v>
      </c>
      <c r="BY1044" t="s">
        <v>125</v>
      </c>
      <c r="BZ1044" t="s">
        <v>125</v>
      </c>
      <c r="CA1044" t="s">
        <v>125</v>
      </c>
      <c r="CB1044" t="s">
        <v>125</v>
      </c>
      <c r="CC1044" t="s">
        <v>125</v>
      </c>
      <c r="CD1044" t="s">
        <v>125</v>
      </c>
      <c r="CE1044" t="s">
        <v>125</v>
      </c>
      <c r="CF1044" t="s">
        <v>125</v>
      </c>
      <c r="CG1044" t="s">
        <v>125</v>
      </c>
      <c r="CH1044" t="s">
        <v>125</v>
      </c>
      <c r="CI1044" t="s">
        <v>125</v>
      </c>
      <c r="CJ1044" t="s">
        <v>125</v>
      </c>
      <c r="CK1044" t="s">
        <v>125</v>
      </c>
      <c r="CL1044" t="s">
        <v>125</v>
      </c>
      <c r="CM1044" t="s">
        <v>125</v>
      </c>
      <c r="CN1044" t="s">
        <v>125</v>
      </c>
      <c r="CO1044" t="s">
        <v>125</v>
      </c>
      <c r="CP1044" t="s">
        <v>125</v>
      </c>
      <c r="CQ1044">
        <v>0.30588199999999999</v>
      </c>
      <c r="CR1044">
        <v>1</v>
      </c>
      <c r="CS1044">
        <v>20.392157000000001</v>
      </c>
      <c r="CT1044">
        <v>50</v>
      </c>
      <c r="CU1044" t="s">
        <v>125</v>
      </c>
      <c r="CV1044" t="s">
        <v>125</v>
      </c>
      <c r="CW1044" t="s">
        <v>125</v>
      </c>
      <c r="CX1044" t="s">
        <v>125</v>
      </c>
      <c r="CY1044" t="s">
        <v>125</v>
      </c>
      <c r="CZ1044" t="s">
        <v>125</v>
      </c>
      <c r="DA1044">
        <v>15.314097</v>
      </c>
      <c r="DB1044">
        <v>17.400950000000002</v>
      </c>
      <c r="DC1044">
        <v>16.332519999999999</v>
      </c>
      <c r="DD1044" t="s">
        <v>125</v>
      </c>
      <c r="DE1044">
        <v>0</v>
      </c>
      <c r="DH1044" t="s">
        <v>332</v>
      </c>
      <c r="DI1044" t="s">
        <v>591</v>
      </c>
      <c r="DJ1044">
        <v>0</v>
      </c>
      <c r="DK1044">
        <v>0</v>
      </c>
      <c r="DL1044">
        <v>1</v>
      </c>
      <c r="DM1044">
        <v>0</v>
      </c>
      <c r="DN1044">
        <v>0</v>
      </c>
      <c r="DO1044">
        <v>0</v>
      </c>
      <c r="DQ1044" t="s">
        <v>126</v>
      </c>
    </row>
    <row r="1045" spans="1:121" x14ac:dyDescent="0.15">
      <c r="A1045">
        <v>2018</v>
      </c>
      <c r="B1045" t="s">
        <v>238</v>
      </c>
      <c r="C1045" t="str">
        <f t="shared" si="48"/>
        <v>1580011</v>
      </c>
      <c r="D1045" t="s">
        <v>1190</v>
      </c>
      <c r="E1045" t="str">
        <f>"1586111"</f>
        <v>1586111</v>
      </c>
      <c r="F1045" t="s">
        <v>328</v>
      </c>
      <c r="G1045">
        <v>9</v>
      </c>
      <c r="H1045">
        <v>12</v>
      </c>
      <c r="I1045" t="s">
        <v>330</v>
      </c>
      <c r="J1045" t="s">
        <v>331</v>
      </c>
      <c r="K1045">
        <v>1317.029194</v>
      </c>
      <c r="L1045">
        <v>1450</v>
      </c>
      <c r="M1045">
        <v>90.829599999999999</v>
      </c>
      <c r="N1045">
        <v>2</v>
      </c>
      <c r="O1045">
        <v>1</v>
      </c>
      <c r="P1045">
        <v>75.662047999999999</v>
      </c>
      <c r="Q1045">
        <v>150</v>
      </c>
      <c r="R1045">
        <v>150</v>
      </c>
      <c r="S1045">
        <v>58.449153000000003</v>
      </c>
      <c r="T1045">
        <v>75</v>
      </c>
      <c r="U1045">
        <v>116.89830499999999</v>
      </c>
      <c r="V1045">
        <v>150</v>
      </c>
      <c r="W1045">
        <v>75.242879000000002</v>
      </c>
      <c r="X1045">
        <v>150</v>
      </c>
      <c r="Y1045">
        <v>150</v>
      </c>
      <c r="Z1045">
        <v>75</v>
      </c>
      <c r="AA1045">
        <v>51.550846999999997</v>
      </c>
      <c r="AB1045">
        <v>103.10169500000001</v>
      </c>
      <c r="AC1045">
        <v>150</v>
      </c>
      <c r="AD1045">
        <v>79.665931999999998</v>
      </c>
      <c r="AE1045">
        <v>100</v>
      </c>
      <c r="AF1045">
        <v>100</v>
      </c>
      <c r="AG1045">
        <v>60.985906999999997</v>
      </c>
      <c r="AH1045">
        <v>75</v>
      </c>
      <c r="AI1045">
        <v>81.314542000000003</v>
      </c>
      <c r="AJ1045">
        <v>100</v>
      </c>
      <c r="AK1045">
        <v>16.55</v>
      </c>
      <c r="AL1045">
        <v>23.44</v>
      </c>
      <c r="AM1045">
        <v>14.01</v>
      </c>
      <c r="AN1045" t="s">
        <v>125</v>
      </c>
      <c r="AO1045" t="s">
        <v>125</v>
      </c>
      <c r="AP1045" t="s">
        <v>125</v>
      </c>
      <c r="AQ1045" t="s">
        <v>125</v>
      </c>
      <c r="AR1045" t="s">
        <v>125</v>
      </c>
      <c r="AS1045" t="s">
        <v>125</v>
      </c>
      <c r="AT1045" t="s">
        <v>125</v>
      </c>
      <c r="AU1045" t="s">
        <v>125</v>
      </c>
      <c r="AV1045" t="s">
        <v>125</v>
      </c>
      <c r="AW1045" t="s">
        <v>125</v>
      </c>
      <c r="AX1045" t="s">
        <v>125</v>
      </c>
      <c r="AY1045" t="s">
        <v>125</v>
      </c>
      <c r="AZ1045" t="s">
        <v>125</v>
      </c>
      <c r="BA1045" t="s">
        <v>125</v>
      </c>
      <c r="BB1045" t="s">
        <v>125</v>
      </c>
      <c r="BC1045" t="s">
        <v>125</v>
      </c>
      <c r="BD1045" t="s">
        <v>125</v>
      </c>
      <c r="BE1045" t="s">
        <v>125</v>
      </c>
      <c r="BF1045" t="s">
        <v>125</v>
      </c>
      <c r="BG1045" t="s">
        <v>125</v>
      </c>
      <c r="BH1045">
        <v>0</v>
      </c>
      <c r="BI1045">
        <v>0.99315100000000001</v>
      </c>
      <c r="BJ1045">
        <v>0.98333300000000001</v>
      </c>
      <c r="BK1045">
        <v>0.99470899999999995</v>
      </c>
      <c r="BL1045">
        <v>0.99315100000000001</v>
      </c>
      <c r="BM1045">
        <v>0.98333300000000001</v>
      </c>
      <c r="BN1045">
        <v>0.99470899999999995</v>
      </c>
      <c r="BO1045">
        <v>0.99543400000000004</v>
      </c>
      <c r="BP1045">
        <v>0.98333300000000001</v>
      </c>
      <c r="BQ1045">
        <v>0.99735399999999996</v>
      </c>
      <c r="BR1045">
        <v>4.3666000000000003E-2</v>
      </c>
      <c r="BS1045">
        <v>50</v>
      </c>
      <c r="BT1045">
        <v>50</v>
      </c>
      <c r="BU1045">
        <v>0.13026799999999999</v>
      </c>
      <c r="BV1045">
        <v>33.946359999999999</v>
      </c>
      <c r="BW1045">
        <v>50</v>
      </c>
      <c r="BX1045">
        <v>0.88061299999999998</v>
      </c>
      <c r="BY1045">
        <v>50</v>
      </c>
      <c r="BZ1045">
        <v>50</v>
      </c>
      <c r="CA1045">
        <v>0.84665900000000005</v>
      </c>
      <c r="CB1045">
        <v>50</v>
      </c>
      <c r="CC1045">
        <v>50</v>
      </c>
      <c r="CD1045">
        <v>0.98931599999999997</v>
      </c>
      <c r="CE1045">
        <v>50</v>
      </c>
      <c r="CF1045">
        <v>50</v>
      </c>
      <c r="CG1045">
        <v>0.99339200000000005</v>
      </c>
      <c r="CH1045">
        <v>100</v>
      </c>
      <c r="CI1045">
        <v>100</v>
      </c>
      <c r="CJ1045">
        <v>0</v>
      </c>
      <c r="CK1045">
        <v>0.98863599999999996</v>
      </c>
      <c r="CL1045">
        <v>100</v>
      </c>
      <c r="CM1045">
        <v>100</v>
      </c>
      <c r="CN1045">
        <v>0.87991299999999995</v>
      </c>
      <c r="CO1045">
        <v>100</v>
      </c>
      <c r="CP1045">
        <v>100</v>
      </c>
      <c r="CQ1045">
        <v>0.54054100000000005</v>
      </c>
      <c r="CR1045">
        <v>0.93670900000000001</v>
      </c>
      <c r="CS1045">
        <v>36.036036000000003</v>
      </c>
      <c r="CT1045">
        <v>50</v>
      </c>
      <c r="CU1045">
        <v>0.54878700000000002</v>
      </c>
      <c r="CV1045">
        <v>45.732255000000002</v>
      </c>
      <c r="CW1045">
        <v>50</v>
      </c>
      <c r="CX1045">
        <v>0.98863599999999996</v>
      </c>
      <c r="CY1045">
        <v>0.94</v>
      </c>
      <c r="CZ1045">
        <v>-4.8635999999999999E-2</v>
      </c>
      <c r="DA1045">
        <v>15.314097</v>
      </c>
      <c r="DB1045">
        <v>17.400950000000002</v>
      </c>
      <c r="DC1045">
        <v>16.332519999999999</v>
      </c>
      <c r="DD1045">
        <v>7.9891730000000001</v>
      </c>
      <c r="DE1045">
        <v>1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Q1045" t="s">
        <v>126</v>
      </c>
    </row>
    <row r="1046" spans="1:121" x14ac:dyDescent="0.15">
      <c r="A1046">
        <v>2018</v>
      </c>
      <c r="B1046" t="s">
        <v>209</v>
      </c>
      <c r="C1046" t="str">
        <f t="shared" ref="C1046:C1052" si="49">"1590011"</f>
        <v>1590011</v>
      </c>
      <c r="D1046" t="s">
        <v>1191</v>
      </c>
      <c r="E1046" t="str">
        <f>"1590811"</f>
        <v>1590811</v>
      </c>
      <c r="F1046" t="s">
        <v>328</v>
      </c>
      <c r="G1046" t="s">
        <v>339</v>
      </c>
      <c r="H1046">
        <v>6</v>
      </c>
      <c r="I1046" t="s">
        <v>330</v>
      </c>
      <c r="J1046" t="s">
        <v>331</v>
      </c>
      <c r="K1046">
        <v>760.76805200000001</v>
      </c>
      <c r="L1046">
        <v>950</v>
      </c>
      <c r="M1046">
        <v>80.080848000000003</v>
      </c>
      <c r="N1046">
        <v>2</v>
      </c>
      <c r="O1046">
        <v>0</v>
      </c>
      <c r="P1046">
        <v>78.728848999999997</v>
      </c>
      <c r="Q1046">
        <v>50</v>
      </c>
      <c r="R1046">
        <v>50</v>
      </c>
      <c r="S1046">
        <v>71.566952000000001</v>
      </c>
      <c r="T1046">
        <v>75</v>
      </c>
      <c r="U1046">
        <v>47.711300999999999</v>
      </c>
      <c r="V1046">
        <v>50</v>
      </c>
      <c r="W1046">
        <v>76.938259000000002</v>
      </c>
      <c r="X1046">
        <v>50</v>
      </c>
      <c r="Y1046">
        <v>50</v>
      </c>
      <c r="Z1046">
        <v>75</v>
      </c>
      <c r="AA1046">
        <v>68.487364999999997</v>
      </c>
      <c r="AB1046">
        <v>45.658242999999999</v>
      </c>
      <c r="AC1046">
        <v>50</v>
      </c>
      <c r="AD1046">
        <v>73.915249000000003</v>
      </c>
      <c r="AE1046">
        <v>49.276833000000003</v>
      </c>
      <c r="AF1046">
        <v>50</v>
      </c>
      <c r="AG1046">
        <v>65.196534999999997</v>
      </c>
      <c r="AH1046">
        <v>75</v>
      </c>
      <c r="AI1046">
        <v>43.464357</v>
      </c>
      <c r="AJ1046">
        <v>50</v>
      </c>
      <c r="AK1046">
        <v>3.43</v>
      </c>
      <c r="AL1046">
        <v>6.51</v>
      </c>
      <c r="AM1046">
        <v>9.8000000000000007</v>
      </c>
      <c r="AN1046">
        <v>0.73601899999999998</v>
      </c>
      <c r="AO1046">
        <v>73.601872</v>
      </c>
      <c r="AP1046">
        <v>100</v>
      </c>
      <c r="AQ1046">
        <v>0.77522100000000005</v>
      </c>
      <c r="AR1046">
        <v>77.522084000000007</v>
      </c>
      <c r="AS1046">
        <v>100</v>
      </c>
      <c r="AT1046">
        <v>0.75859100000000002</v>
      </c>
      <c r="AU1046">
        <v>0.72333700000000001</v>
      </c>
      <c r="AV1046">
        <v>75.859144000000001</v>
      </c>
      <c r="AW1046">
        <v>100</v>
      </c>
      <c r="AX1046">
        <v>0.67818900000000004</v>
      </c>
      <c r="AY1046">
        <v>0.82973300000000005</v>
      </c>
      <c r="AZ1046">
        <v>67.818878999999995</v>
      </c>
      <c r="BA1046">
        <v>100</v>
      </c>
      <c r="BB1046">
        <v>0.64357799999999998</v>
      </c>
      <c r="BC1046">
        <v>32.178899999999999</v>
      </c>
      <c r="BD1046">
        <v>50</v>
      </c>
      <c r="BE1046">
        <v>0.57876899999999998</v>
      </c>
      <c r="BF1046">
        <v>28.938464</v>
      </c>
      <c r="BG1046">
        <v>50</v>
      </c>
      <c r="BH1046">
        <v>0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0.98214299999999999</v>
      </c>
      <c r="BP1046">
        <v>1</v>
      </c>
      <c r="BQ1046">
        <v>0.96551699999999996</v>
      </c>
      <c r="BR1046">
        <v>3.6415000000000003E-2</v>
      </c>
      <c r="BS1046">
        <v>50</v>
      </c>
      <c r="BT1046">
        <v>50</v>
      </c>
      <c r="BU1046">
        <v>5.8064999999999999E-2</v>
      </c>
      <c r="BV1046">
        <v>48.387096999999997</v>
      </c>
      <c r="BW1046">
        <v>50</v>
      </c>
      <c r="BX1046" t="s">
        <v>125</v>
      </c>
      <c r="BY1046" t="s">
        <v>125</v>
      </c>
      <c r="BZ1046" t="s">
        <v>125</v>
      </c>
      <c r="CA1046" t="s">
        <v>125</v>
      </c>
      <c r="CB1046" t="s">
        <v>125</v>
      </c>
      <c r="CC1046" t="s">
        <v>125</v>
      </c>
      <c r="CD1046" t="s">
        <v>125</v>
      </c>
      <c r="CE1046" t="s">
        <v>125</v>
      </c>
      <c r="CF1046" t="s">
        <v>125</v>
      </c>
      <c r="CG1046" t="s">
        <v>125</v>
      </c>
      <c r="CH1046" t="s">
        <v>125</v>
      </c>
      <c r="CI1046" t="s">
        <v>125</v>
      </c>
      <c r="CJ1046" t="s">
        <v>125</v>
      </c>
      <c r="CK1046" t="s">
        <v>125</v>
      </c>
      <c r="CL1046" t="s">
        <v>125</v>
      </c>
      <c r="CM1046" t="s">
        <v>125</v>
      </c>
      <c r="CN1046" t="s">
        <v>125</v>
      </c>
      <c r="CO1046" t="s">
        <v>125</v>
      </c>
      <c r="CP1046" t="s">
        <v>125</v>
      </c>
      <c r="CQ1046">
        <v>0.30526300000000001</v>
      </c>
      <c r="CR1046">
        <v>1.0106379999999999</v>
      </c>
      <c r="CS1046">
        <v>20.350877000000001</v>
      </c>
      <c r="CT1046">
        <v>50</v>
      </c>
      <c r="CU1046" t="s">
        <v>125</v>
      </c>
      <c r="CV1046" t="s">
        <v>125</v>
      </c>
      <c r="CW1046" t="s">
        <v>125</v>
      </c>
      <c r="CX1046" t="s">
        <v>125</v>
      </c>
      <c r="CY1046" t="s">
        <v>125</v>
      </c>
      <c r="CZ1046" t="s">
        <v>125</v>
      </c>
      <c r="DA1046">
        <v>15.314097</v>
      </c>
      <c r="DB1046">
        <v>17.400950000000002</v>
      </c>
      <c r="DC1046">
        <v>16.332519999999999</v>
      </c>
      <c r="DD1046" t="s">
        <v>125</v>
      </c>
      <c r="DE1046">
        <v>0</v>
      </c>
      <c r="DH1046" t="s">
        <v>332</v>
      </c>
      <c r="DI1046" t="s">
        <v>524</v>
      </c>
      <c r="DJ1046">
        <v>0</v>
      </c>
      <c r="DK1046">
        <v>0</v>
      </c>
      <c r="DL1046">
        <v>0</v>
      </c>
      <c r="DM1046">
        <v>1</v>
      </c>
      <c r="DN1046">
        <v>0</v>
      </c>
      <c r="DO1046">
        <v>0</v>
      </c>
      <c r="DQ1046" t="s">
        <v>126</v>
      </c>
    </row>
    <row r="1047" spans="1:121" x14ac:dyDescent="0.15">
      <c r="A1047">
        <v>2018</v>
      </c>
      <c r="B1047" t="s">
        <v>209</v>
      </c>
      <c r="C1047" t="str">
        <f t="shared" si="49"/>
        <v>1590011</v>
      </c>
      <c r="D1047" t="s">
        <v>1192</v>
      </c>
      <c r="E1047" t="str">
        <f>"1591011"</f>
        <v>1591011</v>
      </c>
      <c r="F1047" t="s">
        <v>328</v>
      </c>
      <c r="G1047" t="s">
        <v>339</v>
      </c>
      <c r="H1047">
        <v>6</v>
      </c>
      <c r="I1047" t="s">
        <v>330</v>
      </c>
      <c r="J1047" t="s">
        <v>331</v>
      </c>
      <c r="K1047">
        <v>650.06376599999999</v>
      </c>
      <c r="L1047">
        <v>950</v>
      </c>
      <c r="M1047">
        <v>68.427764999999994</v>
      </c>
      <c r="N1047">
        <v>3</v>
      </c>
      <c r="O1047">
        <v>1</v>
      </c>
      <c r="P1047">
        <v>72.292983000000007</v>
      </c>
      <c r="Q1047">
        <v>48.195321999999997</v>
      </c>
      <c r="R1047">
        <v>50</v>
      </c>
      <c r="S1047">
        <v>61.742378000000002</v>
      </c>
      <c r="T1047">
        <v>75</v>
      </c>
      <c r="U1047">
        <v>41.161586</v>
      </c>
      <c r="V1047">
        <v>50</v>
      </c>
      <c r="W1047">
        <v>65.133460999999997</v>
      </c>
      <c r="X1047">
        <v>43.422308000000001</v>
      </c>
      <c r="Y1047">
        <v>50</v>
      </c>
      <c r="Z1047">
        <v>75</v>
      </c>
      <c r="AA1047">
        <v>54.134808999999997</v>
      </c>
      <c r="AB1047">
        <v>36.089872999999997</v>
      </c>
      <c r="AC1047">
        <v>50</v>
      </c>
      <c r="AD1047">
        <v>66.573781999999994</v>
      </c>
      <c r="AE1047">
        <v>44.382520999999997</v>
      </c>
      <c r="AF1047">
        <v>50</v>
      </c>
      <c r="AG1047">
        <v>60.776774000000003</v>
      </c>
      <c r="AH1047">
        <v>73.161289999999994</v>
      </c>
      <c r="AI1047">
        <v>40.517848999999998</v>
      </c>
      <c r="AJ1047">
        <v>50</v>
      </c>
      <c r="AK1047">
        <v>13.25</v>
      </c>
      <c r="AL1047">
        <v>20.86</v>
      </c>
      <c r="AM1047">
        <v>12.38</v>
      </c>
      <c r="AN1047">
        <v>0.66959400000000002</v>
      </c>
      <c r="AO1047">
        <v>66.959417000000002</v>
      </c>
      <c r="AP1047">
        <v>100</v>
      </c>
      <c r="AQ1047">
        <v>0.65408900000000003</v>
      </c>
      <c r="AR1047">
        <v>65.408878999999999</v>
      </c>
      <c r="AS1047">
        <v>100</v>
      </c>
      <c r="AT1047">
        <v>0.60084099999999996</v>
      </c>
      <c r="AU1047">
        <v>0.73643700000000001</v>
      </c>
      <c r="AV1047">
        <v>60.084130999999999</v>
      </c>
      <c r="AW1047">
        <v>100</v>
      </c>
      <c r="AX1047">
        <v>0.55552500000000005</v>
      </c>
      <c r="AY1047">
        <v>0.74854500000000002</v>
      </c>
      <c r="AZ1047">
        <v>55.552534000000001</v>
      </c>
      <c r="BA1047">
        <v>100</v>
      </c>
      <c r="BB1047">
        <v>0.63413299999999995</v>
      </c>
      <c r="BC1047">
        <v>31.706644000000001</v>
      </c>
      <c r="BD1047">
        <v>50</v>
      </c>
      <c r="BE1047">
        <v>0.465783</v>
      </c>
      <c r="BF1047">
        <v>23.289159999999999</v>
      </c>
      <c r="BG1047">
        <v>50</v>
      </c>
      <c r="BH1047">
        <v>0</v>
      </c>
      <c r="BI1047">
        <v>0.984375</v>
      </c>
      <c r="BJ1047">
        <v>0.99009899999999995</v>
      </c>
      <c r="BK1047">
        <v>0.97802199999999995</v>
      </c>
      <c r="BL1047">
        <v>0.97916700000000001</v>
      </c>
      <c r="BM1047">
        <v>0.98019800000000001</v>
      </c>
      <c r="BN1047">
        <v>0.97802199999999995</v>
      </c>
      <c r="BO1047">
        <v>0.97959200000000002</v>
      </c>
      <c r="BP1047">
        <v>1</v>
      </c>
      <c r="BQ1047">
        <v>0.95652199999999998</v>
      </c>
      <c r="BR1047">
        <v>9.4044000000000003E-2</v>
      </c>
      <c r="BS1047">
        <v>41.191223000000001</v>
      </c>
      <c r="BT1047">
        <v>50</v>
      </c>
      <c r="BU1047">
        <v>0.15976299999999999</v>
      </c>
      <c r="BV1047">
        <v>28.047336999999999</v>
      </c>
      <c r="BW1047">
        <v>50</v>
      </c>
      <c r="BX1047" t="s">
        <v>125</v>
      </c>
      <c r="BY1047" t="s">
        <v>125</v>
      </c>
      <c r="BZ1047" t="s">
        <v>125</v>
      </c>
      <c r="CA1047" t="s">
        <v>125</v>
      </c>
      <c r="CB1047" t="s">
        <v>125</v>
      </c>
      <c r="CC1047" t="s">
        <v>125</v>
      </c>
      <c r="CD1047" t="s">
        <v>125</v>
      </c>
      <c r="CE1047" t="s">
        <v>125</v>
      </c>
      <c r="CF1047" t="s">
        <v>125</v>
      </c>
      <c r="CG1047" t="s">
        <v>125</v>
      </c>
      <c r="CH1047" t="s">
        <v>125</v>
      </c>
      <c r="CI1047" t="s">
        <v>125</v>
      </c>
      <c r="CJ1047" t="s">
        <v>125</v>
      </c>
      <c r="CK1047" t="s">
        <v>125</v>
      </c>
      <c r="CL1047" t="s">
        <v>125</v>
      </c>
      <c r="CM1047" t="s">
        <v>125</v>
      </c>
      <c r="CN1047" t="s">
        <v>125</v>
      </c>
      <c r="CO1047" t="s">
        <v>125</v>
      </c>
      <c r="CP1047" t="s">
        <v>125</v>
      </c>
      <c r="CQ1047">
        <v>0.36082500000000001</v>
      </c>
      <c r="CR1047">
        <v>0.97979799999999995</v>
      </c>
      <c r="CS1047">
        <v>24.054983</v>
      </c>
      <c r="CT1047">
        <v>50</v>
      </c>
      <c r="CU1047" t="s">
        <v>125</v>
      </c>
      <c r="CV1047" t="s">
        <v>125</v>
      </c>
      <c r="CW1047" t="s">
        <v>125</v>
      </c>
      <c r="CX1047" t="s">
        <v>125</v>
      </c>
      <c r="CY1047" t="s">
        <v>125</v>
      </c>
      <c r="CZ1047" t="s">
        <v>125</v>
      </c>
      <c r="DA1047">
        <v>15.314097</v>
      </c>
      <c r="DB1047">
        <v>17.400950000000002</v>
      </c>
      <c r="DC1047">
        <v>16.332519999999999</v>
      </c>
      <c r="DD1047" t="s">
        <v>125</v>
      </c>
      <c r="DE1047">
        <v>1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Q1047" t="s">
        <v>126</v>
      </c>
    </row>
    <row r="1048" spans="1:121" x14ac:dyDescent="0.15">
      <c r="A1048">
        <v>2018</v>
      </c>
      <c r="B1048" t="s">
        <v>209</v>
      </c>
      <c r="C1048" t="str">
        <f t="shared" si="49"/>
        <v>1590011</v>
      </c>
      <c r="D1048" t="s">
        <v>1193</v>
      </c>
      <c r="E1048" t="str">
        <f>"1590211"</f>
        <v>1590211</v>
      </c>
      <c r="F1048" t="s">
        <v>328</v>
      </c>
      <c r="G1048" t="s">
        <v>339</v>
      </c>
      <c r="H1048">
        <v>6</v>
      </c>
      <c r="I1048" t="s">
        <v>330</v>
      </c>
      <c r="J1048" t="s">
        <v>331</v>
      </c>
      <c r="K1048">
        <v>727.02086699999995</v>
      </c>
      <c r="L1048">
        <v>950</v>
      </c>
      <c r="M1048">
        <v>76.528512000000006</v>
      </c>
      <c r="N1048">
        <v>2</v>
      </c>
      <c r="O1048">
        <v>0</v>
      </c>
      <c r="P1048">
        <v>73.236419999999995</v>
      </c>
      <c r="Q1048">
        <v>48.824280000000002</v>
      </c>
      <c r="R1048">
        <v>50</v>
      </c>
      <c r="S1048">
        <v>65.774241000000004</v>
      </c>
      <c r="T1048">
        <v>75</v>
      </c>
      <c r="U1048">
        <v>43.849494</v>
      </c>
      <c r="V1048">
        <v>50</v>
      </c>
      <c r="W1048">
        <v>67.954577999999998</v>
      </c>
      <c r="X1048">
        <v>45.303052000000001</v>
      </c>
      <c r="Y1048">
        <v>50</v>
      </c>
      <c r="Z1048">
        <v>73.905085999999997</v>
      </c>
      <c r="AA1048">
        <v>60.941479999999999</v>
      </c>
      <c r="AB1048">
        <v>40.627653000000002</v>
      </c>
      <c r="AC1048">
        <v>50</v>
      </c>
      <c r="AD1048">
        <v>70.106821999999994</v>
      </c>
      <c r="AE1048">
        <v>46.737881000000002</v>
      </c>
      <c r="AF1048">
        <v>50</v>
      </c>
      <c r="AG1048">
        <v>65.862643000000006</v>
      </c>
      <c r="AH1048">
        <v>74.492473000000004</v>
      </c>
      <c r="AI1048">
        <v>43.908428999999998</v>
      </c>
      <c r="AJ1048">
        <v>50</v>
      </c>
      <c r="AK1048">
        <v>9.2200000000000006</v>
      </c>
      <c r="AL1048">
        <v>12.96</v>
      </c>
      <c r="AM1048">
        <v>8.6199999999999992</v>
      </c>
      <c r="AN1048">
        <v>0.65237800000000001</v>
      </c>
      <c r="AO1048">
        <v>65.237823000000006</v>
      </c>
      <c r="AP1048">
        <v>100</v>
      </c>
      <c r="AQ1048">
        <v>0.73102999999999996</v>
      </c>
      <c r="AR1048">
        <v>73.103018000000006</v>
      </c>
      <c r="AS1048">
        <v>100</v>
      </c>
      <c r="AT1048">
        <v>0.55647999999999997</v>
      </c>
      <c r="AU1048">
        <v>0.71458200000000005</v>
      </c>
      <c r="AV1048">
        <v>55.648026000000002</v>
      </c>
      <c r="AW1048">
        <v>100</v>
      </c>
      <c r="AX1048">
        <v>0.63242100000000001</v>
      </c>
      <c r="AY1048">
        <v>0.79499299999999995</v>
      </c>
      <c r="AZ1048">
        <v>63.242148</v>
      </c>
      <c r="BA1048">
        <v>100</v>
      </c>
      <c r="BB1048">
        <v>0.81606299999999998</v>
      </c>
      <c r="BC1048">
        <v>40.803162</v>
      </c>
      <c r="BD1048">
        <v>50</v>
      </c>
      <c r="BE1048">
        <v>0.56785200000000002</v>
      </c>
      <c r="BF1048">
        <v>28.392617999999999</v>
      </c>
      <c r="BG1048">
        <v>50</v>
      </c>
      <c r="BH1048">
        <v>0</v>
      </c>
      <c r="BI1048">
        <v>0.97674399999999995</v>
      </c>
      <c r="BJ1048">
        <v>0.98333300000000001</v>
      </c>
      <c r="BK1048">
        <v>0.97101400000000004</v>
      </c>
      <c r="BL1048">
        <v>0.97674399999999995</v>
      </c>
      <c r="BM1048">
        <v>0.98333300000000001</v>
      </c>
      <c r="BN1048">
        <v>0.97101400000000004</v>
      </c>
      <c r="BO1048">
        <v>1</v>
      </c>
      <c r="BP1048">
        <v>1</v>
      </c>
      <c r="BQ1048">
        <v>1</v>
      </c>
      <c r="BR1048">
        <v>2.3147999999999998E-2</v>
      </c>
      <c r="BS1048">
        <v>50</v>
      </c>
      <c r="BT1048">
        <v>50</v>
      </c>
      <c r="BU1048">
        <v>3.6269000000000003E-2</v>
      </c>
      <c r="BV1048">
        <v>50</v>
      </c>
      <c r="BW1048">
        <v>50</v>
      </c>
      <c r="BX1048" t="s">
        <v>125</v>
      </c>
      <c r="BY1048" t="s">
        <v>125</v>
      </c>
      <c r="BZ1048" t="s">
        <v>125</v>
      </c>
      <c r="CA1048" t="s">
        <v>125</v>
      </c>
      <c r="CB1048" t="s">
        <v>125</v>
      </c>
      <c r="CC1048" t="s">
        <v>125</v>
      </c>
      <c r="CD1048" t="s">
        <v>125</v>
      </c>
      <c r="CE1048" t="s">
        <v>125</v>
      </c>
      <c r="CF1048" t="s">
        <v>125</v>
      </c>
      <c r="CG1048" t="s">
        <v>125</v>
      </c>
      <c r="CH1048" t="s">
        <v>125</v>
      </c>
      <c r="CI1048" t="s">
        <v>125</v>
      </c>
      <c r="CJ1048" t="s">
        <v>125</v>
      </c>
      <c r="CK1048" t="s">
        <v>125</v>
      </c>
      <c r="CL1048" t="s">
        <v>125</v>
      </c>
      <c r="CM1048" t="s">
        <v>125</v>
      </c>
      <c r="CN1048" t="s">
        <v>125</v>
      </c>
      <c r="CO1048" t="s">
        <v>125</v>
      </c>
      <c r="CP1048" t="s">
        <v>125</v>
      </c>
      <c r="CQ1048">
        <v>0.47014899999999998</v>
      </c>
      <c r="CR1048">
        <v>0.96402900000000002</v>
      </c>
      <c r="CS1048">
        <v>31.343284000000001</v>
      </c>
      <c r="CT1048">
        <v>50</v>
      </c>
      <c r="CU1048" t="s">
        <v>125</v>
      </c>
      <c r="CV1048" t="s">
        <v>125</v>
      </c>
      <c r="CW1048" t="s">
        <v>125</v>
      </c>
      <c r="CX1048" t="s">
        <v>125</v>
      </c>
      <c r="CY1048" t="s">
        <v>125</v>
      </c>
      <c r="CZ1048" t="s">
        <v>125</v>
      </c>
      <c r="DA1048">
        <v>15.314097</v>
      </c>
      <c r="DB1048">
        <v>17.400950000000002</v>
      </c>
      <c r="DC1048">
        <v>16.332519999999999</v>
      </c>
      <c r="DD1048" t="s">
        <v>125</v>
      </c>
      <c r="DE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Q1048" t="s">
        <v>126</v>
      </c>
    </row>
    <row r="1049" spans="1:121" x14ac:dyDescent="0.15">
      <c r="A1049">
        <v>2018</v>
      </c>
      <c r="B1049" t="s">
        <v>209</v>
      </c>
      <c r="C1049" t="str">
        <f t="shared" si="49"/>
        <v>1590011</v>
      </c>
      <c r="D1049" t="s">
        <v>1194</v>
      </c>
      <c r="E1049" t="str">
        <f>"1591111"</f>
        <v>1591111</v>
      </c>
      <c r="F1049" t="s">
        <v>328</v>
      </c>
      <c r="G1049" t="s">
        <v>339</v>
      </c>
      <c r="H1049">
        <v>6</v>
      </c>
      <c r="J1049" t="s">
        <v>331</v>
      </c>
      <c r="K1049">
        <v>694.36024099999997</v>
      </c>
      <c r="L1049">
        <v>950</v>
      </c>
      <c r="M1049">
        <v>73.090552000000002</v>
      </c>
      <c r="N1049">
        <v>3</v>
      </c>
      <c r="O1049">
        <v>1</v>
      </c>
      <c r="P1049">
        <v>79.127812000000006</v>
      </c>
      <c r="Q1049">
        <v>50</v>
      </c>
      <c r="R1049">
        <v>50</v>
      </c>
      <c r="S1049">
        <v>67.508083999999997</v>
      </c>
      <c r="T1049">
        <v>75</v>
      </c>
      <c r="U1049">
        <v>45.005389000000001</v>
      </c>
      <c r="V1049">
        <v>50</v>
      </c>
      <c r="W1049">
        <v>73.217174</v>
      </c>
      <c r="X1049">
        <v>48.811450000000001</v>
      </c>
      <c r="Y1049">
        <v>50</v>
      </c>
      <c r="Z1049">
        <v>75</v>
      </c>
      <c r="AA1049">
        <v>61.281348000000001</v>
      </c>
      <c r="AB1049">
        <v>40.854232000000003</v>
      </c>
      <c r="AC1049">
        <v>50</v>
      </c>
      <c r="AD1049">
        <v>69.292899000000006</v>
      </c>
      <c r="AE1049">
        <v>46.195265999999997</v>
      </c>
      <c r="AF1049">
        <v>50</v>
      </c>
      <c r="AG1049">
        <v>56.986559</v>
      </c>
      <c r="AH1049">
        <v>75</v>
      </c>
      <c r="AI1049">
        <v>37.991039000000001</v>
      </c>
      <c r="AJ1049">
        <v>50</v>
      </c>
      <c r="AK1049">
        <v>7.49</v>
      </c>
      <c r="AL1049">
        <v>13.71</v>
      </c>
      <c r="AM1049">
        <v>18.010000000000002</v>
      </c>
      <c r="AN1049">
        <v>0.660667</v>
      </c>
      <c r="AO1049">
        <v>66.066714000000005</v>
      </c>
      <c r="AP1049">
        <v>100</v>
      </c>
      <c r="AQ1049">
        <v>0.60385800000000001</v>
      </c>
      <c r="AR1049">
        <v>60.385846000000001</v>
      </c>
      <c r="AS1049">
        <v>100</v>
      </c>
      <c r="AT1049">
        <v>0.561469</v>
      </c>
      <c r="AU1049">
        <v>0.70235899999999996</v>
      </c>
      <c r="AV1049">
        <v>56.146920000000001</v>
      </c>
      <c r="AW1049">
        <v>100</v>
      </c>
      <c r="AX1049">
        <v>0.49610799999999999</v>
      </c>
      <c r="AY1049">
        <v>0.64914499999999997</v>
      </c>
      <c r="AZ1049">
        <v>49.610767000000003</v>
      </c>
      <c r="BA1049">
        <v>100</v>
      </c>
      <c r="BB1049">
        <v>0.73661799999999999</v>
      </c>
      <c r="BC1049">
        <v>36.830919999999999</v>
      </c>
      <c r="BD1049">
        <v>50</v>
      </c>
      <c r="BE1049">
        <v>0.53276900000000005</v>
      </c>
      <c r="BF1049">
        <v>26.638465</v>
      </c>
      <c r="BG1049">
        <v>50</v>
      </c>
      <c r="BH1049">
        <v>0</v>
      </c>
      <c r="BI1049">
        <v>0.99632399999999999</v>
      </c>
      <c r="BJ1049">
        <v>1</v>
      </c>
      <c r="BK1049">
        <v>0.99453599999999998</v>
      </c>
      <c r="BL1049">
        <v>0.99632399999999999</v>
      </c>
      <c r="BM1049">
        <v>1</v>
      </c>
      <c r="BN1049">
        <v>0.99453599999999998</v>
      </c>
      <c r="BO1049">
        <v>1</v>
      </c>
      <c r="BP1049">
        <v>1</v>
      </c>
      <c r="BQ1049">
        <v>1</v>
      </c>
      <c r="BR1049">
        <v>2.6667E-2</v>
      </c>
      <c r="BS1049">
        <v>50</v>
      </c>
      <c r="BT1049">
        <v>50</v>
      </c>
      <c r="BU1049">
        <v>6.25E-2</v>
      </c>
      <c r="BV1049">
        <v>47.5</v>
      </c>
      <c r="BW1049">
        <v>50</v>
      </c>
      <c r="BX1049" t="s">
        <v>125</v>
      </c>
      <c r="BY1049" t="s">
        <v>125</v>
      </c>
      <c r="BZ1049" t="s">
        <v>125</v>
      </c>
      <c r="CA1049" t="s">
        <v>125</v>
      </c>
      <c r="CB1049" t="s">
        <v>125</v>
      </c>
      <c r="CC1049" t="s">
        <v>125</v>
      </c>
      <c r="CD1049" t="s">
        <v>125</v>
      </c>
      <c r="CE1049" t="s">
        <v>125</v>
      </c>
      <c r="CF1049" t="s">
        <v>125</v>
      </c>
      <c r="CG1049" t="s">
        <v>125</v>
      </c>
      <c r="CH1049" t="s">
        <v>125</v>
      </c>
      <c r="CI1049" t="s">
        <v>125</v>
      </c>
      <c r="CJ1049" t="s">
        <v>125</v>
      </c>
      <c r="CK1049" t="s">
        <v>125</v>
      </c>
      <c r="CL1049" t="s">
        <v>125</v>
      </c>
      <c r="CM1049" t="s">
        <v>125</v>
      </c>
      <c r="CN1049" t="s">
        <v>125</v>
      </c>
      <c r="CO1049" t="s">
        <v>125</v>
      </c>
      <c r="CP1049" t="s">
        <v>125</v>
      </c>
      <c r="CQ1049">
        <v>0.484848</v>
      </c>
      <c r="CR1049">
        <v>1.0076339999999999</v>
      </c>
      <c r="CS1049">
        <v>32.323231999999997</v>
      </c>
      <c r="CT1049">
        <v>50</v>
      </c>
      <c r="CU1049" t="s">
        <v>125</v>
      </c>
      <c r="CV1049" t="s">
        <v>125</v>
      </c>
      <c r="CW1049" t="s">
        <v>125</v>
      </c>
      <c r="CX1049" t="s">
        <v>125</v>
      </c>
      <c r="CY1049" t="s">
        <v>125</v>
      </c>
      <c r="CZ1049" t="s">
        <v>125</v>
      </c>
      <c r="DA1049">
        <v>15.314097</v>
      </c>
      <c r="DB1049">
        <v>17.400950000000002</v>
      </c>
      <c r="DC1049">
        <v>16.332519999999999</v>
      </c>
      <c r="DD1049" t="s">
        <v>125</v>
      </c>
      <c r="DE1049">
        <v>1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Q1049" t="s">
        <v>126</v>
      </c>
    </row>
    <row r="1050" spans="1:121" x14ac:dyDescent="0.15">
      <c r="A1050">
        <v>2018</v>
      </c>
      <c r="B1050" t="s">
        <v>209</v>
      </c>
      <c r="C1050" t="str">
        <f t="shared" si="49"/>
        <v>1590011</v>
      </c>
      <c r="D1050" t="s">
        <v>1195</v>
      </c>
      <c r="E1050" t="str">
        <f>"1591211"</f>
        <v>1591211</v>
      </c>
      <c r="F1050" t="s">
        <v>328</v>
      </c>
      <c r="G1050" t="s">
        <v>329</v>
      </c>
      <c r="H1050">
        <v>6</v>
      </c>
      <c r="I1050" t="s">
        <v>330</v>
      </c>
      <c r="J1050" t="s">
        <v>331</v>
      </c>
      <c r="K1050">
        <v>573.33406500000001</v>
      </c>
      <c r="L1050">
        <v>800</v>
      </c>
      <c r="M1050">
        <v>71.666758000000002</v>
      </c>
      <c r="N1050">
        <v>3</v>
      </c>
      <c r="O1050">
        <v>1</v>
      </c>
      <c r="P1050">
        <v>76.761374000000004</v>
      </c>
      <c r="Q1050">
        <v>50</v>
      </c>
      <c r="R1050">
        <v>50</v>
      </c>
      <c r="S1050">
        <v>62.655593000000003</v>
      </c>
      <c r="T1050">
        <v>75</v>
      </c>
      <c r="U1050">
        <v>41.770395000000001</v>
      </c>
      <c r="V1050">
        <v>50</v>
      </c>
      <c r="W1050">
        <v>70.498739</v>
      </c>
      <c r="X1050">
        <v>46.999158999999999</v>
      </c>
      <c r="Y1050">
        <v>50</v>
      </c>
      <c r="Z1050">
        <v>75</v>
      </c>
      <c r="AA1050">
        <v>56.632568999999997</v>
      </c>
      <c r="AB1050">
        <v>37.755046</v>
      </c>
      <c r="AC1050">
        <v>50</v>
      </c>
      <c r="AD1050">
        <v>80.418799000000007</v>
      </c>
      <c r="AE1050">
        <v>50</v>
      </c>
      <c r="AF1050">
        <v>50</v>
      </c>
      <c r="AG1050" t="s">
        <v>125</v>
      </c>
      <c r="AH1050" t="s">
        <v>125</v>
      </c>
      <c r="AI1050" t="s">
        <v>125</v>
      </c>
      <c r="AJ1050" t="s">
        <v>125</v>
      </c>
      <c r="AK1050">
        <v>12.34</v>
      </c>
      <c r="AL1050">
        <v>18.36</v>
      </c>
      <c r="AM1050" t="s">
        <v>125</v>
      </c>
      <c r="AN1050">
        <v>0.61036699999999999</v>
      </c>
      <c r="AO1050">
        <v>61.036650000000002</v>
      </c>
      <c r="AP1050">
        <v>100</v>
      </c>
      <c r="AQ1050">
        <v>0.68000400000000005</v>
      </c>
      <c r="AR1050">
        <v>68.000405999999998</v>
      </c>
      <c r="AS1050">
        <v>100</v>
      </c>
      <c r="AT1050">
        <v>0.382185</v>
      </c>
      <c r="AU1050">
        <v>0.68924399999999997</v>
      </c>
      <c r="AV1050">
        <v>38.218539</v>
      </c>
      <c r="AW1050">
        <v>100</v>
      </c>
      <c r="AX1050">
        <v>0.53572500000000001</v>
      </c>
      <c r="AY1050">
        <v>0.73114100000000004</v>
      </c>
      <c r="AZ1050">
        <v>53.572513999999998</v>
      </c>
      <c r="BA1050">
        <v>100</v>
      </c>
      <c r="BB1050" t="s">
        <v>125</v>
      </c>
      <c r="BC1050" t="s">
        <v>125</v>
      </c>
      <c r="BD1050" t="s">
        <v>125</v>
      </c>
      <c r="BE1050" t="s">
        <v>125</v>
      </c>
      <c r="BF1050" t="s">
        <v>125</v>
      </c>
      <c r="BG1050" t="s">
        <v>125</v>
      </c>
      <c r="BH1050">
        <v>0</v>
      </c>
      <c r="BI1050">
        <v>0.99371100000000001</v>
      </c>
      <c r="BJ1050">
        <v>0.981132</v>
      </c>
      <c r="BK1050">
        <v>1</v>
      </c>
      <c r="BL1050">
        <v>0.98742099999999999</v>
      </c>
      <c r="BM1050">
        <v>0.981132</v>
      </c>
      <c r="BN1050">
        <v>0.99056599999999995</v>
      </c>
      <c r="BO1050">
        <v>1</v>
      </c>
      <c r="BP1050" t="s">
        <v>125</v>
      </c>
      <c r="BQ1050" t="s">
        <v>125</v>
      </c>
      <c r="BR1050">
        <v>2.2814000000000001E-2</v>
      </c>
      <c r="BS1050">
        <v>50</v>
      </c>
      <c r="BT1050">
        <v>50</v>
      </c>
      <c r="BU1050">
        <v>6.1856000000000001E-2</v>
      </c>
      <c r="BV1050">
        <v>47.628866000000002</v>
      </c>
      <c r="BW1050">
        <v>50</v>
      </c>
      <c r="BX1050" t="s">
        <v>125</v>
      </c>
      <c r="BY1050" t="s">
        <v>125</v>
      </c>
      <c r="BZ1050" t="s">
        <v>125</v>
      </c>
      <c r="CA1050" t="s">
        <v>125</v>
      </c>
      <c r="CB1050" t="s">
        <v>125</v>
      </c>
      <c r="CC1050" t="s">
        <v>125</v>
      </c>
      <c r="CD1050" t="s">
        <v>125</v>
      </c>
      <c r="CE1050" t="s">
        <v>125</v>
      </c>
      <c r="CF1050" t="s">
        <v>125</v>
      </c>
      <c r="CG1050" t="s">
        <v>125</v>
      </c>
      <c r="CH1050" t="s">
        <v>125</v>
      </c>
      <c r="CI1050" t="s">
        <v>125</v>
      </c>
      <c r="CJ1050" t="s">
        <v>125</v>
      </c>
      <c r="CK1050" t="s">
        <v>125</v>
      </c>
      <c r="CL1050" t="s">
        <v>125</v>
      </c>
      <c r="CM1050" t="s">
        <v>125</v>
      </c>
      <c r="CN1050" t="s">
        <v>125</v>
      </c>
      <c r="CO1050" t="s">
        <v>125</v>
      </c>
      <c r="CP1050" t="s">
        <v>125</v>
      </c>
      <c r="CQ1050">
        <v>0.42528700000000003</v>
      </c>
      <c r="CR1050">
        <v>1</v>
      </c>
      <c r="CS1050">
        <v>28.35249</v>
      </c>
      <c r="CT1050">
        <v>50</v>
      </c>
      <c r="CU1050" t="s">
        <v>125</v>
      </c>
      <c r="CV1050" t="s">
        <v>125</v>
      </c>
      <c r="CW1050" t="s">
        <v>125</v>
      </c>
      <c r="CX1050" t="s">
        <v>125</v>
      </c>
      <c r="CY1050" t="s">
        <v>125</v>
      </c>
      <c r="CZ1050" t="s">
        <v>125</v>
      </c>
      <c r="DA1050">
        <v>15.314097</v>
      </c>
      <c r="DB1050">
        <v>17.400950000000002</v>
      </c>
      <c r="DC1050">
        <v>16.332519999999999</v>
      </c>
      <c r="DD1050" t="s">
        <v>125</v>
      </c>
      <c r="DE1050">
        <v>1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Q1050" t="s">
        <v>126</v>
      </c>
    </row>
    <row r="1051" spans="1:121" x14ac:dyDescent="0.15">
      <c r="A1051">
        <v>2018</v>
      </c>
      <c r="B1051" t="s">
        <v>209</v>
      </c>
      <c r="C1051" t="str">
        <f t="shared" si="49"/>
        <v>1590011</v>
      </c>
      <c r="D1051" t="s">
        <v>1196</v>
      </c>
      <c r="E1051" t="str">
        <f>"1595211"</f>
        <v>1595211</v>
      </c>
      <c r="F1051" t="s">
        <v>328</v>
      </c>
      <c r="G1051">
        <v>7</v>
      </c>
      <c r="H1051">
        <v>8</v>
      </c>
      <c r="J1051" t="s">
        <v>331</v>
      </c>
      <c r="K1051">
        <v>662.63052200000004</v>
      </c>
      <c r="L1051">
        <v>900</v>
      </c>
      <c r="M1051">
        <v>73.625613999999999</v>
      </c>
      <c r="N1051">
        <v>3</v>
      </c>
      <c r="O1051">
        <v>1</v>
      </c>
      <c r="P1051">
        <v>71.582762000000002</v>
      </c>
      <c r="Q1051">
        <v>47.721840999999998</v>
      </c>
      <c r="R1051">
        <v>50</v>
      </c>
      <c r="S1051">
        <v>58.439135999999998</v>
      </c>
      <c r="T1051">
        <v>75</v>
      </c>
      <c r="U1051">
        <v>38.959423999999999</v>
      </c>
      <c r="V1051">
        <v>50</v>
      </c>
      <c r="W1051">
        <v>69.535928999999996</v>
      </c>
      <c r="X1051">
        <v>46.357286000000002</v>
      </c>
      <c r="Y1051">
        <v>50</v>
      </c>
      <c r="Z1051">
        <v>75</v>
      </c>
      <c r="AA1051">
        <v>56.844755999999997</v>
      </c>
      <c r="AB1051">
        <v>37.896504</v>
      </c>
      <c r="AC1051">
        <v>50</v>
      </c>
      <c r="AD1051">
        <v>68.859278000000003</v>
      </c>
      <c r="AE1051">
        <v>45.906185000000001</v>
      </c>
      <c r="AF1051">
        <v>50</v>
      </c>
      <c r="AG1051">
        <v>60.614139000000002</v>
      </c>
      <c r="AH1051">
        <v>73.262930999999995</v>
      </c>
      <c r="AI1051">
        <v>40.409426000000003</v>
      </c>
      <c r="AJ1051">
        <v>50</v>
      </c>
      <c r="AK1051">
        <v>16.559999999999999</v>
      </c>
      <c r="AL1051">
        <v>18.149999999999999</v>
      </c>
      <c r="AM1051">
        <v>12.64</v>
      </c>
      <c r="AN1051">
        <v>0.54433600000000004</v>
      </c>
      <c r="AO1051">
        <v>54.433602999999998</v>
      </c>
      <c r="AP1051">
        <v>100</v>
      </c>
      <c r="AQ1051">
        <v>0.65916699999999995</v>
      </c>
      <c r="AR1051">
        <v>65.916651000000002</v>
      </c>
      <c r="AS1051">
        <v>100</v>
      </c>
      <c r="AT1051">
        <v>0.42668099999999998</v>
      </c>
      <c r="AU1051">
        <v>0.60629599999999995</v>
      </c>
      <c r="AV1051">
        <v>42.668095000000001</v>
      </c>
      <c r="AW1051">
        <v>100</v>
      </c>
      <c r="AX1051">
        <v>0.63798500000000002</v>
      </c>
      <c r="AY1051">
        <v>0.67035500000000003</v>
      </c>
      <c r="AZ1051">
        <v>63.798473999999999</v>
      </c>
      <c r="BA1051">
        <v>100</v>
      </c>
      <c r="BB1051" t="s">
        <v>125</v>
      </c>
      <c r="BC1051" t="s">
        <v>125</v>
      </c>
      <c r="BD1051" t="s">
        <v>125</v>
      </c>
      <c r="BE1051" t="s">
        <v>125</v>
      </c>
      <c r="BF1051" t="s">
        <v>125</v>
      </c>
      <c r="BG1051" t="s">
        <v>125</v>
      </c>
      <c r="BH1051">
        <v>0</v>
      </c>
      <c r="BI1051">
        <v>0.99814099999999994</v>
      </c>
      <c r="BJ1051">
        <v>0.99509800000000004</v>
      </c>
      <c r="BK1051">
        <v>1</v>
      </c>
      <c r="BL1051">
        <v>0.99628300000000003</v>
      </c>
      <c r="BM1051">
        <v>0.99509800000000004</v>
      </c>
      <c r="BN1051">
        <v>0.99700599999999995</v>
      </c>
      <c r="BO1051">
        <v>1</v>
      </c>
      <c r="BP1051">
        <v>1</v>
      </c>
      <c r="BQ1051">
        <v>1</v>
      </c>
      <c r="BR1051">
        <v>4.4609999999999997E-2</v>
      </c>
      <c r="BS1051">
        <v>50</v>
      </c>
      <c r="BT1051">
        <v>50</v>
      </c>
      <c r="BU1051">
        <v>7.8125E-2</v>
      </c>
      <c r="BV1051">
        <v>44.375</v>
      </c>
      <c r="BW1051">
        <v>50</v>
      </c>
      <c r="BX1051" t="s">
        <v>125</v>
      </c>
      <c r="BY1051" t="s">
        <v>125</v>
      </c>
      <c r="BZ1051" t="s">
        <v>125</v>
      </c>
      <c r="CA1051" t="s">
        <v>125</v>
      </c>
      <c r="CB1051" t="s">
        <v>125</v>
      </c>
      <c r="CC1051" t="s">
        <v>125</v>
      </c>
      <c r="CD1051">
        <v>0.94202900000000001</v>
      </c>
      <c r="CE1051">
        <v>50</v>
      </c>
      <c r="CF1051">
        <v>50</v>
      </c>
      <c r="CG1051" t="s">
        <v>125</v>
      </c>
      <c r="CH1051" t="s">
        <v>125</v>
      </c>
      <c r="CI1051" t="s">
        <v>125</v>
      </c>
      <c r="CJ1051" t="s">
        <v>125</v>
      </c>
      <c r="CK1051" t="s">
        <v>125</v>
      </c>
      <c r="CL1051" t="s">
        <v>125</v>
      </c>
      <c r="CM1051" t="s">
        <v>125</v>
      </c>
      <c r="CN1051" t="s">
        <v>125</v>
      </c>
      <c r="CO1051" t="s">
        <v>125</v>
      </c>
      <c r="CP1051" t="s">
        <v>125</v>
      </c>
      <c r="CQ1051">
        <v>0.51282099999999997</v>
      </c>
      <c r="CR1051">
        <v>0.98201400000000005</v>
      </c>
      <c r="CS1051">
        <v>34.188034000000002</v>
      </c>
      <c r="CT1051">
        <v>50</v>
      </c>
      <c r="CU1051" t="s">
        <v>125</v>
      </c>
      <c r="CV1051" t="s">
        <v>125</v>
      </c>
      <c r="CW1051" t="s">
        <v>125</v>
      </c>
      <c r="CX1051" t="s">
        <v>125</v>
      </c>
      <c r="CY1051" t="s">
        <v>125</v>
      </c>
      <c r="CZ1051" t="s">
        <v>125</v>
      </c>
      <c r="DA1051">
        <v>15.314097</v>
      </c>
      <c r="DB1051">
        <v>17.400950000000002</v>
      </c>
      <c r="DC1051">
        <v>16.332519999999999</v>
      </c>
      <c r="DD1051" t="s">
        <v>125</v>
      </c>
      <c r="DE1051">
        <v>1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Q1051" t="s">
        <v>126</v>
      </c>
    </row>
    <row r="1052" spans="1:121" x14ac:dyDescent="0.15">
      <c r="A1052">
        <v>2018</v>
      </c>
      <c r="B1052" t="s">
        <v>209</v>
      </c>
      <c r="C1052" t="str">
        <f t="shared" si="49"/>
        <v>1590011</v>
      </c>
      <c r="D1052" t="s">
        <v>1197</v>
      </c>
      <c r="E1052" t="str">
        <f>"1596111"</f>
        <v>1596111</v>
      </c>
      <c r="F1052" t="s">
        <v>328</v>
      </c>
      <c r="G1052">
        <v>9</v>
      </c>
      <c r="H1052">
        <v>12</v>
      </c>
      <c r="J1052" t="s">
        <v>331</v>
      </c>
      <c r="K1052">
        <v>1213.35888</v>
      </c>
      <c r="L1052">
        <v>1550</v>
      </c>
      <c r="M1052">
        <v>78.281217999999996</v>
      </c>
      <c r="N1052">
        <v>3</v>
      </c>
      <c r="O1052">
        <v>1</v>
      </c>
      <c r="P1052">
        <v>60.294007000000001</v>
      </c>
      <c r="Q1052">
        <v>120.588015</v>
      </c>
      <c r="R1052">
        <v>150</v>
      </c>
      <c r="S1052">
        <v>48.339661999999997</v>
      </c>
      <c r="T1052">
        <v>65.317375999999996</v>
      </c>
      <c r="U1052">
        <v>96.679325000000006</v>
      </c>
      <c r="V1052">
        <v>150</v>
      </c>
      <c r="W1052">
        <v>57.503953000000003</v>
      </c>
      <c r="X1052">
        <v>115.007907</v>
      </c>
      <c r="Y1052">
        <v>150</v>
      </c>
      <c r="Z1052">
        <v>62.674644999999998</v>
      </c>
      <c r="AA1052">
        <v>45.199015000000003</v>
      </c>
      <c r="AB1052">
        <v>90.398031000000003</v>
      </c>
      <c r="AC1052">
        <v>150</v>
      </c>
      <c r="AD1052">
        <v>60.818345000000001</v>
      </c>
      <c r="AE1052">
        <v>81.091127</v>
      </c>
      <c r="AF1052">
        <v>100</v>
      </c>
      <c r="AG1052">
        <v>49.033569999999997</v>
      </c>
      <c r="AH1052">
        <v>65.770458000000005</v>
      </c>
      <c r="AI1052">
        <v>65.378093000000007</v>
      </c>
      <c r="AJ1052">
        <v>100</v>
      </c>
      <c r="AK1052">
        <v>16.97</v>
      </c>
      <c r="AL1052">
        <v>17.47</v>
      </c>
      <c r="AM1052">
        <v>16.73</v>
      </c>
      <c r="AN1052" t="s">
        <v>125</v>
      </c>
      <c r="AO1052" t="s">
        <v>125</v>
      </c>
      <c r="AP1052" t="s">
        <v>125</v>
      </c>
      <c r="AQ1052" t="s">
        <v>125</v>
      </c>
      <c r="AR1052" t="s">
        <v>125</v>
      </c>
      <c r="AS1052" t="s">
        <v>125</v>
      </c>
      <c r="AT1052" t="s">
        <v>125</v>
      </c>
      <c r="AU1052" t="s">
        <v>125</v>
      </c>
      <c r="AV1052" t="s">
        <v>125</v>
      </c>
      <c r="AW1052" t="s">
        <v>125</v>
      </c>
      <c r="AX1052" t="s">
        <v>125</v>
      </c>
      <c r="AY1052" t="s">
        <v>125</v>
      </c>
      <c r="AZ1052" t="s">
        <v>125</v>
      </c>
      <c r="BA1052" t="s">
        <v>125</v>
      </c>
      <c r="BB1052">
        <v>0.46273399999999998</v>
      </c>
      <c r="BC1052">
        <v>23.136714999999999</v>
      </c>
      <c r="BD1052">
        <v>50</v>
      </c>
      <c r="BE1052">
        <v>0.46742400000000001</v>
      </c>
      <c r="BF1052">
        <v>23.371212</v>
      </c>
      <c r="BG1052">
        <v>50</v>
      </c>
      <c r="BH1052">
        <v>0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0.99631000000000003</v>
      </c>
      <c r="BP1052">
        <v>1</v>
      </c>
      <c r="BQ1052">
        <v>0.99473699999999998</v>
      </c>
      <c r="BR1052">
        <v>4.8300999999999997E-2</v>
      </c>
      <c r="BS1052">
        <v>50</v>
      </c>
      <c r="BT1052">
        <v>50</v>
      </c>
      <c r="BU1052">
        <v>0.110429</v>
      </c>
      <c r="BV1052">
        <v>37.914110000000001</v>
      </c>
      <c r="BW1052">
        <v>50</v>
      </c>
      <c r="BX1052">
        <v>0.81651399999999996</v>
      </c>
      <c r="BY1052">
        <v>50</v>
      </c>
      <c r="BZ1052">
        <v>50</v>
      </c>
      <c r="CA1052">
        <v>0.48807299999999998</v>
      </c>
      <c r="CB1052">
        <v>32.538226000000002</v>
      </c>
      <c r="CC1052">
        <v>50</v>
      </c>
      <c r="CD1052">
        <v>0.94217700000000004</v>
      </c>
      <c r="CE1052">
        <v>50</v>
      </c>
      <c r="CF1052">
        <v>50</v>
      </c>
      <c r="CG1052">
        <v>0.95751600000000003</v>
      </c>
      <c r="CH1052">
        <v>100</v>
      </c>
      <c r="CI1052">
        <v>100</v>
      </c>
      <c r="CJ1052">
        <v>0</v>
      </c>
      <c r="CK1052">
        <v>0.90697700000000003</v>
      </c>
      <c r="CL1052">
        <v>96.486887999999993</v>
      </c>
      <c r="CM1052">
        <v>100</v>
      </c>
      <c r="CN1052">
        <v>0.80808100000000005</v>
      </c>
      <c r="CO1052">
        <v>100</v>
      </c>
      <c r="CP1052">
        <v>100</v>
      </c>
      <c r="CQ1052">
        <v>0.51162799999999997</v>
      </c>
      <c r="CR1052">
        <v>0.92473099999999997</v>
      </c>
      <c r="CS1052">
        <v>34.108527000000002</v>
      </c>
      <c r="CT1052">
        <v>50</v>
      </c>
      <c r="CU1052">
        <v>0.55992799999999998</v>
      </c>
      <c r="CV1052">
        <v>46.660704000000003</v>
      </c>
      <c r="CW1052">
        <v>50</v>
      </c>
      <c r="CX1052">
        <v>0.90697700000000003</v>
      </c>
      <c r="CY1052">
        <v>0.94</v>
      </c>
      <c r="CZ1052">
        <v>3.3022999999999997E-2</v>
      </c>
      <c r="DA1052">
        <v>15.314097</v>
      </c>
      <c r="DB1052">
        <v>17.400950000000002</v>
      </c>
      <c r="DC1052">
        <v>16.332519999999999</v>
      </c>
      <c r="DD1052">
        <v>7.9891730000000001</v>
      </c>
      <c r="DE1052">
        <v>1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Q1052" t="s">
        <v>126</v>
      </c>
    </row>
    <row r="1053" spans="1:121" x14ac:dyDescent="0.15">
      <c r="A1053">
        <v>2018</v>
      </c>
      <c r="B1053" t="s">
        <v>239</v>
      </c>
      <c r="C1053" t="str">
        <f>"1600011"</f>
        <v>1600011</v>
      </c>
      <c r="D1053" t="s">
        <v>516</v>
      </c>
      <c r="E1053" t="str">
        <f>"1600111"</f>
        <v>1600111</v>
      </c>
      <c r="F1053" t="s">
        <v>328</v>
      </c>
      <c r="G1053" t="s">
        <v>329</v>
      </c>
      <c r="H1053">
        <v>4</v>
      </c>
      <c r="I1053" t="s">
        <v>330</v>
      </c>
      <c r="J1053" t="s">
        <v>331</v>
      </c>
      <c r="K1053">
        <v>474.33204599999999</v>
      </c>
      <c r="L1053">
        <v>750</v>
      </c>
      <c r="M1053">
        <v>63.244273</v>
      </c>
      <c r="N1053">
        <v>3</v>
      </c>
      <c r="O1053">
        <v>0</v>
      </c>
      <c r="P1053">
        <v>70.174743000000007</v>
      </c>
      <c r="Q1053">
        <v>46.783161999999997</v>
      </c>
      <c r="R1053">
        <v>50</v>
      </c>
      <c r="S1053">
        <v>63.710343999999999</v>
      </c>
      <c r="T1053">
        <v>74.405985000000001</v>
      </c>
      <c r="U1053">
        <v>42.473562999999999</v>
      </c>
      <c r="V1053">
        <v>50</v>
      </c>
      <c r="W1053">
        <v>66.594931000000003</v>
      </c>
      <c r="X1053">
        <v>44.396621000000003</v>
      </c>
      <c r="Y1053">
        <v>50</v>
      </c>
      <c r="Z1053">
        <v>69.533688999999995</v>
      </c>
      <c r="AA1053">
        <v>62.105162</v>
      </c>
      <c r="AB1053">
        <v>41.403441000000001</v>
      </c>
      <c r="AC1053">
        <v>50</v>
      </c>
      <c r="AD1053" t="s">
        <v>125</v>
      </c>
      <c r="AE1053" t="s">
        <v>125</v>
      </c>
      <c r="AF1053" t="s">
        <v>125</v>
      </c>
      <c r="AG1053" t="s">
        <v>125</v>
      </c>
      <c r="AH1053" t="s">
        <v>125</v>
      </c>
      <c r="AI1053" t="s">
        <v>125</v>
      </c>
      <c r="AJ1053" t="s">
        <v>125</v>
      </c>
      <c r="AK1053">
        <v>10.69</v>
      </c>
      <c r="AL1053">
        <v>7.42</v>
      </c>
      <c r="AM1053" t="s">
        <v>125</v>
      </c>
      <c r="AN1053">
        <v>0.47649799999999998</v>
      </c>
      <c r="AO1053">
        <v>47.649835000000003</v>
      </c>
      <c r="AP1053">
        <v>100</v>
      </c>
      <c r="AQ1053">
        <v>0.46327499999999999</v>
      </c>
      <c r="AR1053">
        <v>46.327477000000002</v>
      </c>
      <c r="AS1053">
        <v>100</v>
      </c>
      <c r="AT1053">
        <v>0.31986500000000001</v>
      </c>
      <c r="AU1053">
        <v>0.59698499999999999</v>
      </c>
      <c r="AV1053">
        <v>31.986522000000001</v>
      </c>
      <c r="AW1053">
        <v>100</v>
      </c>
      <c r="AX1053">
        <v>0.50855300000000003</v>
      </c>
      <c r="AY1053">
        <v>0.42844599999999999</v>
      </c>
      <c r="AZ1053">
        <v>50.855266999999998</v>
      </c>
      <c r="BA1053">
        <v>100</v>
      </c>
      <c r="BB1053" t="s">
        <v>125</v>
      </c>
      <c r="BC1053" t="s">
        <v>125</v>
      </c>
      <c r="BD1053" t="s">
        <v>125</v>
      </c>
      <c r="BE1053" t="s">
        <v>125</v>
      </c>
      <c r="BF1053" t="s">
        <v>125</v>
      </c>
      <c r="BG1053" t="s">
        <v>125</v>
      </c>
      <c r="BH1053">
        <v>1</v>
      </c>
      <c r="BI1053">
        <v>0.96842099999999998</v>
      </c>
      <c r="BJ1053">
        <v>0.94736799999999999</v>
      </c>
      <c r="BK1053">
        <v>0.982456</v>
      </c>
      <c r="BL1053">
        <v>0.96842099999999998</v>
      </c>
      <c r="BM1053">
        <v>0.94736799999999999</v>
      </c>
      <c r="BN1053">
        <v>0.982456</v>
      </c>
      <c r="BO1053" t="s">
        <v>125</v>
      </c>
      <c r="BP1053" t="s">
        <v>125</v>
      </c>
      <c r="BQ1053" t="s">
        <v>125</v>
      </c>
      <c r="BR1053">
        <v>6.2200999999999999E-2</v>
      </c>
      <c r="BS1053">
        <v>47.559809000000001</v>
      </c>
      <c r="BT1053">
        <v>50</v>
      </c>
      <c r="BU1053">
        <v>0.113924</v>
      </c>
      <c r="BV1053">
        <v>37.21519</v>
      </c>
      <c r="BW1053">
        <v>50</v>
      </c>
      <c r="BX1053" t="s">
        <v>125</v>
      </c>
      <c r="BY1053" t="s">
        <v>125</v>
      </c>
      <c r="BZ1053" t="s">
        <v>125</v>
      </c>
      <c r="CA1053" t="s">
        <v>125</v>
      </c>
      <c r="CB1053" t="s">
        <v>125</v>
      </c>
      <c r="CC1053" t="s">
        <v>125</v>
      </c>
      <c r="CD1053" t="s">
        <v>125</v>
      </c>
      <c r="CE1053" t="s">
        <v>125</v>
      </c>
      <c r="CF1053" t="s">
        <v>125</v>
      </c>
      <c r="CG1053" t="s">
        <v>125</v>
      </c>
      <c r="CH1053" t="s">
        <v>125</v>
      </c>
      <c r="CI1053" t="s">
        <v>125</v>
      </c>
      <c r="CJ1053" t="s">
        <v>125</v>
      </c>
      <c r="CK1053" t="s">
        <v>125</v>
      </c>
      <c r="CL1053" t="s">
        <v>125</v>
      </c>
      <c r="CM1053" t="s">
        <v>125</v>
      </c>
      <c r="CN1053" t="s">
        <v>125</v>
      </c>
      <c r="CO1053" t="s">
        <v>125</v>
      </c>
      <c r="CP1053" t="s">
        <v>125</v>
      </c>
      <c r="CQ1053">
        <v>0.56521699999999997</v>
      </c>
      <c r="CR1053">
        <v>0.97872300000000001</v>
      </c>
      <c r="CS1053">
        <v>37.681159000000001</v>
      </c>
      <c r="CT1053">
        <v>50</v>
      </c>
      <c r="CU1053" t="s">
        <v>125</v>
      </c>
      <c r="CV1053" t="s">
        <v>125</v>
      </c>
      <c r="CW1053" t="s">
        <v>125</v>
      </c>
      <c r="CX1053" t="s">
        <v>125</v>
      </c>
      <c r="CY1053" t="s">
        <v>125</v>
      </c>
      <c r="CZ1053" t="s">
        <v>125</v>
      </c>
      <c r="DA1053">
        <v>15.314097</v>
      </c>
      <c r="DB1053">
        <v>17.400950000000002</v>
      </c>
      <c r="DC1053">
        <v>16.332519999999999</v>
      </c>
      <c r="DD1053" t="s">
        <v>125</v>
      </c>
      <c r="DE1053">
        <v>1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Q1053" t="s">
        <v>126</v>
      </c>
    </row>
    <row r="1054" spans="1:121" x14ac:dyDescent="0.15">
      <c r="A1054">
        <v>2018</v>
      </c>
      <c r="B1054" t="s">
        <v>239</v>
      </c>
      <c r="C1054" t="str">
        <f>"1600011"</f>
        <v>1600011</v>
      </c>
      <c r="D1054" t="s">
        <v>1198</v>
      </c>
      <c r="E1054" t="str">
        <f>"1605111"</f>
        <v>1605111</v>
      </c>
      <c r="F1054" t="s">
        <v>328</v>
      </c>
      <c r="G1054">
        <v>5</v>
      </c>
      <c r="H1054">
        <v>8</v>
      </c>
      <c r="I1054" t="s">
        <v>330</v>
      </c>
      <c r="J1054" t="s">
        <v>331</v>
      </c>
      <c r="K1054">
        <v>652.71110699999997</v>
      </c>
      <c r="L1054">
        <v>900</v>
      </c>
      <c r="M1054">
        <v>72.523455999999996</v>
      </c>
      <c r="N1054">
        <v>3</v>
      </c>
      <c r="O1054">
        <v>0</v>
      </c>
      <c r="P1054">
        <v>70.212084000000004</v>
      </c>
      <c r="Q1054">
        <v>46.808056000000001</v>
      </c>
      <c r="R1054">
        <v>50</v>
      </c>
      <c r="S1054">
        <v>64.125482000000005</v>
      </c>
      <c r="T1054">
        <v>73.982545999999999</v>
      </c>
      <c r="U1054">
        <v>42.750321999999997</v>
      </c>
      <c r="V1054">
        <v>50</v>
      </c>
      <c r="W1054">
        <v>68.084462000000002</v>
      </c>
      <c r="X1054">
        <v>45.389640999999997</v>
      </c>
      <c r="Y1054">
        <v>50</v>
      </c>
      <c r="Z1054">
        <v>73.494529</v>
      </c>
      <c r="AA1054">
        <v>59.351067</v>
      </c>
      <c r="AB1054">
        <v>39.567377999999998</v>
      </c>
      <c r="AC1054">
        <v>50</v>
      </c>
      <c r="AD1054">
        <v>66.577776999999998</v>
      </c>
      <c r="AE1054">
        <v>44.385185</v>
      </c>
      <c r="AF1054">
        <v>50</v>
      </c>
      <c r="AG1054">
        <v>58.1601</v>
      </c>
      <c r="AH1054">
        <v>71.989141000000004</v>
      </c>
      <c r="AI1054">
        <v>38.773400000000002</v>
      </c>
      <c r="AJ1054">
        <v>50</v>
      </c>
      <c r="AK1054">
        <v>9.85</v>
      </c>
      <c r="AL1054">
        <v>14.14</v>
      </c>
      <c r="AM1054">
        <v>13.82</v>
      </c>
      <c r="AN1054">
        <v>0.46778399999999998</v>
      </c>
      <c r="AO1054">
        <v>46.778412000000003</v>
      </c>
      <c r="AP1054">
        <v>100</v>
      </c>
      <c r="AQ1054">
        <v>0.66875200000000001</v>
      </c>
      <c r="AR1054">
        <v>66.875203999999997</v>
      </c>
      <c r="AS1054">
        <v>100</v>
      </c>
      <c r="AT1054">
        <v>0.42923699999999998</v>
      </c>
      <c r="AU1054">
        <v>0.49029899999999998</v>
      </c>
      <c r="AV1054">
        <v>42.923673999999998</v>
      </c>
      <c r="AW1054">
        <v>100</v>
      </c>
      <c r="AX1054">
        <v>0.61756299999999997</v>
      </c>
      <c r="AY1054">
        <v>0.69864999999999999</v>
      </c>
      <c r="AZ1054">
        <v>61.756321999999997</v>
      </c>
      <c r="BA1054">
        <v>100</v>
      </c>
      <c r="BB1054" t="s">
        <v>125</v>
      </c>
      <c r="BC1054" t="s">
        <v>125</v>
      </c>
      <c r="BD1054" t="s">
        <v>125</v>
      </c>
      <c r="BE1054" t="s">
        <v>125</v>
      </c>
      <c r="BF1054" t="s">
        <v>125</v>
      </c>
      <c r="BG1054" t="s">
        <v>125</v>
      </c>
      <c r="BH1054">
        <v>1</v>
      </c>
      <c r="BI1054">
        <v>0.97395799999999999</v>
      </c>
      <c r="BJ1054">
        <v>0.94594599999999995</v>
      </c>
      <c r="BK1054">
        <v>0.99152499999999999</v>
      </c>
      <c r="BL1054">
        <v>0.97395799999999999</v>
      </c>
      <c r="BM1054">
        <v>0.94594599999999995</v>
      </c>
      <c r="BN1054">
        <v>0.99152499999999999</v>
      </c>
      <c r="BO1054">
        <v>0.97297299999999998</v>
      </c>
      <c r="BP1054">
        <v>0.93103400000000003</v>
      </c>
      <c r="BQ1054">
        <v>1</v>
      </c>
      <c r="BR1054">
        <v>9.375E-2</v>
      </c>
      <c r="BS1054">
        <v>41.25</v>
      </c>
      <c r="BT1054">
        <v>50</v>
      </c>
      <c r="BU1054">
        <v>9.7222000000000003E-2</v>
      </c>
      <c r="BV1054">
        <v>40.555556000000003</v>
      </c>
      <c r="BW1054">
        <v>50</v>
      </c>
      <c r="BX1054" t="s">
        <v>125</v>
      </c>
      <c r="BY1054" t="s">
        <v>125</v>
      </c>
      <c r="BZ1054" t="s">
        <v>125</v>
      </c>
      <c r="CA1054" t="s">
        <v>125</v>
      </c>
      <c r="CB1054" t="s">
        <v>125</v>
      </c>
      <c r="CC1054" t="s">
        <v>125</v>
      </c>
      <c r="CD1054">
        <v>0.95652199999999998</v>
      </c>
      <c r="CE1054">
        <v>50</v>
      </c>
      <c r="CF1054">
        <v>50</v>
      </c>
      <c r="CG1054" t="s">
        <v>125</v>
      </c>
      <c r="CH1054" t="s">
        <v>125</v>
      </c>
      <c r="CI1054" t="s">
        <v>125</v>
      </c>
      <c r="CJ1054" t="s">
        <v>125</v>
      </c>
      <c r="CK1054" t="s">
        <v>125</v>
      </c>
      <c r="CL1054" t="s">
        <v>125</v>
      </c>
      <c r="CM1054" t="s">
        <v>125</v>
      </c>
      <c r="CN1054" t="s">
        <v>125</v>
      </c>
      <c r="CO1054" t="s">
        <v>125</v>
      </c>
      <c r="CP1054" t="s">
        <v>125</v>
      </c>
      <c r="CQ1054">
        <v>0.67346899999999998</v>
      </c>
      <c r="CR1054">
        <v>1</v>
      </c>
      <c r="CS1054">
        <v>44.897959</v>
      </c>
      <c r="CT1054">
        <v>50</v>
      </c>
      <c r="CU1054" t="s">
        <v>125</v>
      </c>
      <c r="CV1054" t="s">
        <v>125</v>
      </c>
      <c r="CW1054" t="s">
        <v>125</v>
      </c>
      <c r="CX1054" t="s">
        <v>125</v>
      </c>
      <c r="CY1054" t="s">
        <v>125</v>
      </c>
      <c r="CZ1054" t="s">
        <v>125</v>
      </c>
      <c r="DA1054">
        <v>15.314097</v>
      </c>
      <c r="DB1054">
        <v>17.400950000000002</v>
      </c>
      <c r="DC1054">
        <v>16.332519999999999</v>
      </c>
      <c r="DD1054" t="s">
        <v>125</v>
      </c>
      <c r="DE1054">
        <v>1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Q1054" t="s">
        <v>126</v>
      </c>
    </row>
    <row r="1055" spans="1:121" x14ac:dyDescent="0.15">
      <c r="A1055">
        <v>2018</v>
      </c>
      <c r="B1055" t="s">
        <v>192</v>
      </c>
      <c r="C1055" t="str">
        <f>"1610011"</f>
        <v>1610011</v>
      </c>
      <c r="D1055" t="s">
        <v>1199</v>
      </c>
      <c r="E1055" t="str">
        <f>"1610711"</f>
        <v>1610711</v>
      </c>
      <c r="F1055" t="s">
        <v>328</v>
      </c>
      <c r="G1055">
        <v>3</v>
      </c>
      <c r="H1055">
        <v>5</v>
      </c>
      <c r="I1055" t="s">
        <v>330</v>
      </c>
      <c r="J1055" t="s">
        <v>331</v>
      </c>
      <c r="K1055">
        <v>683.77446499999996</v>
      </c>
      <c r="L1055">
        <v>850</v>
      </c>
      <c r="M1055">
        <v>80.444055000000006</v>
      </c>
      <c r="N1055">
        <v>3</v>
      </c>
      <c r="O1055">
        <v>0</v>
      </c>
      <c r="P1055">
        <v>82.393354000000002</v>
      </c>
      <c r="Q1055">
        <v>50</v>
      </c>
      <c r="R1055">
        <v>50</v>
      </c>
      <c r="S1055">
        <v>68.498531</v>
      </c>
      <c r="T1055">
        <v>75</v>
      </c>
      <c r="U1055">
        <v>45.665686999999998</v>
      </c>
      <c r="V1055">
        <v>50</v>
      </c>
      <c r="W1055">
        <v>76.355609000000001</v>
      </c>
      <c r="X1055">
        <v>50</v>
      </c>
      <c r="Y1055">
        <v>50</v>
      </c>
      <c r="Z1055">
        <v>75</v>
      </c>
      <c r="AA1055">
        <v>62.223909999999997</v>
      </c>
      <c r="AB1055">
        <v>41.482607000000002</v>
      </c>
      <c r="AC1055">
        <v>50</v>
      </c>
      <c r="AD1055">
        <v>76.010005000000007</v>
      </c>
      <c r="AE1055">
        <v>50</v>
      </c>
      <c r="AF1055">
        <v>50</v>
      </c>
      <c r="AG1055">
        <v>61.697519</v>
      </c>
      <c r="AH1055">
        <v>75</v>
      </c>
      <c r="AI1055">
        <v>41.131678999999998</v>
      </c>
      <c r="AJ1055">
        <v>50</v>
      </c>
      <c r="AK1055">
        <v>6.5</v>
      </c>
      <c r="AL1055">
        <v>12.77</v>
      </c>
      <c r="AM1055">
        <v>13.3</v>
      </c>
      <c r="AN1055">
        <v>0.71904199999999996</v>
      </c>
      <c r="AO1055">
        <v>71.904230999999996</v>
      </c>
      <c r="AP1055">
        <v>100</v>
      </c>
      <c r="AQ1055">
        <v>0.75772700000000004</v>
      </c>
      <c r="AR1055">
        <v>75.772698000000005</v>
      </c>
      <c r="AS1055">
        <v>100</v>
      </c>
      <c r="AT1055">
        <v>0.57391499999999995</v>
      </c>
      <c r="AU1055">
        <v>0.75523899999999999</v>
      </c>
      <c r="AV1055">
        <v>57.391466000000001</v>
      </c>
      <c r="AW1055">
        <v>100</v>
      </c>
      <c r="AX1055">
        <v>0.57803099999999996</v>
      </c>
      <c r="AY1055">
        <v>0.802122</v>
      </c>
      <c r="AZ1055">
        <v>57.803147000000003</v>
      </c>
      <c r="BA1055">
        <v>100</v>
      </c>
      <c r="BB1055" t="s">
        <v>125</v>
      </c>
      <c r="BC1055" t="s">
        <v>125</v>
      </c>
      <c r="BD1055" t="s">
        <v>125</v>
      </c>
      <c r="BE1055" t="s">
        <v>125</v>
      </c>
      <c r="BF1055" t="s">
        <v>125</v>
      </c>
      <c r="BG1055" t="s">
        <v>125</v>
      </c>
      <c r="BH1055">
        <v>1</v>
      </c>
      <c r="BI1055">
        <v>0.97429900000000003</v>
      </c>
      <c r="BJ1055">
        <v>0.95108700000000002</v>
      </c>
      <c r="BK1055">
        <v>0.98065500000000005</v>
      </c>
      <c r="BL1055">
        <v>0.97313099999999997</v>
      </c>
      <c r="BM1055">
        <v>0.95108700000000002</v>
      </c>
      <c r="BN1055">
        <v>0.97916700000000001</v>
      </c>
      <c r="BO1055">
        <v>0.95052999999999999</v>
      </c>
      <c r="BP1055">
        <v>0.94202900000000001</v>
      </c>
      <c r="BQ1055">
        <v>0.95327099999999998</v>
      </c>
      <c r="BR1055">
        <v>2.5731E-2</v>
      </c>
      <c r="BS1055">
        <v>50</v>
      </c>
      <c r="BT1055">
        <v>50</v>
      </c>
      <c r="BU1055">
        <v>3.4285999999999997E-2</v>
      </c>
      <c r="BV1055">
        <v>50</v>
      </c>
      <c r="BW1055">
        <v>50</v>
      </c>
      <c r="BX1055" t="s">
        <v>125</v>
      </c>
      <c r="BY1055" t="s">
        <v>125</v>
      </c>
      <c r="BZ1055" t="s">
        <v>125</v>
      </c>
      <c r="CA1055" t="s">
        <v>125</v>
      </c>
      <c r="CB1055" t="s">
        <v>125</v>
      </c>
      <c r="CC1055" t="s">
        <v>125</v>
      </c>
      <c r="CD1055" t="s">
        <v>125</v>
      </c>
      <c r="CE1055" t="s">
        <v>125</v>
      </c>
      <c r="CF1055" t="s">
        <v>125</v>
      </c>
      <c r="CG1055" t="s">
        <v>125</v>
      </c>
      <c r="CH1055" t="s">
        <v>125</v>
      </c>
      <c r="CI1055" t="s">
        <v>125</v>
      </c>
      <c r="CJ1055" t="s">
        <v>125</v>
      </c>
      <c r="CK1055" t="s">
        <v>125</v>
      </c>
      <c r="CL1055" t="s">
        <v>125</v>
      </c>
      <c r="CM1055" t="s">
        <v>125</v>
      </c>
      <c r="CN1055" t="s">
        <v>125</v>
      </c>
      <c r="CO1055" t="s">
        <v>125</v>
      </c>
      <c r="CP1055" t="s">
        <v>125</v>
      </c>
      <c r="CQ1055">
        <v>0.63934400000000002</v>
      </c>
      <c r="CR1055">
        <v>0.98387100000000005</v>
      </c>
      <c r="CS1055">
        <v>42.622951</v>
      </c>
      <c r="CT1055">
        <v>50</v>
      </c>
      <c r="CU1055" t="s">
        <v>125</v>
      </c>
      <c r="CV1055" t="s">
        <v>125</v>
      </c>
      <c r="CW1055" t="s">
        <v>125</v>
      </c>
      <c r="CX1055" t="s">
        <v>125</v>
      </c>
      <c r="CY1055" t="s">
        <v>125</v>
      </c>
      <c r="CZ1055" t="s">
        <v>125</v>
      </c>
      <c r="DA1055">
        <v>15.314097</v>
      </c>
      <c r="DB1055">
        <v>17.400950000000002</v>
      </c>
      <c r="DC1055">
        <v>16.332519999999999</v>
      </c>
      <c r="DD1055" t="s">
        <v>125</v>
      </c>
      <c r="DE1055">
        <v>1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Q1055" t="s">
        <v>126</v>
      </c>
    </row>
    <row r="1056" spans="1:121" x14ac:dyDescent="0.15">
      <c r="A1056">
        <v>2018</v>
      </c>
      <c r="B1056" t="s">
        <v>192</v>
      </c>
      <c r="C1056" t="str">
        <f>"1610011"</f>
        <v>1610011</v>
      </c>
      <c r="D1056" t="s">
        <v>1092</v>
      </c>
      <c r="E1056" t="str">
        <f>"1615211"</f>
        <v>1615211</v>
      </c>
      <c r="F1056" t="s">
        <v>328</v>
      </c>
      <c r="G1056">
        <v>6</v>
      </c>
      <c r="H1056">
        <v>8</v>
      </c>
      <c r="J1056" t="s">
        <v>331</v>
      </c>
      <c r="K1056">
        <v>695.62336400000004</v>
      </c>
      <c r="L1056">
        <v>900</v>
      </c>
      <c r="M1056">
        <v>77.291484999999994</v>
      </c>
      <c r="N1056">
        <v>3</v>
      </c>
      <c r="O1056">
        <v>1</v>
      </c>
      <c r="P1056">
        <v>80.853123999999994</v>
      </c>
      <c r="Q1056">
        <v>50</v>
      </c>
      <c r="R1056">
        <v>50</v>
      </c>
      <c r="S1056">
        <v>63.343628000000002</v>
      </c>
      <c r="T1056">
        <v>75</v>
      </c>
      <c r="U1056">
        <v>42.229086000000002</v>
      </c>
      <c r="V1056">
        <v>50</v>
      </c>
      <c r="W1056">
        <v>78.183706999999998</v>
      </c>
      <c r="X1056">
        <v>50</v>
      </c>
      <c r="Y1056">
        <v>50</v>
      </c>
      <c r="Z1056">
        <v>75</v>
      </c>
      <c r="AA1056">
        <v>59.039327</v>
      </c>
      <c r="AB1056">
        <v>39.359552000000001</v>
      </c>
      <c r="AC1056">
        <v>50</v>
      </c>
      <c r="AD1056">
        <v>73.868388999999993</v>
      </c>
      <c r="AE1056">
        <v>49.245592000000002</v>
      </c>
      <c r="AF1056">
        <v>50</v>
      </c>
      <c r="AG1056">
        <v>54.563491999999997</v>
      </c>
      <c r="AH1056">
        <v>75</v>
      </c>
      <c r="AI1056">
        <v>36.375661000000001</v>
      </c>
      <c r="AJ1056">
        <v>50</v>
      </c>
      <c r="AK1056">
        <v>11.65</v>
      </c>
      <c r="AL1056">
        <v>15.96</v>
      </c>
      <c r="AM1056">
        <v>20.43</v>
      </c>
      <c r="AN1056">
        <v>0.63109700000000002</v>
      </c>
      <c r="AO1056">
        <v>63.109701000000001</v>
      </c>
      <c r="AP1056">
        <v>100</v>
      </c>
      <c r="AQ1056">
        <v>0.72092000000000001</v>
      </c>
      <c r="AR1056">
        <v>72.091950999999995</v>
      </c>
      <c r="AS1056">
        <v>100</v>
      </c>
      <c r="AT1056">
        <v>0.521617</v>
      </c>
      <c r="AU1056">
        <v>0.655555</v>
      </c>
      <c r="AV1056">
        <v>52.161656000000001</v>
      </c>
      <c r="AW1056">
        <v>100</v>
      </c>
      <c r="AX1056">
        <v>0.54053099999999998</v>
      </c>
      <c r="AY1056">
        <v>0.76092599999999999</v>
      </c>
      <c r="AZ1056">
        <v>54.053111999999999</v>
      </c>
      <c r="BA1056">
        <v>100</v>
      </c>
      <c r="BB1056" t="s">
        <v>125</v>
      </c>
      <c r="BC1056" t="s">
        <v>125</v>
      </c>
      <c r="BD1056" t="s">
        <v>125</v>
      </c>
      <c r="BE1056" t="s">
        <v>125</v>
      </c>
      <c r="BF1056" t="s">
        <v>125</v>
      </c>
      <c r="BG1056" t="s">
        <v>125</v>
      </c>
      <c r="BH1056">
        <v>1</v>
      </c>
      <c r="BI1056">
        <v>0.95295300000000005</v>
      </c>
      <c r="BJ1056">
        <v>0.91</v>
      </c>
      <c r="BK1056">
        <v>0.96370500000000003</v>
      </c>
      <c r="BL1056">
        <v>0.95591199999999998</v>
      </c>
      <c r="BM1056">
        <v>0.91457299999999997</v>
      </c>
      <c r="BN1056">
        <v>0.96620799999999996</v>
      </c>
      <c r="BO1056">
        <v>0.90571400000000002</v>
      </c>
      <c r="BP1056">
        <v>0.81609200000000004</v>
      </c>
      <c r="BQ1056">
        <v>0.935361</v>
      </c>
      <c r="BR1056">
        <v>3.5999999999999997E-2</v>
      </c>
      <c r="BS1056">
        <v>50</v>
      </c>
      <c r="BT1056">
        <v>50</v>
      </c>
      <c r="BU1056">
        <v>0.107143</v>
      </c>
      <c r="BV1056">
        <v>38.571429000000002</v>
      </c>
      <c r="BW1056">
        <v>50</v>
      </c>
      <c r="BX1056" t="s">
        <v>125</v>
      </c>
      <c r="BY1056" t="s">
        <v>125</v>
      </c>
      <c r="BZ1056" t="s">
        <v>125</v>
      </c>
      <c r="CA1056" t="s">
        <v>125</v>
      </c>
      <c r="CB1056" t="s">
        <v>125</v>
      </c>
      <c r="CC1056" t="s">
        <v>125</v>
      </c>
      <c r="CD1056">
        <v>0.95289900000000005</v>
      </c>
      <c r="CE1056">
        <v>50</v>
      </c>
      <c r="CF1056">
        <v>50</v>
      </c>
      <c r="CG1056" t="s">
        <v>125</v>
      </c>
      <c r="CH1056" t="s">
        <v>125</v>
      </c>
      <c r="CI1056" t="s">
        <v>125</v>
      </c>
      <c r="CJ1056" t="s">
        <v>125</v>
      </c>
      <c r="CK1056" t="s">
        <v>125</v>
      </c>
      <c r="CL1056" t="s">
        <v>125</v>
      </c>
      <c r="CM1056" t="s">
        <v>125</v>
      </c>
      <c r="CN1056" t="s">
        <v>125</v>
      </c>
      <c r="CO1056" t="s">
        <v>125</v>
      </c>
      <c r="CP1056" t="s">
        <v>125</v>
      </c>
      <c r="CQ1056">
        <v>0.72638400000000003</v>
      </c>
      <c r="CR1056">
        <v>0.93597600000000003</v>
      </c>
      <c r="CS1056">
        <v>48.425623999999999</v>
      </c>
      <c r="CT1056">
        <v>50</v>
      </c>
      <c r="CU1056" t="s">
        <v>125</v>
      </c>
      <c r="CV1056" t="s">
        <v>125</v>
      </c>
      <c r="CW1056" t="s">
        <v>125</v>
      </c>
      <c r="CX1056" t="s">
        <v>125</v>
      </c>
      <c r="CY1056" t="s">
        <v>125</v>
      </c>
      <c r="CZ1056" t="s">
        <v>125</v>
      </c>
      <c r="DA1056">
        <v>15.314097</v>
      </c>
      <c r="DB1056">
        <v>17.400950000000002</v>
      </c>
      <c r="DC1056">
        <v>16.332519999999999</v>
      </c>
      <c r="DD1056" t="s">
        <v>125</v>
      </c>
      <c r="DE1056">
        <v>1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Q1056" t="s">
        <v>126</v>
      </c>
    </row>
    <row r="1057" spans="1:121" x14ac:dyDescent="0.15">
      <c r="A1057">
        <v>2018</v>
      </c>
      <c r="B1057" t="s">
        <v>192</v>
      </c>
      <c r="C1057" t="str">
        <f>"1610011"</f>
        <v>1610011</v>
      </c>
      <c r="D1057" t="s">
        <v>1200</v>
      </c>
      <c r="E1057" t="str">
        <f>"1610511"</f>
        <v>1610511</v>
      </c>
      <c r="F1057" t="s">
        <v>328</v>
      </c>
      <c r="G1057" t="s">
        <v>329</v>
      </c>
      <c r="H1057">
        <v>2</v>
      </c>
      <c r="J1057" t="s">
        <v>331</v>
      </c>
      <c r="K1057">
        <v>98.990825999999998</v>
      </c>
      <c r="L1057">
        <v>100</v>
      </c>
      <c r="M1057">
        <v>98.990825999999998</v>
      </c>
      <c r="N1057" t="s">
        <v>125</v>
      </c>
      <c r="O1057" t="s">
        <v>125</v>
      </c>
      <c r="P1057" t="s">
        <v>125</v>
      </c>
      <c r="Q1057" t="s">
        <v>125</v>
      </c>
      <c r="R1057" t="s">
        <v>125</v>
      </c>
      <c r="S1057" t="s">
        <v>125</v>
      </c>
      <c r="T1057" t="s">
        <v>125</v>
      </c>
      <c r="U1057" t="s">
        <v>125</v>
      </c>
      <c r="V1057" t="s">
        <v>125</v>
      </c>
      <c r="W1057" t="s">
        <v>125</v>
      </c>
      <c r="X1057" t="s">
        <v>125</v>
      </c>
      <c r="Y1057" t="s">
        <v>125</v>
      </c>
      <c r="Z1057" t="s">
        <v>125</v>
      </c>
      <c r="AA1057" t="s">
        <v>125</v>
      </c>
      <c r="AB1057" t="s">
        <v>125</v>
      </c>
      <c r="AC1057" t="s">
        <v>125</v>
      </c>
      <c r="AD1057" t="s">
        <v>125</v>
      </c>
      <c r="AE1057" t="s">
        <v>125</v>
      </c>
      <c r="AF1057" t="s">
        <v>125</v>
      </c>
      <c r="AG1057" t="s">
        <v>125</v>
      </c>
      <c r="AH1057" t="s">
        <v>125</v>
      </c>
      <c r="AI1057" t="s">
        <v>125</v>
      </c>
      <c r="AJ1057" t="s">
        <v>125</v>
      </c>
      <c r="AK1057" t="s">
        <v>125</v>
      </c>
      <c r="AL1057" t="s">
        <v>125</v>
      </c>
      <c r="AM1057" t="s">
        <v>125</v>
      </c>
      <c r="AN1057" t="s">
        <v>125</v>
      </c>
      <c r="AO1057" t="s">
        <v>125</v>
      </c>
      <c r="AP1057" t="s">
        <v>125</v>
      </c>
      <c r="AQ1057" t="s">
        <v>125</v>
      </c>
      <c r="AR1057" t="s">
        <v>125</v>
      </c>
      <c r="AS1057" t="s">
        <v>125</v>
      </c>
      <c r="AT1057" t="s">
        <v>125</v>
      </c>
      <c r="AU1057" t="s">
        <v>125</v>
      </c>
      <c r="AV1057" t="s">
        <v>125</v>
      </c>
      <c r="AW1057" t="s">
        <v>125</v>
      </c>
      <c r="AX1057" t="s">
        <v>125</v>
      </c>
      <c r="AY1057" t="s">
        <v>125</v>
      </c>
      <c r="AZ1057" t="s">
        <v>125</v>
      </c>
      <c r="BA1057" t="s">
        <v>125</v>
      </c>
      <c r="BB1057" t="s">
        <v>125</v>
      </c>
      <c r="BC1057" t="s">
        <v>125</v>
      </c>
      <c r="BD1057" t="s">
        <v>125</v>
      </c>
      <c r="BE1057" t="s">
        <v>125</v>
      </c>
      <c r="BF1057" t="s">
        <v>125</v>
      </c>
      <c r="BG1057" t="s">
        <v>125</v>
      </c>
      <c r="BH1057" t="s">
        <v>125</v>
      </c>
      <c r="BI1057" t="s">
        <v>125</v>
      </c>
      <c r="BJ1057" t="s">
        <v>125</v>
      </c>
      <c r="BK1057" t="s">
        <v>125</v>
      </c>
      <c r="BL1057" t="s">
        <v>125</v>
      </c>
      <c r="BM1057" t="s">
        <v>125</v>
      </c>
      <c r="BN1057" t="s">
        <v>125</v>
      </c>
      <c r="BO1057" t="s">
        <v>125</v>
      </c>
      <c r="BP1057" t="s">
        <v>125</v>
      </c>
      <c r="BQ1057" t="s">
        <v>125</v>
      </c>
      <c r="BR1057">
        <v>3.022E-2</v>
      </c>
      <c r="BS1057">
        <v>50</v>
      </c>
      <c r="BT1057">
        <v>50</v>
      </c>
      <c r="BU1057">
        <v>5.5045999999999998E-2</v>
      </c>
      <c r="BV1057">
        <v>48.990825999999998</v>
      </c>
      <c r="BW1057">
        <v>50</v>
      </c>
      <c r="BX1057" t="s">
        <v>125</v>
      </c>
      <c r="BY1057" t="s">
        <v>125</v>
      </c>
      <c r="BZ1057" t="s">
        <v>125</v>
      </c>
      <c r="CA1057" t="s">
        <v>125</v>
      </c>
      <c r="CB1057" t="s">
        <v>125</v>
      </c>
      <c r="CC1057" t="s">
        <v>125</v>
      </c>
      <c r="CD1057" t="s">
        <v>125</v>
      </c>
      <c r="CE1057" t="s">
        <v>125</v>
      </c>
      <c r="CF1057" t="s">
        <v>125</v>
      </c>
      <c r="CG1057" t="s">
        <v>125</v>
      </c>
      <c r="CH1057" t="s">
        <v>125</v>
      </c>
      <c r="CI1057" t="s">
        <v>125</v>
      </c>
      <c r="CJ1057" t="s">
        <v>125</v>
      </c>
      <c r="CK1057" t="s">
        <v>125</v>
      </c>
      <c r="CL1057" t="s">
        <v>125</v>
      </c>
      <c r="CM1057" t="s">
        <v>125</v>
      </c>
      <c r="CN1057" t="s">
        <v>125</v>
      </c>
      <c r="CO1057" t="s">
        <v>125</v>
      </c>
      <c r="CP1057" t="s">
        <v>125</v>
      </c>
      <c r="CQ1057" t="s">
        <v>125</v>
      </c>
      <c r="CR1057" t="s">
        <v>125</v>
      </c>
      <c r="CS1057" t="s">
        <v>125</v>
      </c>
      <c r="CT1057" t="s">
        <v>125</v>
      </c>
      <c r="CU1057" t="s">
        <v>125</v>
      </c>
      <c r="CV1057" t="s">
        <v>125</v>
      </c>
      <c r="CW1057" t="s">
        <v>125</v>
      </c>
      <c r="CX1057" t="s">
        <v>125</v>
      </c>
      <c r="CY1057" t="s">
        <v>125</v>
      </c>
      <c r="CZ1057" t="s">
        <v>125</v>
      </c>
      <c r="DA1057" t="s">
        <v>125</v>
      </c>
      <c r="DB1057" t="s">
        <v>125</v>
      </c>
      <c r="DC1057" t="s">
        <v>125</v>
      </c>
      <c r="DD1057" t="s">
        <v>125</v>
      </c>
      <c r="DE1057" t="s">
        <v>125</v>
      </c>
      <c r="DJ1057" t="s">
        <v>125</v>
      </c>
      <c r="DK1057" t="s">
        <v>125</v>
      </c>
      <c r="DL1057" t="s">
        <v>125</v>
      </c>
      <c r="DM1057" t="s">
        <v>125</v>
      </c>
      <c r="DN1057" t="s">
        <v>125</v>
      </c>
      <c r="DO1057" t="s">
        <v>125</v>
      </c>
      <c r="DQ1057" t="s">
        <v>126</v>
      </c>
    </row>
    <row r="1058" spans="1:121" x14ac:dyDescent="0.15">
      <c r="A1058">
        <v>2018</v>
      </c>
      <c r="B1058" t="s">
        <v>192</v>
      </c>
      <c r="C1058" t="str">
        <f>"1610011"</f>
        <v>1610011</v>
      </c>
      <c r="D1058" t="s">
        <v>1201</v>
      </c>
      <c r="E1058" t="str">
        <f>"1616111"</f>
        <v>1616111</v>
      </c>
      <c r="F1058" t="s">
        <v>328</v>
      </c>
      <c r="G1058">
        <v>9</v>
      </c>
      <c r="H1058">
        <v>12</v>
      </c>
      <c r="J1058" t="s">
        <v>331</v>
      </c>
      <c r="K1058">
        <v>1341.3488870000001</v>
      </c>
      <c r="L1058">
        <v>1450</v>
      </c>
      <c r="M1058">
        <v>92.506820000000005</v>
      </c>
      <c r="N1058">
        <v>2</v>
      </c>
      <c r="O1058">
        <v>0</v>
      </c>
      <c r="P1058">
        <v>76.002185999999995</v>
      </c>
      <c r="Q1058">
        <v>150</v>
      </c>
      <c r="R1058">
        <v>150</v>
      </c>
      <c r="S1058">
        <v>66.327381000000003</v>
      </c>
      <c r="T1058">
        <v>75</v>
      </c>
      <c r="U1058">
        <v>132.65476200000001</v>
      </c>
      <c r="V1058">
        <v>150</v>
      </c>
      <c r="W1058">
        <v>72.636066</v>
      </c>
      <c r="X1058">
        <v>145.272131</v>
      </c>
      <c r="Y1058">
        <v>150</v>
      </c>
      <c r="Z1058">
        <v>75</v>
      </c>
      <c r="AA1058">
        <v>61.351190000000003</v>
      </c>
      <c r="AB1058">
        <v>122.702381</v>
      </c>
      <c r="AC1058">
        <v>150</v>
      </c>
      <c r="AD1058">
        <v>71.678062999999995</v>
      </c>
      <c r="AE1058">
        <v>95.570750000000004</v>
      </c>
      <c r="AF1058">
        <v>100</v>
      </c>
      <c r="AG1058">
        <v>62.218209999999999</v>
      </c>
      <c r="AH1058">
        <v>73.547145999999998</v>
      </c>
      <c r="AI1058">
        <v>82.957614000000007</v>
      </c>
      <c r="AJ1058">
        <v>100</v>
      </c>
      <c r="AK1058">
        <v>8.67</v>
      </c>
      <c r="AL1058">
        <v>13.64</v>
      </c>
      <c r="AM1058">
        <v>11.32</v>
      </c>
      <c r="AN1058" t="s">
        <v>125</v>
      </c>
      <c r="AO1058" t="s">
        <v>125</v>
      </c>
      <c r="AP1058" t="s">
        <v>125</v>
      </c>
      <c r="AQ1058" t="s">
        <v>125</v>
      </c>
      <c r="AR1058" t="s">
        <v>125</v>
      </c>
      <c r="AS1058" t="s">
        <v>125</v>
      </c>
      <c r="AT1058" t="s">
        <v>125</v>
      </c>
      <c r="AU1058" t="s">
        <v>125</v>
      </c>
      <c r="AV1058" t="s">
        <v>125</v>
      </c>
      <c r="AW1058" t="s">
        <v>125</v>
      </c>
      <c r="AX1058" t="s">
        <v>125</v>
      </c>
      <c r="AY1058" t="s">
        <v>125</v>
      </c>
      <c r="AZ1058" t="s">
        <v>125</v>
      </c>
      <c r="BA1058" t="s">
        <v>125</v>
      </c>
      <c r="BB1058" t="s">
        <v>125</v>
      </c>
      <c r="BC1058" t="s">
        <v>125</v>
      </c>
      <c r="BD1058" t="s">
        <v>125</v>
      </c>
      <c r="BE1058" t="s">
        <v>125</v>
      </c>
      <c r="BF1058" t="s">
        <v>125</v>
      </c>
      <c r="BG1058" t="s">
        <v>125</v>
      </c>
      <c r="BH1058">
        <v>1</v>
      </c>
      <c r="BI1058">
        <v>0.987097</v>
      </c>
      <c r="BJ1058">
        <v>0.98275900000000005</v>
      </c>
      <c r="BK1058">
        <v>0.98809499999999995</v>
      </c>
      <c r="BL1058">
        <v>0.987097</v>
      </c>
      <c r="BM1058">
        <v>0.98275900000000005</v>
      </c>
      <c r="BN1058">
        <v>0.98809499999999995</v>
      </c>
      <c r="BO1058">
        <v>0.95806500000000006</v>
      </c>
      <c r="BP1058">
        <v>0.84482800000000002</v>
      </c>
      <c r="BQ1058">
        <v>0.98412699999999997</v>
      </c>
      <c r="BR1058">
        <v>7.2625999999999996E-2</v>
      </c>
      <c r="BS1058">
        <v>45.47486</v>
      </c>
      <c r="BT1058">
        <v>50</v>
      </c>
      <c r="BU1058">
        <v>0.181452</v>
      </c>
      <c r="BV1058">
        <v>23.709676999999999</v>
      </c>
      <c r="BW1058">
        <v>50</v>
      </c>
      <c r="BX1058">
        <v>0.90483899999999995</v>
      </c>
      <c r="BY1058">
        <v>50</v>
      </c>
      <c r="BZ1058">
        <v>50</v>
      </c>
      <c r="CA1058">
        <v>0.81612899999999999</v>
      </c>
      <c r="CB1058">
        <v>50</v>
      </c>
      <c r="CC1058">
        <v>50</v>
      </c>
      <c r="CD1058">
        <v>0.94845400000000002</v>
      </c>
      <c r="CE1058">
        <v>50</v>
      </c>
      <c r="CF1058">
        <v>50</v>
      </c>
      <c r="CG1058">
        <v>0.99065400000000003</v>
      </c>
      <c r="CH1058">
        <v>100</v>
      </c>
      <c r="CI1058">
        <v>100</v>
      </c>
      <c r="CJ1058">
        <v>0</v>
      </c>
      <c r="CK1058">
        <v>0.980769</v>
      </c>
      <c r="CL1058">
        <v>100</v>
      </c>
      <c r="CM1058">
        <v>100</v>
      </c>
      <c r="CN1058">
        <v>0.91849499999999995</v>
      </c>
      <c r="CO1058">
        <v>100</v>
      </c>
      <c r="CP1058">
        <v>100</v>
      </c>
      <c r="CQ1058">
        <v>0.71473399999999998</v>
      </c>
      <c r="CR1058">
        <v>0.93002899999999999</v>
      </c>
      <c r="CS1058">
        <v>47.648902999999997</v>
      </c>
      <c r="CT1058">
        <v>50</v>
      </c>
      <c r="CU1058">
        <v>0.54429399999999994</v>
      </c>
      <c r="CV1058">
        <v>45.357807999999999</v>
      </c>
      <c r="CW1058">
        <v>50</v>
      </c>
      <c r="CX1058">
        <v>0.980769</v>
      </c>
      <c r="CY1058">
        <v>0.94</v>
      </c>
      <c r="CZ1058">
        <v>-4.0769E-2</v>
      </c>
      <c r="DA1058">
        <v>15.314097</v>
      </c>
      <c r="DB1058">
        <v>17.400950000000002</v>
      </c>
      <c r="DC1058">
        <v>16.332519999999999</v>
      </c>
      <c r="DD1058">
        <v>7.9891730000000001</v>
      </c>
      <c r="DE1058">
        <v>1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Q1058" t="s">
        <v>126</v>
      </c>
    </row>
    <row r="1059" spans="1:121" x14ac:dyDescent="0.15">
      <c r="A1059">
        <v>2018</v>
      </c>
      <c r="B1059" t="s">
        <v>175</v>
      </c>
      <c r="C1059" t="str">
        <f>"1620011"</f>
        <v>1620011</v>
      </c>
      <c r="D1059" t="s">
        <v>1202</v>
      </c>
      <c r="E1059" t="str">
        <f>"1620411"</f>
        <v>1620411</v>
      </c>
      <c r="F1059" t="s">
        <v>328</v>
      </c>
      <c r="G1059" t="s">
        <v>329</v>
      </c>
      <c r="H1059">
        <v>2</v>
      </c>
      <c r="I1059" t="s">
        <v>336</v>
      </c>
      <c r="J1059" t="s">
        <v>331</v>
      </c>
      <c r="K1059">
        <v>91.394122999999993</v>
      </c>
      <c r="L1059">
        <v>100</v>
      </c>
      <c r="M1059">
        <v>91.394122999999993</v>
      </c>
      <c r="N1059" t="s">
        <v>125</v>
      </c>
      <c r="O1059" t="s">
        <v>125</v>
      </c>
      <c r="P1059" t="s">
        <v>125</v>
      </c>
      <c r="Q1059" t="s">
        <v>125</v>
      </c>
      <c r="R1059" t="s">
        <v>125</v>
      </c>
      <c r="S1059" t="s">
        <v>125</v>
      </c>
      <c r="T1059" t="s">
        <v>125</v>
      </c>
      <c r="U1059" t="s">
        <v>125</v>
      </c>
      <c r="V1059" t="s">
        <v>125</v>
      </c>
      <c r="W1059" t="s">
        <v>125</v>
      </c>
      <c r="X1059" t="s">
        <v>125</v>
      </c>
      <c r="Y1059" t="s">
        <v>125</v>
      </c>
      <c r="Z1059" t="s">
        <v>125</v>
      </c>
      <c r="AA1059" t="s">
        <v>125</v>
      </c>
      <c r="AB1059" t="s">
        <v>125</v>
      </c>
      <c r="AC1059" t="s">
        <v>125</v>
      </c>
      <c r="AD1059" t="s">
        <v>125</v>
      </c>
      <c r="AE1059" t="s">
        <v>125</v>
      </c>
      <c r="AF1059" t="s">
        <v>125</v>
      </c>
      <c r="AG1059" t="s">
        <v>125</v>
      </c>
      <c r="AH1059" t="s">
        <v>125</v>
      </c>
      <c r="AI1059" t="s">
        <v>125</v>
      </c>
      <c r="AJ1059" t="s">
        <v>125</v>
      </c>
      <c r="AK1059" t="s">
        <v>125</v>
      </c>
      <c r="AL1059" t="s">
        <v>125</v>
      </c>
      <c r="AM1059" t="s">
        <v>125</v>
      </c>
      <c r="AN1059" t="s">
        <v>125</v>
      </c>
      <c r="AO1059" t="s">
        <v>125</v>
      </c>
      <c r="AP1059" t="s">
        <v>125</v>
      </c>
      <c r="AQ1059" t="s">
        <v>125</v>
      </c>
      <c r="AR1059" t="s">
        <v>125</v>
      </c>
      <c r="AS1059" t="s">
        <v>125</v>
      </c>
      <c r="AT1059" t="s">
        <v>125</v>
      </c>
      <c r="AU1059" t="s">
        <v>125</v>
      </c>
      <c r="AV1059" t="s">
        <v>125</v>
      </c>
      <c r="AW1059" t="s">
        <v>125</v>
      </c>
      <c r="AX1059" t="s">
        <v>125</v>
      </c>
      <c r="AY1059" t="s">
        <v>125</v>
      </c>
      <c r="AZ1059" t="s">
        <v>125</v>
      </c>
      <c r="BA1059" t="s">
        <v>125</v>
      </c>
      <c r="BB1059" t="s">
        <v>125</v>
      </c>
      <c r="BC1059" t="s">
        <v>125</v>
      </c>
      <c r="BD1059" t="s">
        <v>125</v>
      </c>
      <c r="BE1059" t="s">
        <v>125</v>
      </c>
      <c r="BF1059" t="s">
        <v>125</v>
      </c>
      <c r="BG1059" t="s">
        <v>125</v>
      </c>
      <c r="BH1059" t="s">
        <v>125</v>
      </c>
      <c r="BI1059" t="s">
        <v>125</v>
      </c>
      <c r="BJ1059" t="s">
        <v>125</v>
      </c>
      <c r="BK1059" t="s">
        <v>125</v>
      </c>
      <c r="BL1059" t="s">
        <v>125</v>
      </c>
      <c r="BM1059" t="s">
        <v>125</v>
      </c>
      <c r="BN1059" t="s">
        <v>125</v>
      </c>
      <c r="BO1059" t="s">
        <v>125</v>
      </c>
      <c r="BP1059" t="s">
        <v>125</v>
      </c>
      <c r="BQ1059" t="s">
        <v>125</v>
      </c>
      <c r="BR1059">
        <v>5.9112999999999999E-2</v>
      </c>
      <c r="BS1059">
        <v>48.177340000000001</v>
      </c>
      <c r="BT1059">
        <v>50</v>
      </c>
      <c r="BU1059">
        <v>8.3916000000000004E-2</v>
      </c>
      <c r="BV1059">
        <v>43.216783</v>
      </c>
      <c r="BW1059">
        <v>50</v>
      </c>
      <c r="BX1059" t="s">
        <v>125</v>
      </c>
      <c r="BY1059" t="s">
        <v>125</v>
      </c>
      <c r="BZ1059" t="s">
        <v>125</v>
      </c>
      <c r="CA1059" t="s">
        <v>125</v>
      </c>
      <c r="CB1059" t="s">
        <v>125</v>
      </c>
      <c r="CC1059" t="s">
        <v>125</v>
      </c>
      <c r="CD1059" t="s">
        <v>125</v>
      </c>
      <c r="CE1059" t="s">
        <v>125</v>
      </c>
      <c r="CF1059" t="s">
        <v>125</v>
      </c>
      <c r="CG1059" t="s">
        <v>125</v>
      </c>
      <c r="CH1059" t="s">
        <v>125</v>
      </c>
      <c r="CI1059" t="s">
        <v>125</v>
      </c>
      <c r="CJ1059" t="s">
        <v>125</v>
      </c>
      <c r="CK1059" t="s">
        <v>125</v>
      </c>
      <c r="CL1059" t="s">
        <v>125</v>
      </c>
      <c r="CM1059" t="s">
        <v>125</v>
      </c>
      <c r="CN1059" t="s">
        <v>125</v>
      </c>
      <c r="CO1059" t="s">
        <v>125</v>
      </c>
      <c r="CP1059" t="s">
        <v>125</v>
      </c>
      <c r="CQ1059" t="s">
        <v>125</v>
      </c>
      <c r="CR1059" t="s">
        <v>125</v>
      </c>
      <c r="CS1059" t="s">
        <v>125</v>
      </c>
      <c r="CT1059" t="s">
        <v>125</v>
      </c>
      <c r="CU1059" t="s">
        <v>125</v>
      </c>
      <c r="CV1059" t="s">
        <v>125</v>
      </c>
      <c r="CW1059" t="s">
        <v>125</v>
      </c>
      <c r="CX1059" t="s">
        <v>125</v>
      </c>
      <c r="CY1059" t="s">
        <v>125</v>
      </c>
      <c r="CZ1059" t="s">
        <v>125</v>
      </c>
      <c r="DA1059" t="s">
        <v>125</v>
      </c>
      <c r="DB1059" t="s">
        <v>125</v>
      </c>
      <c r="DC1059" t="s">
        <v>125</v>
      </c>
      <c r="DD1059" t="s">
        <v>125</v>
      </c>
      <c r="DE1059" t="s">
        <v>125</v>
      </c>
      <c r="DJ1059" t="s">
        <v>125</v>
      </c>
      <c r="DK1059" t="s">
        <v>125</v>
      </c>
      <c r="DL1059" t="s">
        <v>125</v>
      </c>
      <c r="DM1059" t="s">
        <v>125</v>
      </c>
      <c r="DN1059" t="s">
        <v>125</v>
      </c>
      <c r="DO1059" t="s">
        <v>125</v>
      </c>
      <c r="DQ1059" t="s">
        <v>126</v>
      </c>
    </row>
    <row r="1060" spans="1:121" x14ac:dyDescent="0.15">
      <c r="A1060">
        <v>2018</v>
      </c>
      <c r="B1060" t="s">
        <v>175</v>
      </c>
      <c r="C1060" t="str">
        <f>"1620011"</f>
        <v>1620011</v>
      </c>
      <c r="D1060" t="s">
        <v>1203</v>
      </c>
      <c r="E1060" t="str">
        <f>"1625111"</f>
        <v>1625111</v>
      </c>
      <c r="F1060" t="s">
        <v>328</v>
      </c>
      <c r="G1060">
        <v>3</v>
      </c>
      <c r="H1060">
        <v>6</v>
      </c>
      <c r="I1060" t="s">
        <v>336</v>
      </c>
      <c r="J1060" t="s">
        <v>331</v>
      </c>
      <c r="K1060">
        <v>684.43313899999998</v>
      </c>
      <c r="L1060">
        <v>850</v>
      </c>
      <c r="M1060">
        <v>80.521546000000001</v>
      </c>
      <c r="N1060">
        <v>2</v>
      </c>
      <c r="O1060">
        <v>0</v>
      </c>
      <c r="P1060">
        <v>68.395633000000004</v>
      </c>
      <c r="Q1060">
        <v>45.597088999999997</v>
      </c>
      <c r="R1060">
        <v>50</v>
      </c>
      <c r="S1060">
        <v>65.324916000000002</v>
      </c>
      <c r="T1060">
        <v>75</v>
      </c>
      <c r="U1060">
        <v>43.549944000000004</v>
      </c>
      <c r="V1060">
        <v>50</v>
      </c>
      <c r="W1060">
        <v>69.833668000000003</v>
      </c>
      <c r="X1060">
        <v>46.555777999999997</v>
      </c>
      <c r="Y1060">
        <v>50</v>
      </c>
      <c r="Z1060">
        <v>75</v>
      </c>
      <c r="AA1060">
        <v>66.737976000000003</v>
      </c>
      <c r="AB1060">
        <v>44.491984000000002</v>
      </c>
      <c r="AC1060">
        <v>50</v>
      </c>
      <c r="AD1060">
        <v>65.888202000000007</v>
      </c>
      <c r="AE1060">
        <v>43.925468000000002</v>
      </c>
      <c r="AF1060">
        <v>50</v>
      </c>
      <c r="AG1060">
        <v>62.604560999999997</v>
      </c>
      <c r="AH1060" t="s">
        <v>125</v>
      </c>
      <c r="AI1060">
        <v>41.736373999999998</v>
      </c>
      <c r="AJ1060">
        <v>50</v>
      </c>
      <c r="AK1060">
        <v>9.67</v>
      </c>
      <c r="AL1060">
        <v>8.26</v>
      </c>
      <c r="AM1060" t="s">
        <v>125</v>
      </c>
      <c r="AN1060">
        <v>0.621444</v>
      </c>
      <c r="AO1060">
        <v>62.144353000000002</v>
      </c>
      <c r="AP1060">
        <v>100</v>
      </c>
      <c r="AQ1060">
        <v>0.74685599999999996</v>
      </c>
      <c r="AR1060">
        <v>74.685586999999998</v>
      </c>
      <c r="AS1060">
        <v>100</v>
      </c>
      <c r="AT1060">
        <v>0.62402500000000005</v>
      </c>
      <c r="AU1060">
        <v>0.61499000000000004</v>
      </c>
      <c r="AV1060">
        <v>62.402507</v>
      </c>
      <c r="AW1060">
        <v>100</v>
      </c>
      <c r="AX1060">
        <v>0.72447499999999998</v>
      </c>
      <c r="AY1060">
        <v>0.80280799999999997</v>
      </c>
      <c r="AZ1060">
        <v>72.447503999999995</v>
      </c>
      <c r="BA1060">
        <v>100</v>
      </c>
      <c r="BB1060" t="s">
        <v>125</v>
      </c>
      <c r="BC1060" t="s">
        <v>125</v>
      </c>
      <c r="BD1060" t="s">
        <v>125</v>
      </c>
      <c r="BE1060" t="s">
        <v>125</v>
      </c>
      <c r="BF1060" t="s">
        <v>125</v>
      </c>
      <c r="BG1060" t="s">
        <v>125</v>
      </c>
      <c r="BH1060">
        <v>0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 t="s">
        <v>125</v>
      </c>
      <c r="BR1060">
        <v>3.4247E-2</v>
      </c>
      <c r="BS1060">
        <v>50</v>
      </c>
      <c r="BT1060">
        <v>50</v>
      </c>
      <c r="BU1060">
        <v>4.2254E-2</v>
      </c>
      <c r="BV1060">
        <v>50</v>
      </c>
      <c r="BW1060">
        <v>50</v>
      </c>
      <c r="BX1060" t="s">
        <v>125</v>
      </c>
      <c r="BY1060" t="s">
        <v>125</v>
      </c>
      <c r="BZ1060" t="s">
        <v>125</v>
      </c>
      <c r="CA1060" t="s">
        <v>125</v>
      </c>
      <c r="CB1060" t="s">
        <v>125</v>
      </c>
      <c r="CC1060" t="s">
        <v>125</v>
      </c>
      <c r="CD1060" t="s">
        <v>125</v>
      </c>
      <c r="CE1060" t="s">
        <v>125</v>
      </c>
      <c r="CF1060" t="s">
        <v>125</v>
      </c>
      <c r="CG1060" t="s">
        <v>125</v>
      </c>
      <c r="CH1060" t="s">
        <v>125</v>
      </c>
      <c r="CI1060" t="s">
        <v>125</v>
      </c>
      <c r="CJ1060" t="s">
        <v>125</v>
      </c>
      <c r="CK1060" t="s">
        <v>125</v>
      </c>
      <c r="CL1060" t="s">
        <v>125</v>
      </c>
      <c r="CM1060" t="s">
        <v>125</v>
      </c>
      <c r="CN1060" t="s">
        <v>125</v>
      </c>
      <c r="CO1060" t="s">
        <v>125</v>
      </c>
      <c r="CP1060" t="s">
        <v>125</v>
      </c>
      <c r="CQ1060">
        <v>0.70344799999999996</v>
      </c>
      <c r="CR1060">
        <v>0.98639500000000002</v>
      </c>
      <c r="CS1060">
        <v>46.896552</v>
      </c>
      <c r="CT1060">
        <v>50</v>
      </c>
      <c r="CU1060" t="s">
        <v>125</v>
      </c>
      <c r="CV1060" t="s">
        <v>125</v>
      </c>
      <c r="CW1060" t="s">
        <v>125</v>
      </c>
      <c r="CX1060" t="s">
        <v>125</v>
      </c>
      <c r="CY1060" t="s">
        <v>125</v>
      </c>
      <c r="CZ1060" t="s">
        <v>125</v>
      </c>
      <c r="DA1060">
        <v>15.314097</v>
      </c>
      <c r="DB1060">
        <v>17.400950000000002</v>
      </c>
      <c r="DC1060">
        <v>16.332519999999999</v>
      </c>
      <c r="DD1060" t="s">
        <v>125</v>
      </c>
      <c r="DE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Q1060" t="s">
        <v>126</v>
      </c>
    </row>
    <row r="1061" spans="1:121" x14ac:dyDescent="0.15">
      <c r="A1061">
        <v>2018</v>
      </c>
      <c r="B1061" t="s">
        <v>176</v>
      </c>
      <c r="C1061" t="str">
        <f t="shared" ref="C1061:C1068" si="50">"1630011"</f>
        <v>1630011</v>
      </c>
      <c r="D1061" t="s">
        <v>1204</v>
      </c>
      <c r="E1061" t="str">
        <f>"1630411"</f>
        <v>1630411</v>
      </c>
      <c r="F1061" t="s">
        <v>328</v>
      </c>
      <c r="G1061" t="s">
        <v>339</v>
      </c>
      <c r="H1061">
        <v>8</v>
      </c>
      <c r="I1061" t="s">
        <v>336</v>
      </c>
      <c r="J1061" t="s">
        <v>331</v>
      </c>
      <c r="K1061">
        <v>770.84808299999997</v>
      </c>
      <c r="L1061">
        <v>1000</v>
      </c>
      <c r="M1061">
        <v>77.084807999999995</v>
      </c>
      <c r="N1061">
        <v>2</v>
      </c>
      <c r="O1061">
        <v>0</v>
      </c>
      <c r="P1061">
        <v>71.780518000000001</v>
      </c>
      <c r="Q1061">
        <v>47.853679</v>
      </c>
      <c r="R1061">
        <v>50</v>
      </c>
      <c r="S1061">
        <v>64.759968999999998</v>
      </c>
      <c r="T1061">
        <v>75</v>
      </c>
      <c r="U1061">
        <v>43.173312000000003</v>
      </c>
      <c r="V1061">
        <v>50</v>
      </c>
      <c r="W1061">
        <v>68.686288000000005</v>
      </c>
      <c r="X1061">
        <v>45.790858999999998</v>
      </c>
      <c r="Y1061">
        <v>50</v>
      </c>
      <c r="Z1061">
        <v>75</v>
      </c>
      <c r="AA1061">
        <v>60.925609000000001</v>
      </c>
      <c r="AB1061">
        <v>40.617072</v>
      </c>
      <c r="AC1061">
        <v>50</v>
      </c>
      <c r="AD1061">
        <v>74.515364000000005</v>
      </c>
      <c r="AE1061">
        <v>49.676909999999999</v>
      </c>
      <c r="AF1061">
        <v>50</v>
      </c>
      <c r="AG1061">
        <v>67.012146999999999</v>
      </c>
      <c r="AH1061">
        <v>75</v>
      </c>
      <c r="AI1061">
        <v>44.674765000000001</v>
      </c>
      <c r="AJ1061">
        <v>50</v>
      </c>
      <c r="AK1061">
        <v>10.24</v>
      </c>
      <c r="AL1061">
        <v>14.07</v>
      </c>
      <c r="AM1061">
        <v>7.98</v>
      </c>
      <c r="AN1061">
        <v>0.61617100000000002</v>
      </c>
      <c r="AO1061">
        <v>61.617086</v>
      </c>
      <c r="AP1061">
        <v>100</v>
      </c>
      <c r="AQ1061">
        <v>0.72445300000000001</v>
      </c>
      <c r="AR1061">
        <v>72.445340999999999</v>
      </c>
      <c r="AS1061">
        <v>100</v>
      </c>
      <c r="AT1061">
        <v>0.58282199999999995</v>
      </c>
      <c r="AU1061">
        <v>0.65434899999999996</v>
      </c>
      <c r="AV1061">
        <v>58.282221</v>
      </c>
      <c r="AW1061">
        <v>100</v>
      </c>
      <c r="AX1061">
        <v>0.63646899999999995</v>
      </c>
      <c r="AY1061">
        <v>0.82649099999999998</v>
      </c>
      <c r="AZ1061">
        <v>63.646929999999998</v>
      </c>
      <c r="BA1061">
        <v>100</v>
      </c>
      <c r="BB1061">
        <v>0.67561099999999996</v>
      </c>
      <c r="BC1061">
        <v>33.780541999999997</v>
      </c>
      <c r="BD1061">
        <v>50</v>
      </c>
      <c r="BE1061">
        <v>0.41325299999999998</v>
      </c>
      <c r="BF1061">
        <v>20.662654</v>
      </c>
      <c r="BG1061">
        <v>50</v>
      </c>
      <c r="BH1061">
        <v>0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3.9076E-2</v>
      </c>
      <c r="BS1061">
        <v>50</v>
      </c>
      <c r="BT1061">
        <v>50</v>
      </c>
      <c r="BU1061">
        <v>4.4304000000000003E-2</v>
      </c>
      <c r="BV1061">
        <v>50</v>
      </c>
      <c r="BW1061">
        <v>50</v>
      </c>
      <c r="BX1061" t="s">
        <v>125</v>
      </c>
      <c r="BY1061" t="s">
        <v>125</v>
      </c>
      <c r="BZ1061" t="s">
        <v>125</v>
      </c>
      <c r="CA1061" t="s">
        <v>125</v>
      </c>
      <c r="CB1061" t="s">
        <v>125</v>
      </c>
      <c r="CC1061" t="s">
        <v>125</v>
      </c>
      <c r="CD1061">
        <v>0.90740699999999996</v>
      </c>
      <c r="CE1061">
        <v>48.266351</v>
      </c>
      <c r="CF1061">
        <v>50</v>
      </c>
      <c r="CG1061" t="s">
        <v>125</v>
      </c>
      <c r="CH1061" t="s">
        <v>125</v>
      </c>
      <c r="CI1061" t="s">
        <v>125</v>
      </c>
      <c r="CJ1061" t="s">
        <v>125</v>
      </c>
      <c r="CK1061" t="s">
        <v>125</v>
      </c>
      <c r="CL1061" t="s">
        <v>125</v>
      </c>
      <c r="CM1061" t="s">
        <v>125</v>
      </c>
      <c r="CN1061" t="s">
        <v>125</v>
      </c>
      <c r="CO1061" t="s">
        <v>125</v>
      </c>
      <c r="CP1061" t="s">
        <v>125</v>
      </c>
      <c r="CQ1061">
        <v>0.60540499999999997</v>
      </c>
      <c r="CR1061">
        <v>0.984043</v>
      </c>
      <c r="CS1061">
        <v>40.36036</v>
      </c>
      <c r="CT1061">
        <v>50</v>
      </c>
      <c r="CU1061" t="s">
        <v>125</v>
      </c>
      <c r="CV1061" t="s">
        <v>125</v>
      </c>
      <c r="CW1061" t="s">
        <v>125</v>
      </c>
      <c r="CX1061" t="s">
        <v>125</v>
      </c>
      <c r="CY1061" t="s">
        <v>125</v>
      </c>
      <c r="CZ1061" t="s">
        <v>125</v>
      </c>
      <c r="DA1061">
        <v>15.314097</v>
      </c>
      <c r="DB1061">
        <v>17.400950000000002</v>
      </c>
      <c r="DC1061">
        <v>16.332519999999999</v>
      </c>
      <c r="DD1061" t="s">
        <v>125</v>
      </c>
      <c r="DE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Q1061" t="s">
        <v>126</v>
      </c>
    </row>
    <row r="1062" spans="1:121" x14ac:dyDescent="0.15">
      <c r="A1062">
        <v>2018</v>
      </c>
      <c r="B1062" t="s">
        <v>176</v>
      </c>
      <c r="C1062" t="str">
        <f t="shared" si="50"/>
        <v>1630011</v>
      </c>
      <c r="D1062" t="s">
        <v>1205</v>
      </c>
      <c r="E1062" t="str">
        <f>"1630111"</f>
        <v>1630111</v>
      </c>
      <c r="F1062" t="s">
        <v>328</v>
      </c>
      <c r="G1062" t="s">
        <v>339</v>
      </c>
      <c r="H1062">
        <v>5</v>
      </c>
      <c r="I1062" t="s">
        <v>336</v>
      </c>
      <c r="J1062" t="s">
        <v>331</v>
      </c>
      <c r="K1062">
        <v>610.40626399999996</v>
      </c>
      <c r="L1062">
        <v>950</v>
      </c>
      <c r="M1062">
        <v>64.253291000000004</v>
      </c>
      <c r="N1062">
        <v>3</v>
      </c>
      <c r="O1062">
        <v>0</v>
      </c>
      <c r="P1062">
        <v>60.568371999999997</v>
      </c>
      <c r="Q1062">
        <v>40.378914000000002</v>
      </c>
      <c r="R1062">
        <v>50</v>
      </c>
      <c r="S1062">
        <v>59.965026999999999</v>
      </c>
      <c r="T1062" t="s">
        <v>125</v>
      </c>
      <c r="U1062">
        <v>39.976685000000003</v>
      </c>
      <c r="V1062">
        <v>50</v>
      </c>
      <c r="W1062">
        <v>58.430446000000003</v>
      </c>
      <c r="X1062">
        <v>38.953631000000001</v>
      </c>
      <c r="Y1062">
        <v>50</v>
      </c>
      <c r="Z1062" t="s">
        <v>125</v>
      </c>
      <c r="AA1062">
        <v>57.744411999999997</v>
      </c>
      <c r="AB1062">
        <v>38.496274999999997</v>
      </c>
      <c r="AC1062">
        <v>50</v>
      </c>
      <c r="AD1062">
        <v>57.489497</v>
      </c>
      <c r="AE1062">
        <v>38.326332000000001</v>
      </c>
      <c r="AF1062">
        <v>50</v>
      </c>
      <c r="AG1062">
        <v>56.208891000000001</v>
      </c>
      <c r="AH1062" t="s">
        <v>125</v>
      </c>
      <c r="AI1062">
        <v>37.472594000000001</v>
      </c>
      <c r="AJ1062">
        <v>50</v>
      </c>
      <c r="AK1062" t="s">
        <v>125</v>
      </c>
      <c r="AL1062" t="s">
        <v>125</v>
      </c>
      <c r="AM1062" t="s">
        <v>125</v>
      </c>
      <c r="AN1062">
        <v>0.55886800000000003</v>
      </c>
      <c r="AO1062">
        <v>55.886809999999997</v>
      </c>
      <c r="AP1062">
        <v>100</v>
      </c>
      <c r="AQ1062">
        <v>0.67901400000000001</v>
      </c>
      <c r="AR1062">
        <v>67.901415</v>
      </c>
      <c r="AS1062">
        <v>100</v>
      </c>
      <c r="AT1062">
        <v>0.54835699999999998</v>
      </c>
      <c r="AU1062" t="s">
        <v>125</v>
      </c>
      <c r="AV1062">
        <v>54.835728000000003</v>
      </c>
      <c r="AW1062">
        <v>100</v>
      </c>
      <c r="AX1062">
        <v>0.66144099999999995</v>
      </c>
      <c r="AY1062" t="s">
        <v>125</v>
      </c>
      <c r="AZ1062">
        <v>66.144084000000007</v>
      </c>
      <c r="BA1062">
        <v>100</v>
      </c>
      <c r="BB1062">
        <v>0.59492400000000001</v>
      </c>
      <c r="BC1062">
        <v>29.746202</v>
      </c>
      <c r="BD1062">
        <v>50</v>
      </c>
      <c r="BE1062">
        <v>0.40399600000000002</v>
      </c>
      <c r="BF1062">
        <v>20.199786</v>
      </c>
      <c r="BG1062">
        <v>50</v>
      </c>
      <c r="BH1062">
        <v>0</v>
      </c>
      <c r="BI1062">
        <v>1</v>
      </c>
      <c r="BJ1062">
        <v>1</v>
      </c>
      <c r="BK1062" t="s">
        <v>125</v>
      </c>
      <c r="BL1062">
        <v>1</v>
      </c>
      <c r="BM1062">
        <v>1</v>
      </c>
      <c r="BN1062" t="s">
        <v>125</v>
      </c>
      <c r="BO1062">
        <v>1</v>
      </c>
      <c r="BP1062">
        <v>1</v>
      </c>
      <c r="BQ1062" t="s">
        <v>125</v>
      </c>
      <c r="BR1062">
        <v>0.15737699999999999</v>
      </c>
      <c r="BS1062">
        <v>28.52459</v>
      </c>
      <c r="BT1062">
        <v>50</v>
      </c>
      <c r="BU1062">
        <v>0.165517</v>
      </c>
      <c r="BV1062">
        <v>26.896552</v>
      </c>
      <c r="BW1062">
        <v>50</v>
      </c>
      <c r="BX1062" t="s">
        <v>125</v>
      </c>
      <c r="BY1062" t="s">
        <v>125</v>
      </c>
      <c r="BZ1062" t="s">
        <v>125</v>
      </c>
      <c r="CA1062" t="s">
        <v>125</v>
      </c>
      <c r="CB1062" t="s">
        <v>125</v>
      </c>
      <c r="CC1062" t="s">
        <v>125</v>
      </c>
      <c r="CD1062" t="s">
        <v>125</v>
      </c>
      <c r="CE1062" t="s">
        <v>125</v>
      </c>
      <c r="CF1062" t="s">
        <v>125</v>
      </c>
      <c r="CG1062" t="s">
        <v>125</v>
      </c>
      <c r="CH1062" t="s">
        <v>125</v>
      </c>
      <c r="CI1062" t="s">
        <v>125</v>
      </c>
      <c r="CJ1062" t="s">
        <v>125</v>
      </c>
      <c r="CK1062" t="s">
        <v>125</v>
      </c>
      <c r="CL1062" t="s">
        <v>125</v>
      </c>
      <c r="CM1062" t="s">
        <v>125</v>
      </c>
      <c r="CN1062" t="s">
        <v>125</v>
      </c>
      <c r="CO1062" t="s">
        <v>125</v>
      </c>
      <c r="CP1062" t="s">
        <v>125</v>
      </c>
      <c r="CQ1062">
        <v>0.4</v>
      </c>
      <c r="CR1062">
        <v>0.95744700000000005</v>
      </c>
      <c r="CS1062">
        <v>26.666667</v>
      </c>
      <c r="CT1062">
        <v>50</v>
      </c>
      <c r="CU1062" t="s">
        <v>125</v>
      </c>
      <c r="CV1062" t="s">
        <v>125</v>
      </c>
      <c r="CW1062" t="s">
        <v>125</v>
      </c>
      <c r="CX1062" t="s">
        <v>125</v>
      </c>
      <c r="CY1062" t="s">
        <v>125</v>
      </c>
      <c r="CZ1062" t="s">
        <v>125</v>
      </c>
      <c r="DA1062">
        <v>15.314097</v>
      </c>
      <c r="DB1062">
        <v>17.400950000000002</v>
      </c>
      <c r="DC1062">
        <v>16.332519999999999</v>
      </c>
      <c r="DD1062" t="s">
        <v>125</v>
      </c>
      <c r="DE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Q1062" t="s">
        <v>126</v>
      </c>
    </row>
    <row r="1063" spans="1:121" x14ac:dyDescent="0.15">
      <c r="A1063">
        <v>2018</v>
      </c>
      <c r="B1063" t="s">
        <v>176</v>
      </c>
      <c r="C1063" t="str">
        <f t="shared" si="50"/>
        <v>1630011</v>
      </c>
      <c r="D1063" t="s">
        <v>1206</v>
      </c>
      <c r="E1063" t="str">
        <f>"1630311"</f>
        <v>1630311</v>
      </c>
      <c r="F1063" t="s">
        <v>328</v>
      </c>
      <c r="G1063" t="s">
        <v>339</v>
      </c>
      <c r="H1063">
        <v>5</v>
      </c>
      <c r="I1063" t="s">
        <v>336</v>
      </c>
      <c r="J1063" t="s">
        <v>331</v>
      </c>
      <c r="K1063">
        <v>646.81021799999996</v>
      </c>
      <c r="L1063">
        <v>950</v>
      </c>
      <c r="M1063">
        <v>68.085285999999996</v>
      </c>
      <c r="N1063">
        <v>3</v>
      </c>
      <c r="O1063">
        <v>1</v>
      </c>
      <c r="P1063">
        <v>60.977837999999998</v>
      </c>
      <c r="Q1063">
        <v>40.651891999999997</v>
      </c>
      <c r="R1063">
        <v>50</v>
      </c>
      <c r="S1063">
        <v>58.112245000000001</v>
      </c>
      <c r="T1063">
        <v>71.80341</v>
      </c>
      <c r="U1063">
        <v>38.741497000000003</v>
      </c>
      <c r="V1063">
        <v>50</v>
      </c>
      <c r="W1063">
        <v>54.615603999999998</v>
      </c>
      <c r="X1063">
        <v>36.410403000000002</v>
      </c>
      <c r="Y1063">
        <v>50</v>
      </c>
      <c r="Z1063">
        <v>69.371922999999995</v>
      </c>
      <c r="AA1063">
        <v>50.663018999999998</v>
      </c>
      <c r="AB1063">
        <v>33.775345999999999</v>
      </c>
      <c r="AC1063">
        <v>50</v>
      </c>
      <c r="AD1063">
        <v>60.354357</v>
      </c>
      <c r="AE1063">
        <v>40.236238</v>
      </c>
      <c r="AF1063">
        <v>50</v>
      </c>
      <c r="AG1063">
        <v>58.111663</v>
      </c>
      <c r="AH1063" t="s">
        <v>125</v>
      </c>
      <c r="AI1063">
        <v>38.741107999999997</v>
      </c>
      <c r="AJ1063">
        <v>50</v>
      </c>
      <c r="AK1063">
        <v>13.69</v>
      </c>
      <c r="AL1063">
        <v>18.7</v>
      </c>
      <c r="AM1063" t="s">
        <v>125</v>
      </c>
      <c r="AN1063">
        <v>0.66065300000000005</v>
      </c>
      <c r="AO1063">
        <v>66.065338999999994</v>
      </c>
      <c r="AP1063">
        <v>100</v>
      </c>
      <c r="AQ1063">
        <v>0.66038799999999998</v>
      </c>
      <c r="AR1063">
        <v>66.038814000000002</v>
      </c>
      <c r="AS1063">
        <v>100</v>
      </c>
      <c r="AT1063">
        <v>0.63339900000000005</v>
      </c>
      <c r="AU1063">
        <v>0.75785999999999998</v>
      </c>
      <c r="AV1063">
        <v>63.339925000000001</v>
      </c>
      <c r="AW1063">
        <v>100</v>
      </c>
      <c r="AX1063">
        <v>0.646366</v>
      </c>
      <c r="AY1063">
        <v>0.70993200000000001</v>
      </c>
      <c r="AZ1063">
        <v>64.636627000000004</v>
      </c>
      <c r="BA1063">
        <v>100</v>
      </c>
      <c r="BB1063">
        <v>0.65138099999999999</v>
      </c>
      <c r="BC1063">
        <v>32.569063</v>
      </c>
      <c r="BD1063">
        <v>50</v>
      </c>
      <c r="BE1063">
        <v>0.42093900000000001</v>
      </c>
      <c r="BF1063">
        <v>21.046961</v>
      </c>
      <c r="BG1063">
        <v>50</v>
      </c>
      <c r="BH1063">
        <v>1</v>
      </c>
      <c r="BI1063">
        <v>0.99137900000000001</v>
      </c>
      <c r="BJ1063">
        <v>0.98924699999999999</v>
      </c>
      <c r="BK1063">
        <v>1</v>
      </c>
      <c r="BL1063">
        <v>0.97844799999999998</v>
      </c>
      <c r="BM1063">
        <v>0.97311800000000004</v>
      </c>
      <c r="BN1063">
        <v>1</v>
      </c>
      <c r="BO1063">
        <v>0.95945899999999995</v>
      </c>
      <c r="BP1063">
        <v>0.94827600000000001</v>
      </c>
      <c r="BQ1063" t="s">
        <v>125</v>
      </c>
      <c r="BR1063">
        <v>8.9912000000000006E-2</v>
      </c>
      <c r="BS1063">
        <v>42.017544000000001</v>
      </c>
      <c r="BT1063">
        <v>50</v>
      </c>
      <c r="BU1063">
        <v>9.3583E-2</v>
      </c>
      <c r="BV1063">
        <v>41.283422000000002</v>
      </c>
      <c r="BW1063">
        <v>50</v>
      </c>
      <c r="BX1063" t="s">
        <v>125</v>
      </c>
      <c r="BY1063" t="s">
        <v>125</v>
      </c>
      <c r="BZ1063" t="s">
        <v>125</v>
      </c>
      <c r="CA1063" t="s">
        <v>125</v>
      </c>
      <c r="CB1063" t="s">
        <v>125</v>
      </c>
      <c r="CC1063" t="s">
        <v>125</v>
      </c>
      <c r="CD1063" t="s">
        <v>125</v>
      </c>
      <c r="CE1063" t="s">
        <v>125</v>
      </c>
      <c r="CF1063" t="s">
        <v>125</v>
      </c>
      <c r="CG1063" t="s">
        <v>125</v>
      </c>
      <c r="CH1063" t="s">
        <v>125</v>
      </c>
      <c r="CI1063" t="s">
        <v>125</v>
      </c>
      <c r="CJ1063" t="s">
        <v>125</v>
      </c>
      <c r="CK1063" t="s">
        <v>125</v>
      </c>
      <c r="CL1063" t="s">
        <v>125</v>
      </c>
      <c r="CM1063" t="s">
        <v>125</v>
      </c>
      <c r="CN1063" t="s">
        <v>125</v>
      </c>
      <c r="CO1063" t="s">
        <v>125</v>
      </c>
      <c r="CP1063" t="s">
        <v>125</v>
      </c>
      <c r="CQ1063">
        <v>0.63768100000000005</v>
      </c>
      <c r="CR1063">
        <v>0.88461500000000004</v>
      </c>
      <c r="CS1063">
        <v>21.256039000000001</v>
      </c>
      <c r="CT1063">
        <v>50</v>
      </c>
      <c r="CU1063" t="s">
        <v>125</v>
      </c>
      <c r="CV1063" t="s">
        <v>125</v>
      </c>
      <c r="CW1063" t="s">
        <v>125</v>
      </c>
      <c r="CX1063" t="s">
        <v>125</v>
      </c>
      <c r="CY1063" t="s">
        <v>125</v>
      </c>
      <c r="CZ1063" t="s">
        <v>125</v>
      </c>
      <c r="DA1063">
        <v>15.314097</v>
      </c>
      <c r="DB1063">
        <v>17.400950000000002</v>
      </c>
      <c r="DC1063">
        <v>16.332519999999999</v>
      </c>
      <c r="DD1063" t="s">
        <v>125</v>
      </c>
      <c r="DE1063">
        <v>1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Q1063" t="s">
        <v>126</v>
      </c>
    </row>
    <row r="1064" spans="1:121" x14ac:dyDescent="0.15">
      <c r="A1064">
        <v>2018</v>
      </c>
      <c r="B1064" t="s">
        <v>176</v>
      </c>
      <c r="C1064" t="str">
        <f t="shared" si="50"/>
        <v>1630011</v>
      </c>
      <c r="D1064" t="s">
        <v>1207</v>
      </c>
      <c r="E1064" t="str">
        <f>"1630611"</f>
        <v>1630611</v>
      </c>
      <c r="F1064" t="s">
        <v>328</v>
      </c>
      <c r="G1064" t="s">
        <v>339</v>
      </c>
      <c r="H1064">
        <v>5</v>
      </c>
      <c r="I1064" t="s">
        <v>336</v>
      </c>
      <c r="J1064" t="s">
        <v>331</v>
      </c>
      <c r="K1064">
        <v>642.36052900000004</v>
      </c>
      <c r="L1064">
        <v>950</v>
      </c>
      <c r="M1064">
        <v>67.616898000000006</v>
      </c>
      <c r="N1064">
        <v>3</v>
      </c>
      <c r="O1064">
        <v>0</v>
      </c>
      <c r="P1064">
        <v>60.367776999999997</v>
      </c>
      <c r="Q1064">
        <v>40.245184999999999</v>
      </c>
      <c r="R1064">
        <v>50</v>
      </c>
      <c r="S1064">
        <v>59.805064000000002</v>
      </c>
      <c r="T1064" t="s">
        <v>125</v>
      </c>
      <c r="U1064">
        <v>39.870041999999998</v>
      </c>
      <c r="V1064">
        <v>50</v>
      </c>
      <c r="W1064">
        <v>57.393203</v>
      </c>
      <c r="X1064">
        <v>38.262135999999998</v>
      </c>
      <c r="Y1064">
        <v>50</v>
      </c>
      <c r="Z1064" t="s">
        <v>125</v>
      </c>
      <c r="AA1064">
        <v>56.221288999999999</v>
      </c>
      <c r="AB1064">
        <v>37.48086</v>
      </c>
      <c r="AC1064">
        <v>50</v>
      </c>
      <c r="AD1064">
        <v>63.070306000000002</v>
      </c>
      <c r="AE1064">
        <v>42.046871000000003</v>
      </c>
      <c r="AF1064">
        <v>50</v>
      </c>
      <c r="AG1064">
        <v>61.417512000000002</v>
      </c>
      <c r="AH1064" t="s">
        <v>125</v>
      </c>
      <c r="AI1064">
        <v>40.945008000000001</v>
      </c>
      <c r="AJ1064">
        <v>50</v>
      </c>
      <c r="AK1064" t="s">
        <v>125</v>
      </c>
      <c r="AL1064" t="s">
        <v>125</v>
      </c>
      <c r="AM1064" t="s">
        <v>125</v>
      </c>
      <c r="AN1064">
        <v>0.62857200000000002</v>
      </c>
      <c r="AO1064">
        <v>62.857227000000002</v>
      </c>
      <c r="AP1064">
        <v>100</v>
      </c>
      <c r="AQ1064">
        <v>0.69305899999999998</v>
      </c>
      <c r="AR1064">
        <v>69.305921999999995</v>
      </c>
      <c r="AS1064">
        <v>100</v>
      </c>
      <c r="AT1064">
        <v>0.61707500000000004</v>
      </c>
      <c r="AU1064" t="s">
        <v>125</v>
      </c>
      <c r="AV1064">
        <v>61.707498999999999</v>
      </c>
      <c r="AW1064">
        <v>100</v>
      </c>
      <c r="AX1064">
        <v>0.68779000000000001</v>
      </c>
      <c r="AY1064" t="s">
        <v>125</v>
      </c>
      <c r="AZ1064">
        <v>68.778977999999995</v>
      </c>
      <c r="BA1064">
        <v>100</v>
      </c>
      <c r="BB1064">
        <v>0.53224300000000002</v>
      </c>
      <c r="BC1064">
        <v>26.61214</v>
      </c>
      <c r="BD1064">
        <v>50</v>
      </c>
      <c r="BE1064">
        <v>0.38919199999999998</v>
      </c>
      <c r="BF1064">
        <v>19.459593000000002</v>
      </c>
      <c r="BG1064">
        <v>50</v>
      </c>
      <c r="BH1064">
        <v>0</v>
      </c>
      <c r="BI1064">
        <v>1</v>
      </c>
      <c r="BJ1064">
        <v>1</v>
      </c>
      <c r="BK1064" t="s">
        <v>125</v>
      </c>
      <c r="BL1064">
        <v>1</v>
      </c>
      <c r="BM1064">
        <v>1</v>
      </c>
      <c r="BN1064" t="s">
        <v>125</v>
      </c>
      <c r="BO1064">
        <v>1</v>
      </c>
      <c r="BP1064">
        <v>1</v>
      </c>
      <c r="BQ1064" t="s">
        <v>125</v>
      </c>
      <c r="BR1064">
        <v>0.12595400000000001</v>
      </c>
      <c r="BS1064">
        <v>34.809159999999999</v>
      </c>
      <c r="BT1064">
        <v>50</v>
      </c>
      <c r="BU1064">
        <v>0.135021</v>
      </c>
      <c r="BV1064">
        <v>32.995781000000001</v>
      </c>
      <c r="BW1064">
        <v>50</v>
      </c>
      <c r="BX1064" t="s">
        <v>125</v>
      </c>
      <c r="BY1064" t="s">
        <v>125</v>
      </c>
      <c r="BZ1064" t="s">
        <v>125</v>
      </c>
      <c r="CA1064" t="s">
        <v>125</v>
      </c>
      <c r="CB1064" t="s">
        <v>125</v>
      </c>
      <c r="CC1064" t="s">
        <v>125</v>
      </c>
      <c r="CD1064" t="s">
        <v>125</v>
      </c>
      <c r="CE1064" t="s">
        <v>125</v>
      </c>
      <c r="CF1064" t="s">
        <v>125</v>
      </c>
      <c r="CG1064" t="s">
        <v>125</v>
      </c>
      <c r="CH1064" t="s">
        <v>125</v>
      </c>
      <c r="CI1064" t="s">
        <v>125</v>
      </c>
      <c r="CJ1064" t="s">
        <v>125</v>
      </c>
      <c r="CK1064" t="s">
        <v>125</v>
      </c>
      <c r="CL1064" t="s">
        <v>125</v>
      </c>
      <c r="CM1064" t="s">
        <v>125</v>
      </c>
      <c r="CN1064" t="s">
        <v>125</v>
      </c>
      <c r="CO1064" t="s">
        <v>125</v>
      </c>
      <c r="CP1064" t="s">
        <v>125</v>
      </c>
      <c r="CQ1064">
        <v>0.40476200000000001</v>
      </c>
      <c r="CR1064">
        <v>0.93333299999999997</v>
      </c>
      <c r="CS1064">
        <v>26.984127000000001</v>
      </c>
      <c r="CT1064">
        <v>50</v>
      </c>
      <c r="CU1064" t="s">
        <v>125</v>
      </c>
      <c r="CV1064" t="s">
        <v>125</v>
      </c>
      <c r="CW1064" t="s">
        <v>125</v>
      </c>
      <c r="CX1064" t="s">
        <v>125</v>
      </c>
      <c r="CY1064" t="s">
        <v>125</v>
      </c>
      <c r="CZ1064" t="s">
        <v>125</v>
      </c>
      <c r="DA1064">
        <v>15.314097</v>
      </c>
      <c r="DB1064">
        <v>17.400950000000002</v>
      </c>
      <c r="DC1064">
        <v>16.332519999999999</v>
      </c>
      <c r="DD1064" t="s">
        <v>125</v>
      </c>
      <c r="DE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Q1064" t="s">
        <v>126</v>
      </c>
    </row>
    <row r="1065" spans="1:121" x14ac:dyDescent="0.15">
      <c r="A1065">
        <v>2018</v>
      </c>
      <c r="B1065" t="s">
        <v>176</v>
      </c>
      <c r="C1065" t="str">
        <f t="shared" si="50"/>
        <v>1630011</v>
      </c>
      <c r="D1065" t="s">
        <v>1208</v>
      </c>
      <c r="E1065" t="str">
        <f>"1630511"</f>
        <v>1630511</v>
      </c>
      <c r="F1065" t="s">
        <v>328</v>
      </c>
      <c r="G1065" t="s">
        <v>339</v>
      </c>
      <c r="H1065">
        <v>5</v>
      </c>
      <c r="I1065" t="s">
        <v>336</v>
      </c>
      <c r="J1065" t="s">
        <v>331</v>
      </c>
      <c r="K1065">
        <v>720.40021200000001</v>
      </c>
      <c r="L1065">
        <v>950</v>
      </c>
      <c r="M1065">
        <v>75.831601000000006</v>
      </c>
      <c r="N1065">
        <v>2</v>
      </c>
      <c r="O1065">
        <v>0</v>
      </c>
      <c r="P1065">
        <v>67.015332000000001</v>
      </c>
      <c r="Q1065">
        <v>44.676887999999998</v>
      </c>
      <c r="R1065">
        <v>50</v>
      </c>
      <c r="S1065">
        <v>61.908596000000003</v>
      </c>
      <c r="T1065">
        <v>75</v>
      </c>
      <c r="U1065">
        <v>41.272396999999998</v>
      </c>
      <c r="V1065">
        <v>50</v>
      </c>
      <c r="W1065">
        <v>67.752450999999994</v>
      </c>
      <c r="X1065">
        <v>45.168301</v>
      </c>
      <c r="Y1065">
        <v>50</v>
      </c>
      <c r="Z1065">
        <v>75</v>
      </c>
      <c r="AA1065">
        <v>63.480147000000002</v>
      </c>
      <c r="AB1065">
        <v>42.320098000000002</v>
      </c>
      <c r="AC1065">
        <v>50</v>
      </c>
      <c r="AD1065">
        <v>68.768090999999998</v>
      </c>
      <c r="AE1065">
        <v>45.845393999999999</v>
      </c>
      <c r="AF1065">
        <v>50</v>
      </c>
      <c r="AG1065">
        <v>64.904420999999999</v>
      </c>
      <c r="AH1065" t="s">
        <v>125</v>
      </c>
      <c r="AI1065">
        <v>43.269613999999997</v>
      </c>
      <c r="AJ1065">
        <v>50</v>
      </c>
      <c r="AK1065">
        <v>13.09</v>
      </c>
      <c r="AL1065">
        <v>11.51</v>
      </c>
      <c r="AM1065" t="s">
        <v>125</v>
      </c>
      <c r="AN1065">
        <v>0.77425100000000002</v>
      </c>
      <c r="AO1065">
        <v>77.425089</v>
      </c>
      <c r="AP1065">
        <v>100</v>
      </c>
      <c r="AQ1065">
        <v>0.879166</v>
      </c>
      <c r="AR1065">
        <v>87.916557999999995</v>
      </c>
      <c r="AS1065">
        <v>100</v>
      </c>
      <c r="AT1065">
        <v>0.71437200000000001</v>
      </c>
      <c r="AU1065" t="s">
        <v>125</v>
      </c>
      <c r="AV1065">
        <v>71.437241</v>
      </c>
      <c r="AW1065">
        <v>100</v>
      </c>
      <c r="AX1065">
        <v>0.839028</v>
      </c>
      <c r="AY1065" t="s">
        <v>125</v>
      </c>
      <c r="AZ1065">
        <v>83.902811999999997</v>
      </c>
      <c r="BA1065">
        <v>100</v>
      </c>
      <c r="BB1065">
        <v>0.61067000000000005</v>
      </c>
      <c r="BC1065">
        <v>30.533480999999998</v>
      </c>
      <c r="BD1065">
        <v>50</v>
      </c>
      <c r="BE1065">
        <v>0.42474400000000001</v>
      </c>
      <c r="BF1065">
        <v>21.237216</v>
      </c>
      <c r="BG1065">
        <v>50</v>
      </c>
      <c r="BH1065">
        <v>0</v>
      </c>
      <c r="BI1065">
        <v>0.97479000000000005</v>
      </c>
      <c r="BJ1065">
        <v>0.97894700000000001</v>
      </c>
      <c r="BK1065">
        <v>0.95833299999999999</v>
      </c>
      <c r="BL1065">
        <v>0.97479000000000005</v>
      </c>
      <c r="BM1065">
        <v>0.97894700000000001</v>
      </c>
      <c r="BN1065">
        <v>0.95833299999999999</v>
      </c>
      <c r="BO1065">
        <v>0.97826100000000005</v>
      </c>
      <c r="BP1065">
        <v>1</v>
      </c>
      <c r="BQ1065" t="s">
        <v>125</v>
      </c>
      <c r="BR1065">
        <v>0.17623</v>
      </c>
      <c r="BS1065">
        <v>24.754097999999999</v>
      </c>
      <c r="BT1065">
        <v>50</v>
      </c>
      <c r="BU1065">
        <v>0.20192299999999999</v>
      </c>
      <c r="BV1065">
        <v>19.615385</v>
      </c>
      <c r="BW1065">
        <v>50</v>
      </c>
      <c r="BX1065" t="s">
        <v>125</v>
      </c>
      <c r="BY1065" t="s">
        <v>125</v>
      </c>
      <c r="BZ1065" t="s">
        <v>125</v>
      </c>
      <c r="CA1065" t="s">
        <v>125</v>
      </c>
      <c r="CB1065" t="s">
        <v>125</v>
      </c>
      <c r="CC1065" t="s">
        <v>125</v>
      </c>
      <c r="CD1065" t="s">
        <v>125</v>
      </c>
      <c r="CE1065" t="s">
        <v>125</v>
      </c>
      <c r="CF1065" t="s">
        <v>125</v>
      </c>
      <c r="CG1065" t="s">
        <v>125</v>
      </c>
      <c r="CH1065" t="s">
        <v>125</v>
      </c>
      <c r="CI1065" t="s">
        <v>125</v>
      </c>
      <c r="CJ1065" t="s">
        <v>125</v>
      </c>
      <c r="CK1065" t="s">
        <v>125</v>
      </c>
      <c r="CL1065" t="s">
        <v>125</v>
      </c>
      <c r="CM1065" t="s">
        <v>125</v>
      </c>
      <c r="CN1065" t="s">
        <v>125</v>
      </c>
      <c r="CO1065" t="s">
        <v>125</v>
      </c>
      <c r="CP1065" t="s">
        <v>125</v>
      </c>
      <c r="CQ1065">
        <v>0.61538499999999996</v>
      </c>
      <c r="CR1065">
        <v>0.97499999999999998</v>
      </c>
      <c r="CS1065">
        <v>41.025641</v>
      </c>
      <c r="CT1065">
        <v>50</v>
      </c>
      <c r="CU1065" t="s">
        <v>125</v>
      </c>
      <c r="CV1065" t="s">
        <v>125</v>
      </c>
      <c r="CW1065" t="s">
        <v>125</v>
      </c>
      <c r="CX1065" t="s">
        <v>125</v>
      </c>
      <c r="CY1065" t="s">
        <v>125</v>
      </c>
      <c r="CZ1065" t="s">
        <v>125</v>
      </c>
      <c r="DA1065">
        <v>15.314097</v>
      </c>
      <c r="DB1065">
        <v>17.400950000000002</v>
      </c>
      <c r="DC1065">
        <v>16.332519999999999</v>
      </c>
      <c r="DD1065" t="s">
        <v>125</v>
      </c>
      <c r="DE1065">
        <v>0</v>
      </c>
      <c r="DH1065" t="s">
        <v>332</v>
      </c>
      <c r="DI1065" t="s">
        <v>477</v>
      </c>
      <c r="DJ1065">
        <v>0</v>
      </c>
      <c r="DK1065">
        <v>0</v>
      </c>
      <c r="DL1065">
        <v>1</v>
      </c>
      <c r="DM1065">
        <v>1</v>
      </c>
      <c r="DN1065">
        <v>1</v>
      </c>
      <c r="DO1065">
        <v>0</v>
      </c>
      <c r="DQ1065" t="s">
        <v>126</v>
      </c>
    </row>
    <row r="1066" spans="1:121" x14ac:dyDescent="0.15">
      <c r="A1066">
        <v>2018</v>
      </c>
      <c r="B1066" t="s">
        <v>176</v>
      </c>
      <c r="C1066" t="str">
        <f t="shared" si="50"/>
        <v>1630011</v>
      </c>
      <c r="D1066" t="s">
        <v>1209</v>
      </c>
      <c r="E1066" t="str">
        <f>"1636111"</f>
        <v>1636111</v>
      </c>
      <c r="F1066" t="s">
        <v>328</v>
      </c>
      <c r="G1066">
        <v>9</v>
      </c>
      <c r="H1066">
        <v>12</v>
      </c>
      <c r="I1066" t="s">
        <v>336</v>
      </c>
      <c r="J1066" t="s">
        <v>331</v>
      </c>
      <c r="K1066">
        <v>879.93013800000006</v>
      </c>
      <c r="L1066">
        <v>1550</v>
      </c>
      <c r="M1066">
        <v>56.769686</v>
      </c>
      <c r="N1066">
        <v>3</v>
      </c>
      <c r="O1066">
        <v>0</v>
      </c>
      <c r="P1066">
        <v>45.896158</v>
      </c>
      <c r="Q1066">
        <v>91.792316</v>
      </c>
      <c r="R1066">
        <v>150</v>
      </c>
      <c r="S1066">
        <v>42.427506999999999</v>
      </c>
      <c r="T1066">
        <v>57.273333000000001</v>
      </c>
      <c r="U1066">
        <v>84.855013999999997</v>
      </c>
      <c r="V1066">
        <v>150</v>
      </c>
      <c r="W1066">
        <v>41.869678</v>
      </c>
      <c r="X1066">
        <v>83.739356000000001</v>
      </c>
      <c r="Y1066">
        <v>150</v>
      </c>
      <c r="Z1066">
        <v>48.473332999999997</v>
      </c>
      <c r="AA1066">
        <v>39.856369000000001</v>
      </c>
      <c r="AB1066">
        <v>79.712737000000004</v>
      </c>
      <c r="AC1066">
        <v>150</v>
      </c>
      <c r="AD1066">
        <v>40.778250999999997</v>
      </c>
      <c r="AE1066">
        <v>54.371001999999997</v>
      </c>
      <c r="AF1066">
        <v>100</v>
      </c>
      <c r="AG1066">
        <v>39.053046999999999</v>
      </c>
      <c r="AH1066">
        <v>46.436923</v>
      </c>
      <c r="AI1066">
        <v>52.070729</v>
      </c>
      <c r="AJ1066">
        <v>100</v>
      </c>
      <c r="AK1066">
        <v>14.84</v>
      </c>
      <c r="AL1066">
        <v>8.61</v>
      </c>
      <c r="AM1066">
        <v>7.38</v>
      </c>
      <c r="AN1066" t="s">
        <v>125</v>
      </c>
      <c r="AO1066" t="s">
        <v>125</v>
      </c>
      <c r="AP1066" t="s">
        <v>125</v>
      </c>
      <c r="AQ1066" t="s">
        <v>125</v>
      </c>
      <c r="AR1066" t="s">
        <v>125</v>
      </c>
      <c r="AS1066" t="s">
        <v>125</v>
      </c>
      <c r="AT1066" t="s">
        <v>125</v>
      </c>
      <c r="AU1066" t="s">
        <v>125</v>
      </c>
      <c r="AV1066" t="s">
        <v>125</v>
      </c>
      <c r="AW1066" t="s">
        <v>125</v>
      </c>
      <c r="AX1066" t="s">
        <v>125</v>
      </c>
      <c r="AY1066" t="s">
        <v>125</v>
      </c>
      <c r="AZ1066" t="s">
        <v>125</v>
      </c>
      <c r="BA1066" t="s">
        <v>125</v>
      </c>
      <c r="BB1066">
        <v>0.27661000000000002</v>
      </c>
      <c r="BC1066">
        <v>13.830476000000001</v>
      </c>
      <c r="BD1066">
        <v>50</v>
      </c>
      <c r="BE1066">
        <v>0.36165599999999998</v>
      </c>
      <c r="BF1066">
        <v>18.082781000000001</v>
      </c>
      <c r="BG1066">
        <v>50</v>
      </c>
      <c r="BH1066">
        <v>1</v>
      </c>
      <c r="BI1066">
        <v>0.94399999999999995</v>
      </c>
      <c r="BJ1066">
        <v>0.92929300000000004</v>
      </c>
      <c r="BK1066">
        <v>1</v>
      </c>
      <c r="BL1066">
        <v>0.94399999999999995</v>
      </c>
      <c r="BM1066">
        <v>0.92929300000000004</v>
      </c>
      <c r="BN1066">
        <v>1</v>
      </c>
      <c r="BO1066">
        <v>0.95161300000000004</v>
      </c>
      <c r="BP1066">
        <v>0.94845400000000002</v>
      </c>
      <c r="BQ1066">
        <v>0.96296300000000001</v>
      </c>
      <c r="BR1066">
        <v>0.31560899999999997</v>
      </c>
      <c r="BS1066">
        <v>0</v>
      </c>
      <c r="BT1066">
        <v>50</v>
      </c>
      <c r="BU1066">
        <v>0.34285700000000002</v>
      </c>
      <c r="BV1066">
        <v>0</v>
      </c>
      <c r="BW1066">
        <v>50</v>
      </c>
      <c r="BX1066">
        <v>0.796875</v>
      </c>
      <c r="BY1066">
        <v>50</v>
      </c>
      <c r="BZ1066">
        <v>50</v>
      </c>
      <c r="CA1066">
        <v>0.14843799999999999</v>
      </c>
      <c r="CB1066">
        <v>9.8958329999999997</v>
      </c>
      <c r="CC1066">
        <v>50</v>
      </c>
      <c r="CD1066">
        <v>0.57303400000000004</v>
      </c>
      <c r="CE1066">
        <v>30.480516000000001</v>
      </c>
      <c r="CF1066">
        <v>50</v>
      </c>
      <c r="CG1066">
        <v>0.86792499999999995</v>
      </c>
      <c r="CH1066">
        <v>92.332397</v>
      </c>
      <c r="CI1066">
        <v>100</v>
      </c>
      <c r="CJ1066">
        <v>0</v>
      </c>
      <c r="CK1066">
        <v>0.88073400000000002</v>
      </c>
      <c r="CL1066">
        <v>93.695100999999994</v>
      </c>
      <c r="CM1066">
        <v>100</v>
      </c>
      <c r="CN1066">
        <v>0.40425499999999998</v>
      </c>
      <c r="CO1066">
        <v>53.900708999999999</v>
      </c>
      <c r="CP1066">
        <v>100</v>
      </c>
      <c r="CQ1066">
        <v>0.31756800000000002</v>
      </c>
      <c r="CR1066">
        <v>0.980132</v>
      </c>
      <c r="CS1066">
        <v>21.171171000000001</v>
      </c>
      <c r="CT1066">
        <v>50</v>
      </c>
      <c r="CU1066">
        <v>0.70497399999999999</v>
      </c>
      <c r="CV1066">
        <v>50</v>
      </c>
      <c r="CW1066">
        <v>50</v>
      </c>
      <c r="CX1066">
        <v>0.88073400000000002</v>
      </c>
      <c r="CY1066">
        <v>0.94</v>
      </c>
      <c r="CZ1066">
        <v>5.9265999999999999E-2</v>
      </c>
      <c r="DA1066">
        <v>15.314097</v>
      </c>
      <c r="DB1066">
        <v>17.400950000000002</v>
      </c>
      <c r="DC1066">
        <v>16.332519999999999</v>
      </c>
      <c r="DD1066">
        <v>7.9891730000000001</v>
      </c>
      <c r="DE1066">
        <v>1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Q1066" t="s">
        <v>126</v>
      </c>
    </row>
    <row r="1067" spans="1:121" x14ac:dyDescent="0.15">
      <c r="A1067">
        <v>2018</v>
      </c>
      <c r="B1067" t="s">
        <v>176</v>
      </c>
      <c r="C1067" t="str">
        <f t="shared" si="50"/>
        <v>1630011</v>
      </c>
      <c r="D1067" t="s">
        <v>1210</v>
      </c>
      <c r="E1067" t="str">
        <f>"1635111"</f>
        <v>1635111</v>
      </c>
      <c r="F1067" t="s">
        <v>328</v>
      </c>
      <c r="G1067">
        <v>6</v>
      </c>
      <c r="H1067">
        <v>8</v>
      </c>
      <c r="I1067" t="s">
        <v>336</v>
      </c>
      <c r="J1067" t="s">
        <v>331</v>
      </c>
      <c r="K1067">
        <v>501.36082499999998</v>
      </c>
      <c r="L1067">
        <v>1000</v>
      </c>
      <c r="M1067">
        <v>50.136082000000002</v>
      </c>
      <c r="N1067">
        <v>4</v>
      </c>
      <c r="O1067">
        <v>1</v>
      </c>
      <c r="P1067">
        <v>52.462564999999998</v>
      </c>
      <c r="Q1067">
        <v>34.975042999999999</v>
      </c>
      <c r="R1067">
        <v>50</v>
      </c>
      <c r="S1067">
        <v>50.316875000000003</v>
      </c>
      <c r="T1067">
        <v>66.897210999999999</v>
      </c>
      <c r="U1067">
        <v>33.544583000000003</v>
      </c>
      <c r="V1067">
        <v>50</v>
      </c>
      <c r="W1067">
        <v>46.714748999999998</v>
      </c>
      <c r="X1067">
        <v>31.143166000000001</v>
      </c>
      <c r="Y1067">
        <v>50</v>
      </c>
      <c r="Z1067">
        <v>58.672254000000002</v>
      </c>
      <c r="AA1067">
        <v>44.923450000000003</v>
      </c>
      <c r="AB1067">
        <v>29.948967</v>
      </c>
      <c r="AC1067">
        <v>50</v>
      </c>
      <c r="AD1067">
        <v>50.896912</v>
      </c>
      <c r="AE1067">
        <v>33.931274999999999</v>
      </c>
      <c r="AF1067">
        <v>50</v>
      </c>
      <c r="AG1067">
        <v>48.395921000000001</v>
      </c>
      <c r="AH1067">
        <v>65.037135000000006</v>
      </c>
      <c r="AI1067">
        <v>32.263947000000002</v>
      </c>
      <c r="AJ1067">
        <v>50</v>
      </c>
      <c r="AK1067">
        <v>16.579999999999998</v>
      </c>
      <c r="AL1067">
        <v>13.74</v>
      </c>
      <c r="AM1067">
        <v>16.64</v>
      </c>
      <c r="AN1067">
        <v>0.46122099999999999</v>
      </c>
      <c r="AO1067">
        <v>46.122086000000003</v>
      </c>
      <c r="AP1067">
        <v>100</v>
      </c>
      <c r="AQ1067">
        <v>0.39525100000000002</v>
      </c>
      <c r="AR1067">
        <v>39.525103999999999</v>
      </c>
      <c r="AS1067">
        <v>100</v>
      </c>
      <c r="AT1067">
        <v>0.45017699999999999</v>
      </c>
      <c r="AU1067">
        <v>0.52721899999999999</v>
      </c>
      <c r="AV1067">
        <v>45.017681000000003</v>
      </c>
      <c r="AW1067">
        <v>100</v>
      </c>
      <c r="AX1067">
        <v>0.39045000000000002</v>
      </c>
      <c r="AY1067">
        <v>0.42376999999999998</v>
      </c>
      <c r="AZ1067">
        <v>39.044961000000001</v>
      </c>
      <c r="BA1067">
        <v>100</v>
      </c>
      <c r="BB1067">
        <v>0.42451800000000001</v>
      </c>
      <c r="BC1067">
        <v>21.225881999999999</v>
      </c>
      <c r="BD1067">
        <v>50</v>
      </c>
      <c r="BE1067">
        <v>0.39601399999999998</v>
      </c>
      <c r="BF1067">
        <v>19.800698000000001</v>
      </c>
      <c r="BG1067">
        <v>50</v>
      </c>
      <c r="BH1067">
        <v>0</v>
      </c>
      <c r="BI1067">
        <v>0.98619599999999996</v>
      </c>
      <c r="BJ1067">
        <v>0.98594000000000004</v>
      </c>
      <c r="BK1067">
        <v>0.98795200000000005</v>
      </c>
      <c r="BL1067">
        <v>0.98153800000000002</v>
      </c>
      <c r="BM1067">
        <v>0.98060000000000003</v>
      </c>
      <c r="BN1067">
        <v>0.98795200000000005</v>
      </c>
      <c r="BO1067">
        <v>0.99465199999999998</v>
      </c>
      <c r="BP1067">
        <v>0.99367099999999997</v>
      </c>
      <c r="BQ1067">
        <v>1</v>
      </c>
      <c r="BR1067">
        <v>0.23183899999999999</v>
      </c>
      <c r="BS1067">
        <v>13.632148000000001</v>
      </c>
      <c r="BT1067">
        <v>50</v>
      </c>
      <c r="BU1067">
        <v>0.25939200000000001</v>
      </c>
      <c r="BV1067">
        <v>8.1216460000000001</v>
      </c>
      <c r="BW1067">
        <v>50</v>
      </c>
      <c r="BX1067" t="s">
        <v>125</v>
      </c>
      <c r="BY1067" t="s">
        <v>125</v>
      </c>
      <c r="BZ1067" t="s">
        <v>125</v>
      </c>
      <c r="CA1067" t="s">
        <v>125</v>
      </c>
      <c r="CB1067" t="s">
        <v>125</v>
      </c>
      <c r="CC1067" t="s">
        <v>125</v>
      </c>
      <c r="CD1067">
        <v>0.82142899999999996</v>
      </c>
      <c r="CE1067">
        <v>43.693009000000004</v>
      </c>
      <c r="CF1067">
        <v>50</v>
      </c>
      <c r="CG1067" t="s">
        <v>125</v>
      </c>
      <c r="CH1067" t="s">
        <v>125</v>
      </c>
      <c r="CI1067" t="s">
        <v>125</v>
      </c>
      <c r="CJ1067" t="s">
        <v>125</v>
      </c>
      <c r="CK1067" t="s">
        <v>125</v>
      </c>
      <c r="CL1067" t="s">
        <v>125</v>
      </c>
      <c r="CM1067" t="s">
        <v>125</v>
      </c>
      <c r="CN1067" t="s">
        <v>125</v>
      </c>
      <c r="CO1067" t="s">
        <v>125</v>
      </c>
      <c r="CP1067" t="s">
        <v>125</v>
      </c>
      <c r="CQ1067">
        <v>0.44055899999999998</v>
      </c>
      <c r="CR1067">
        <v>0.97945199999999999</v>
      </c>
      <c r="CS1067">
        <v>29.370629000000001</v>
      </c>
      <c r="CT1067">
        <v>50</v>
      </c>
      <c r="CU1067" t="s">
        <v>125</v>
      </c>
      <c r="CV1067" t="s">
        <v>125</v>
      </c>
      <c r="CW1067" t="s">
        <v>125</v>
      </c>
      <c r="CX1067" t="s">
        <v>125</v>
      </c>
      <c r="CY1067" t="s">
        <v>125</v>
      </c>
      <c r="CZ1067" t="s">
        <v>125</v>
      </c>
      <c r="DA1067">
        <v>15.314097</v>
      </c>
      <c r="DB1067">
        <v>17.400950000000002</v>
      </c>
      <c r="DC1067">
        <v>16.332519999999999</v>
      </c>
      <c r="DD1067" t="s">
        <v>125</v>
      </c>
      <c r="DE1067">
        <v>1</v>
      </c>
      <c r="DF1067" t="s">
        <v>385</v>
      </c>
      <c r="DG1067" t="s">
        <v>418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Q1067" t="s">
        <v>126</v>
      </c>
    </row>
    <row r="1068" spans="1:121" x14ac:dyDescent="0.15">
      <c r="A1068">
        <v>2018</v>
      </c>
      <c r="B1068" t="s">
        <v>176</v>
      </c>
      <c r="C1068" t="str">
        <f t="shared" si="50"/>
        <v>1630011</v>
      </c>
      <c r="D1068" t="s">
        <v>1211</v>
      </c>
      <c r="E1068" t="str">
        <f>"1631311"</f>
        <v>1631311</v>
      </c>
      <c r="F1068" t="s">
        <v>328</v>
      </c>
      <c r="G1068">
        <v>9</v>
      </c>
      <c r="H1068">
        <v>12</v>
      </c>
      <c r="J1068" t="s">
        <v>331</v>
      </c>
      <c r="K1068">
        <v>3.3333330000000001</v>
      </c>
      <c r="L1068">
        <v>150</v>
      </c>
      <c r="M1068">
        <v>2.2222219999999999</v>
      </c>
      <c r="N1068">
        <v>3</v>
      </c>
      <c r="O1068" t="s">
        <v>125</v>
      </c>
      <c r="P1068" t="s">
        <v>125</v>
      </c>
      <c r="Q1068" t="s">
        <v>125</v>
      </c>
      <c r="R1068" t="s">
        <v>125</v>
      </c>
      <c r="S1068" t="s">
        <v>125</v>
      </c>
      <c r="T1068" t="s">
        <v>125</v>
      </c>
      <c r="U1068" t="s">
        <v>125</v>
      </c>
      <c r="V1068" t="s">
        <v>125</v>
      </c>
      <c r="W1068" t="s">
        <v>125</v>
      </c>
      <c r="X1068" t="s">
        <v>125</v>
      </c>
      <c r="Y1068" t="s">
        <v>125</v>
      </c>
      <c r="Z1068" t="s">
        <v>125</v>
      </c>
      <c r="AA1068" t="s">
        <v>125</v>
      </c>
      <c r="AB1068" t="s">
        <v>125</v>
      </c>
      <c r="AC1068" t="s">
        <v>125</v>
      </c>
      <c r="AD1068" t="s">
        <v>125</v>
      </c>
      <c r="AE1068" t="s">
        <v>125</v>
      </c>
      <c r="AF1068" t="s">
        <v>125</v>
      </c>
      <c r="AG1068" t="s">
        <v>125</v>
      </c>
      <c r="AH1068" t="s">
        <v>125</v>
      </c>
      <c r="AI1068" t="s">
        <v>125</v>
      </c>
      <c r="AJ1068" t="s">
        <v>125</v>
      </c>
      <c r="AK1068" t="s">
        <v>125</v>
      </c>
      <c r="AL1068" t="s">
        <v>125</v>
      </c>
      <c r="AM1068" t="s">
        <v>125</v>
      </c>
      <c r="AN1068" t="s">
        <v>125</v>
      </c>
      <c r="AO1068" t="s">
        <v>125</v>
      </c>
      <c r="AP1068" t="s">
        <v>125</v>
      </c>
      <c r="AQ1068" t="s">
        <v>125</v>
      </c>
      <c r="AR1068" t="s">
        <v>125</v>
      </c>
      <c r="AS1068" t="s">
        <v>125</v>
      </c>
      <c r="AT1068" t="s">
        <v>125</v>
      </c>
      <c r="AU1068" t="s">
        <v>125</v>
      </c>
      <c r="AV1068" t="s">
        <v>125</v>
      </c>
      <c r="AW1068" t="s">
        <v>125</v>
      </c>
      <c r="AX1068" t="s">
        <v>125</v>
      </c>
      <c r="AY1068" t="s">
        <v>125</v>
      </c>
      <c r="AZ1068" t="s">
        <v>125</v>
      </c>
      <c r="BA1068" t="s">
        <v>125</v>
      </c>
      <c r="BB1068" t="s">
        <v>125</v>
      </c>
      <c r="BC1068" t="s">
        <v>125</v>
      </c>
      <c r="BD1068" t="s">
        <v>125</v>
      </c>
      <c r="BE1068" t="s">
        <v>125</v>
      </c>
      <c r="BF1068" t="s">
        <v>125</v>
      </c>
      <c r="BG1068" t="s">
        <v>125</v>
      </c>
      <c r="BH1068">
        <v>0</v>
      </c>
      <c r="BI1068" t="s">
        <v>125</v>
      </c>
      <c r="BJ1068" t="s">
        <v>125</v>
      </c>
      <c r="BK1068" t="s">
        <v>125</v>
      </c>
      <c r="BL1068" t="s">
        <v>125</v>
      </c>
      <c r="BM1068" t="s">
        <v>125</v>
      </c>
      <c r="BN1068" t="s">
        <v>125</v>
      </c>
      <c r="BO1068" t="s">
        <v>125</v>
      </c>
      <c r="BP1068" t="s">
        <v>125</v>
      </c>
      <c r="BQ1068" t="s">
        <v>125</v>
      </c>
      <c r="BR1068">
        <v>0.88</v>
      </c>
      <c r="BS1068">
        <v>0</v>
      </c>
      <c r="BT1068">
        <v>50</v>
      </c>
      <c r="BU1068">
        <v>0.875</v>
      </c>
      <c r="BV1068">
        <v>0</v>
      </c>
      <c r="BW1068">
        <v>50</v>
      </c>
      <c r="BX1068" t="s">
        <v>125</v>
      </c>
      <c r="BY1068" t="s">
        <v>125</v>
      </c>
      <c r="BZ1068" t="s">
        <v>125</v>
      </c>
      <c r="CA1068" t="s">
        <v>125</v>
      </c>
      <c r="CB1068" t="s">
        <v>125</v>
      </c>
      <c r="CC1068" t="s">
        <v>125</v>
      </c>
      <c r="CD1068" t="s">
        <v>125</v>
      </c>
      <c r="CE1068" t="s">
        <v>125</v>
      </c>
      <c r="CF1068" t="s">
        <v>125</v>
      </c>
      <c r="CG1068" t="s">
        <v>125</v>
      </c>
      <c r="CH1068" t="s">
        <v>125</v>
      </c>
      <c r="CI1068" t="s">
        <v>125</v>
      </c>
      <c r="CJ1068" t="s">
        <v>125</v>
      </c>
      <c r="CK1068" t="s">
        <v>125</v>
      </c>
      <c r="CL1068" t="s">
        <v>125</v>
      </c>
      <c r="CM1068" t="s">
        <v>125</v>
      </c>
      <c r="CN1068" t="s">
        <v>125</v>
      </c>
      <c r="CO1068" t="s">
        <v>125</v>
      </c>
      <c r="CP1068" t="s">
        <v>125</v>
      </c>
      <c r="CQ1068" t="s">
        <v>125</v>
      </c>
      <c r="CR1068" t="s">
        <v>125</v>
      </c>
      <c r="CS1068" t="s">
        <v>125</v>
      </c>
      <c r="CT1068" t="s">
        <v>125</v>
      </c>
      <c r="CU1068">
        <v>0.04</v>
      </c>
      <c r="CV1068">
        <v>3.3333330000000001</v>
      </c>
      <c r="CW1068">
        <v>50</v>
      </c>
      <c r="CX1068" t="s">
        <v>125</v>
      </c>
      <c r="CY1068" t="s">
        <v>125</v>
      </c>
      <c r="CZ1068" t="s">
        <v>125</v>
      </c>
      <c r="DA1068" t="s">
        <v>125</v>
      </c>
      <c r="DB1068" t="s">
        <v>125</v>
      </c>
      <c r="DC1068" t="s">
        <v>125</v>
      </c>
      <c r="DD1068" t="s">
        <v>125</v>
      </c>
      <c r="DE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Q1068" t="s">
        <v>126</v>
      </c>
    </row>
    <row r="1069" spans="1:121" x14ac:dyDescent="0.15">
      <c r="A1069">
        <v>2018</v>
      </c>
      <c r="B1069" t="s">
        <v>139</v>
      </c>
      <c r="C1069" t="str">
        <f t="shared" ref="C1069:C1074" si="51">"1640011"</f>
        <v>1640011</v>
      </c>
      <c r="D1069" t="s">
        <v>1212</v>
      </c>
      <c r="E1069" t="str">
        <f>"1640111"</f>
        <v>1640111</v>
      </c>
      <c r="F1069" t="s">
        <v>328</v>
      </c>
      <c r="G1069">
        <v>3</v>
      </c>
      <c r="H1069">
        <v>5</v>
      </c>
      <c r="I1069" t="s">
        <v>336</v>
      </c>
      <c r="J1069" t="s">
        <v>331</v>
      </c>
      <c r="K1069">
        <v>636.50804800000003</v>
      </c>
      <c r="L1069">
        <v>850</v>
      </c>
      <c r="M1069">
        <v>74.883300000000006</v>
      </c>
      <c r="N1069">
        <v>2</v>
      </c>
      <c r="O1069">
        <v>0</v>
      </c>
      <c r="P1069">
        <v>64.091576000000003</v>
      </c>
      <c r="Q1069">
        <v>42.727718000000003</v>
      </c>
      <c r="R1069">
        <v>50</v>
      </c>
      <c r="S1069">
        <v>58.086343999999997</v>
      </c>
      <c r="T1069">
        <v>71.878022000000001</v>
      </c>
      <c r="U1069">
        <v>38.724229000000001</v>
      </c>
      <c r="V1069">
        <v>50</v>
      </c>
      <c r="W1069">
        <v>62.525621999999998</v>
      </c>
      <c r="X1069">
        <v>41.683748000000001</v>
      </c>
      <c r="Y1069">
        <v>50</v>
      </c>
      <c r="Z1069">
        <v>70.532696000000001</v>
      </c>
      <c r="AA1069">
        <v>56.309603000000003</v>
      </c>
      <c r="AB1069">
        <v>37.539735</v>
      </c>
      <c r="AC1069">
        <v>50</v>
      </c>
      <c r="AD1069">
        <v>63.516128999999999</v>
      </c>
      <c r="AE1069">
        <v>42.344085999999997</v>
      </c>
      <c r="AF1069">
        <v>50</v>
      </c>
      <c r="AG1069">
        <v>57</v>
      </c>
      <c r="AH1069">
        <v>70.683870999999996</v>
      </c>
      <c r="AI1069">
        <v>38</v>
      </c>
      <c r="AJ1069">
        <v>50</v>
      </c>
      <c r="AK1069">
        <v>13.79</v>
      </c>
      <c r="AL1069">
        <v>14.22</v>
      </c>
      <c r="AM1069">
        <v>13.68</v>
      </c>
      <c r="AN1069">
        <v>0.60235899999999998</v>
      </c>
      <c r="AO1069">
        <v>60.235863000000002</v>
      </c>
      <c r="AP1069">
        <v>100</v>
      </c>
      <c r="AQ1069">
        <v>0.750996</v>
      </c>
      <c r="AR1069">
        <v>75.099587</v>
      </c>
      <c r="AS1069">
        <v>100</v>
      </c>
      <c r="AT1069">
        <v>0.609873</v>
      </c>
      <c r="AU1069">
        <v>0.59430700000000003</v>
      </c>
      <c r="AV1069">
        <v>60.987347</v>
      </c>
      <c r="AW1069">
        <v>100</v>
      </c>
      <c r="AX1069">
        <v>0.72059099999999998</v>
      </c>
      <c r="AY1069">
        <v>0.78321099999999999</v>
      </c>
      <c r="AZ1069">
        <v>72.059078999999997</v>
      </c>
      <c r="BA1069">
        <v>100</v>
      </c>
      <c r="BB1069" t="s">
        <v>125</v>
      </c>
      <c r="BC1069" t="s">
        <v>125</v>
      </c>
      <c r="BD1069" t="s">
        <v>125</v>
      </c>
      <c r="BE1069" t="s">
        <v>125</v>
      </c>
      <c r="BF1069" t="s">
        <v>125</v>
      </c>
      <c r="BG1069" t="s">
        <v>125</v>
      </c>
      <c r="BH1069">
        <v>0</v>
      </c>
      <c r="BI1069">
        <v>0.98958299999999999</v>
      </c>
      <c r="BJ1069">
        <v>0.98203600000000002</v>
      </c>
      <c r="BK1069">
        <v>1</v>
      </c>
      <c r="BL1069">
        <v>0.98611099999999996</v>
      </c>
      <c r="BM1069">
        <v>0.97604800000000003</v>
      </c>
      <c r="BN1069">
        <v>1</v>
      </c>
      <c r="BO1069">
        <v>0.978495</v>
      </c>
      <c r="BP1069">
        <v>0.96226400000000001</v>
      </c>
      <c r="BQ1069">
        <v>1</v>
      </c>
      <c r="BR1069">
        <v>5.8824000000000001E-2</v>
      </c>
      <c r="BS1069">
        <v>48.235294000000003</v>
      </c>
      <c r="BT1069">
        <v>50</v>
      </c>
      <c r="BU1069">
        <v>8.4336999999999995E-2</v>
      </c>
      <c r="BV1069">
        <v>43.132530000000003</v>
      </c>
      <c r="BW1069">
        <v>50</v>
      </c>
      <c r="BX1069" t="s">
        <v>125</v>
      </c>
      <c r="BY1069" t="s">
        <v>125</v>
      </c>
      <c r="BZ1069" t="s">
        <v>125</v>
      </c>
      <c r="CA1069" t="s">
        <v>125</v>
      </c>
      <c r="CB1069" t="s">
        <v>125</v>
      </c>
      <c r="CC1069" t="s">
        <v>125</v>
      </c>
      <c r="CD1069" t="s">
        <v>125</v>
      </c>
      <c r="CE1069" t="s">
        <v>125</v>
      </c>
      <c r="CF1069" t="s">
        <v>125</v>
      </c>
      <c r="CG1069" t="s">
        <v>125</v>
      </c>
      <c r="CH1069" t="s">
        <v>125</v>
      </c>
      <c r="CI1069" t="s">
        <v>125</v>
      </c>
      <c r="CJ1069" t="s">
        <v>125</v>
      </c>
      <c r="CK1069" t="s">
        <v>125</v>
      </c>
      <c r="CL1069" t="s">
        <v>125</v>
      </c>
      <c r="CM1069" t="s">
        <v>125</v>
      </c>
      <c r="CN1069" t="s">
        <v>125</v>
      </c>
      <c r="CO1069" t="s">
        <v>125</v>
      </c>
      <c r="CP1069" t="s">
        <v>125</v>
      </c>
      <c r="CQ1069">
        <v>0.53608199999999995</v>
      </c>
      <c r="CR1069">
        <v>1</v>
      </c>
      <c r="CS1069">
        <v>35.738832000000002</v>
      </c>
      <c r="CT1069">
        <v>50</v>
      </c>
      <c r="CU1069" t="s">
        <v>125</v>
      </c>
      <c r="CV1069" t="s">
        <v>125</v>
      </c>
      <c r="CW1069" t="s">
        <v>125</v>
      </c>
      <c r="CX1069" t="s">
        <v>125</v>
      </c>
      <c r="CY1069" t="s">
        <v>125</v>
      </c>
      <c r="CZ1069" t="s">
        <v>125</v>
      </c>
      <c r="DA1069">
        <v>15.314097</v>
      </c>
      <c r="DB1069">
        <v>17.400950000000002</v>
      </c>
      <c r="DC1069">
        <v>16.332519999999999</v>
      </c>
      <c r="DD1069" t="s">
        <v>125</v>
      </c>
      <c r="DE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Q1069" t="s">
        <v>126</v>
      </c>
    </row>
    <row r="1070" spans="1:121" x14ac:dyDescent="0.15">
      <c r="A1070">
        <v>2018</v>
      </c>
      <c r="B1070" t="s">
        <v>139</v>
      </c>
      <c r="C1070" t="str">
        <f t="shared" si="51"/>
        <v>1640011</v>
      </c>
      <c r="D1070" t="s">
        <v>1213</v>
      </c>
      <c r="E1070" t="str">
        <f>"1640811"</f>
        <v>1640811</v>
      </c>
      <c r="F1070" t="s">
        <v>328</v>
      </c>
      <c r="G1070">
        <v>3</v>
      </c>
      <c r="H1070">
        <v>5</v>
      </c>
      <c r="J1070" t="s">
        <v>331</v>
      </c>
      <c r="K1070">
        <v>641.231942</v>
      </c>
      <c r="L1070">
        <v>850</v>
      </c>
      <c r="M1070">
        <v>75.439052000000004</v>
      </c>
      <c r="N1070">
        <v>3</v>
      </c>
      <c r="O1070">
        <v>1</v>
      </c>
      <c r="P1070">
        <v>65.784430999999998</v>
      </c>
      <c r="Q1070">
        <v>43.856287000000002</v>
      </c>
      <c r="R1070">
        <v>50</v>
      </c>
      <c r="S1070">
        <v>56.387945999999999</v>
      </c>
      <c r="T1070">
        <v>74.462059999999994</v>
      </c>
      <c r="U1070">
        <v>37.591963999999997</v>
      </c>
      <c r="V1070">
        <v>50</v>
      </c>
      <c r="W1070">
        <v>64.689718999999997</v>
      </c>
      <c r="X1070">
        <v>43.126480000000001</v>
      </c>
      <c r="Y1070">
        <v>50</v>
      </c>
      <c r="Z1070">
        <v>72.872281000000001</v>
      </c>
      <c r="AA1070">
        <v>55.825277999999997</v>
      </c>
      <c r="AB1070">
        <v>37.216852000000003</v>
      </c>
      <c r="AC1070">
        <v>50</v>
      </c>
      <c r="AD1070">
        <v>63.242066999999999</v>
      </c>
      <c r="AE1070">
        <v>42.161377999999999</v>
      </c>
      <c r="AF1070">
        <v>50</v>
      </c>
      <c r="AG1070">
        <v>54.416620999999999</v>
      </c>
      <c r="AH1070">
        <v>71.378023999999996</v>
      </c>
      <c r="AI1070">
        <v>36.277746999999998</v>
      </c>
      <c r="AJ1070">
        <v>50</v>
      </c>
      <c r="AK1070">
        <v>18.07</v>
      </c>
      <c r="AL1070">
        <v>17.04</v>
      </c>
      <c r="AM1070">
        <v>16.96</v>
      </c>
      <c r="AN1070">
        <v>0.69172100000000003</v>
      </c>
      <c r="AO1070">
        <v>69.172146999999995</v>
      </c>
      <c r="AP1070">
        <v>100</v>
      </c>
      <c r="AQ1070">
        <v>0.79903299999999999</v>
      </c>
      <c r="AR1070">
        <v>79.903318999999996</v>
      </c>
      <c r="AS1070">
        <v>100</v>
      </c>
      <c r="AT1070">
        <v>0.62285299999999999</v>
      </c>
      <c r="AU1070">
        <v>0.74744699999999997</v>
      </c>
      <c r="AV1070">
        <v>62.285277000000001</v>
      </c>
      <c r="AW1070">
        <v>100</v>
      </c>
      <c r="AX1070">
        <v>0.74453800000000003</v>
      </c>
      <c r="AY1070">
        <v>0.84338999999999997</v>
      </c>
      <c r="AZ1070">
        <v>74.453755000000001</v>
      </c>
      <c r="BA1070">
        <v>100</v>
      </c>
      <c r="BB1070" t="s">
        <v>125</v>
      </c>
      <c r="BC1070" t="s">
        <v>125</v>
      </c>
      <c r="BD1070" t="s">
        <v>125</v>
      </c>
      <c r="BE1070" t="s">
        <v>125</v>
      </c>
      <c r="BF1070" t="s">
        <v>125</v>
      </c>
      <c r="BG1070" t="s">
        <v>125</v>
      </c>
      <c r="BH1070">
        <v>0</v>
      </c>
      <c r="BI1070">
        <v>0.98938999999999999</v>
      </c>
      <c r="BJ1070">
        <v>0.97872300000000001</v>
      </c>
      <c r="BK1070">
        <v>1</v>
      </c>
      <c r="BL1070">
        <v>0.98408499999999999</v>
      </c>
      <c r="BM1070">
        <v>0.97340400000000005</v>
      </c>
      <c r="BN1070">
        <v>0.99470899999999995</v>
      </c>
      <c r="BO1070">
        <v>0.99242399999999997</v>
      </c>
      <c r="BP1070">
        <v>0.98484799999999995</v>
      </c>
      <c r="BQ1070">
        <v>1</v>
      </c>
      <c r="BR1070">
        <v>6.6667000000000004E-2</v>
      </c>
      <c r="BS1070">
        <v>46.666666999999997</v>
      </c>
      <c r="BT1070">
        <v>50</v>
      </c>
      <c r="BU1070">
        <v>0.107527</v>
      </c>
      <c r="BV1070">
        <v>38.494624000000002</v>
      </c>
      <c r="BW1070">
        <v>50</v>
      </c>
      <c r="BX1070" t="s">
        <v>125</v>
      </c>
      <c r="BY1070" t="s">
        <v>125</v>
      </c>
      <c r="BZ1070" t="s">
        <v>125</v>
      </c>
      <c r="CA1070" t="s">
        <v>125</v>
      </c>
      <c r="CB1070" t="s">
        <v>125</v>
      </c>
      <c r="CC1070" t="s">
        <v>125</v>
      </c>
      <c r="CD1070" t="s">
        <v>125</v>
      </c>
      <c r="CE1070" t="s">
        <v>125</v>
      </c>
      <c r="CF1070" t="s">
        <v>125</v>
      </c>
      <c r="CG1070" t="s">
        <v>125</v>
      </c>
      <c r="CH1070" t="s">
        <v>125</v>
      </c>
      <c r="CI1070" t="s">
        <v>125</v>
      </c>
      <c r="CJ1070" t="s">
        <v>125</v>
      </c>
      <c r="CK1070" t="s">
        <v>125</v>
      </c>
      <c r="CL1070" t="s">
        <v>125</v>
      </c>
      <c r="CM1070" t="s">
        <v>125</v>
      </c>
      <c r="CN1070" t="s">
        <v>125</v>
      </c>
      <c r="CO1070" t="s">
        <v>125</v>
      </c>
      <c r="CP1070" t="s">
        <v>125</v>
      </c>
      <c r="CQ1070">
        <v>0.450382</v>
      </c>
      <c r="CR1070">
        <v>0.984962</v>
      </c>
      <c r="CS1070">
        <v>30.025445000000001</v>
      </c>
      <c r="CT1070">
        <v>50</v>
      </c>
      <c r="CU1070" t="s">
        <v>125</v>
      </c>
      <c r="CV1070" t="s">
        <v>125</v>
      </c>
      <c r="CW1070" t="s">
        <v>125</v>
      </c>
      <c r="CX1070" t="s">
        <v>125</v>
      </c>
      <c r="CY1070" t="s">
        <v>125</v>
      </c>
      <c r="CZ1070" t="s">
        <v>125</v>
      </c>
      <c r="DA1070">
        <v>15.314097</v>
      </c>
      <c r="DB1070">
        <v>17.400950000000002</v>
      </c>
      <c r="DC1070">
        <v>16.332519999999999</v>
      </c>
      <c r="DD1070" t="s">
        <v>125</v>
      </c>
      <c r="DE1070">
        <v>1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Q1070" t="s">
        <v>126</v>
      </c>
    </row>
    <row r="1071" spans="1:121" x14ac:dyDescent="0.15">
      <c r="A1071">
        <v>2018</v>
      </c>
      <c r="B1071" t="s">
        <v>139</v>
      </c>
      <c r="C1071" t="str">
        <f t="shared" si="51"/>
        <v>1640011</v>
      </c>
      <c r="D1071" t="s">
        <v>1214</v>
      </c>
      <c r="E1071" t="str">
        <f>"1640911"</f>
        <v>1640911</v>
      </c>
      <c r="F1071" t="s">
        <v>328</v>
      </c>
      <c r="G1071" t="s">
        <v>329</v>
      </c>
      <c r="H1071">
        <v>2</v>
      </c>
      <c r="J1071" t="s">
        <v>331</v>
      </c>
      <c r="K1071">
        <v>96.096256999999994</v>
      </c>
      <c r="L1071">
        <v>100</v>
      </c>
      <c r="M1071">
        <v>96.096256999999994</v>
      </c>
      <c r="N1071" t="s">
        <v>125</v>
      </c>
      <c r="O1071" t="s">
        <v>125</v>
      </c>
      <c r="P1071" t="s">
        <v>125</v>
      </c>
      <c r="Q1071" t="s">
        <v>125</v>
      </c>
      <c r="R1071" t="s">
        <v>125</v>
      </c>
      <c r="S1071" t="s">
        <v>125</v>
      </c>
      <c r="T1071" t="s">
        <v>125</v>
      </c>
      <c r="U1071" t="s">
        <v>125</v>
      </c>
      <c r="V1071" t="s">
        <v>125</v>
      </c>
      <c r="W1071" t="s">
        <v>125</v>
      </c>
      <c r="X1071" t="s">
        <v>125</v>
      </c>
      <c r="Y1071" t="s">
        <v>125</v>
      </c>
      <c r="Z1071" t="s">
        <v>125</v>
      </c>
      <c r="AA1071" t="s">
        <v>125</v>
      </c>
      <c r="AB1071" t="s">
        <v>125</v>
      </c>
      <c r="AC1071" t="s">
        <v>125</v>
      </c>
      <c r="AD1071" t="s">
        <v>125</v>
      </c>
      <c r="AE1071" t="s">
        <v>125</v>
      </c>
      <c r="AF1071" t="s">
        <v>125</v>
      </c>
      <c r="AG1071" t="s">
        <v>125</v>
      </c>
      <c r="AH1071" t="s">
        <v>125</v>
      </c>
      <c r="AI1071" t="s">
        <v>125</v>
      </c>
      <c r="AJ1071" t="s">
        <v>125</v>
      </c>
      <c r="AK1071" t="s">
        <v>125</v>
      </c>
      <c r="AL1071" t="s">
        <v>125</v>
      </c>
      <c r="AM1071" t="s">
        <v>125</v>
      </c>
      <c r="AN1071" t="s">
        <v>125</v>
      </c>
      <c r="AO1071" t="s">
        <v>125</v>
      </c>
      <c r="AP1071" t="s">
        <v>125</v>
      </c>
      <c r="AQ1071" t="s">
        <v>125</v>
      </c>
      <c r="AR1071" t="s">
        <v>125</v>
      </c>
      <c r="AS1071" t="s">
        <v>125</v>
      </c>
      <c r="AT1071" t="s">
        <v>125</v>
      </c>
      <c r="AU1071" t="s">
        <v>125</v>
      </c>
      <c r="AV1071" t="s">
        <v>125</v>
      </c>
      <c r="AW1071" t="s">
        <v>125</v>
      </c>
      <c r="AX1071" t="s">
        <v>125</v>
      </c>
      <c r="AY1071" t="s">
        <v>125</v>
      </c>
      <c r="AZ1071" t="s">
        <v>125</v>
      </c>
      <c r="BA1071" t="s">
        <v>125</v>
      </c>
      <c r="BB1071" t="s">
        <v>125</v>
      </c>
      <c r="BC1071" t="s">
        <v>125</v>
      </c>
      <c r="BD1071" t="s">
        <v>125</v>
      </c>
      <c r="BE1071" t="s">
        <v>125</v>
      </c>
      <c r="BF1071" t="s">
        <v>125</v>
      </c>
      <c r="BG1071" t="s">
        <v>125</v>
      </c>
      <c r="BH1071" t="s">
        <v>125</v>
      </c>
      <c r="BI1071" t="s">
        <v>125</v>
      </c>
      <c r="BJ1071" t="s">
        <v>125</v>
      </c>
      <c r="BK1071" t="s">
        <v>125</v>
      </c>
      <c r="BL1071" t="s">
        <v>125</v>
      </c>
      <c r="BM1071" t="s">
        <v>125</v>
      </c>
      <c r="BN1071" t="s">
        <v>125</v>
      </c>
      <c r="BO1071" t="s">
        <v>125</v>
      </c>
      <c r="BP1071" t="s">
        <v>125</v>
      </c>
      <c r="BQ1071" t="s">
        <v>125</v>
      </c>
      <c r="BR1071">
        <v>4.9418999999999998E-2</v>
      </c>
      <c r="BS1071">
        <v>50</v>
      </c>
      <c r="BT1071">
        <v>50</v>
      </c>
      <c r="BU1071">
        <v>6.9518999999999997E-2</v>
      </c>
      <c r="BV1071">
        <v>46.096257000000001</v>
      </c>
      <c r="BW1071">
        <v>50</v>
      </c>
      <c r="BX1071" t="s">
        <v>125</v>
      </c>
      <c r="BY1071" t="s">
        <v>125</v>
      </c>
      <c r="BZ1071" t="s">
        <v>125</v>
      </c>
      <c r="CA1071" t="s">
        <v>125</v>
      </c>
      <c r="CB1071" t="s">
        <v>125</v>
      </c>
      <c r="CC1071" t="s">
        <v>125</v>
      </c>
      <c r="CD1071" t="s">
        <v>125</v>
      </c>
      <c r="CE1071" t="s">
        <v>125</v>
      </c>
      <c r="CF1071" t="s">
        <v>125</v>
      </c>
      <c r="CG1071" t="s">
        <v>125</v>
      </c>
      <c r="CH1071" t="s">
        <v>125</v>
      </c>
      <c r="CI1071" t="s">
        <v>125</v>
      </c>
      <c r="CJ1071" t="s">
        <v>125</v>
      </c>
      <c r="CK1071" t="s">
        <v>125</v>
      </c>
      <c r="CL1071" t="s">
        <v>125</v>
      </c>
      <c r="CM1071" t="s">
        <v>125</v>
      </c>
      <c r="CN1071" t="s">
        <v>125</v>
      </c>
      <c r="CO1071" t="s">
        <v>125</v>
      </c>
      <c r="CP1071" t="s">
        <v>125</v>
      </c>
      <c r="CQ1071" t="s">
        <v>125</v>
      </c>
      <c r="CR1071" t="s">
        <v>125</v>
      </c>
      <c r="CS1071" t="s">
        <v>125</v>
      </c>
      <c r="CT1071" t="s">
        <v>125</v>
      </c>
      <c r="CU1071" t="s">
        <v>125</v>
      </c>
      <c r="CV1071" t="s">
        <v>125</v>
      </c>
      <c r="CW1071" t="s">
        <v>125</v>
      </c>
      <c r="CX1071" t="s">
        <v>125</v>
      </c>
      <c r="CY1071" t="s">
        <v>125</v>
      </c>
      <c r="CZ1071" t="s">
        <v>125</v>
      </c>
      <c r="DA1071" t="s">
        <v>125</v>
      </c>
      <c r="DB1071" t="s">
        <v>125</v>
      </c>
      <c r="DC1071" t="s">
        <v>125</v>
      </c>
      <c r="DD1071" t="s">
        <v>125</v>
      </c>
      <c r="DE1071" t="s">
        <v>125</v>
      </c>
      <c r="DJ1071" t="s">
        <v>125</v>
      </c>
      <c r="DK1071" t="s">
        <v>125</v>
      </c>
      <c r="DL1071" t="s">
        <v>125</v>
      </c>
      <c r="DM1071" t="s">
        <v>125</v>
      </c>
      <c r="DN1071" t="s">
        <v>125</v>
      </c>
      <c r="DO1071" t="s">
        <v>125</v>
      </c>
      <c r="DQ1071" t="s">
        <v>126</v>
      </c>
    </row>
    <row r="1072" spans="1:121" x14ac:dyDescent="0.15">
      <c r="A1072">
        <v>2018</v>
      </c>
      <c r="B1072" t="s">
        <v>139</v>
      </c>
      <c r="C1072" t="str">
        <f t="shared" si="51"/>
        <v>1640011</v>
      </c>
      <c r="D1072" t="s">
        <v>1215</v>
      </c>
      <c r="E1072" t="str">
        <f>"1640511"</f>
        <v>1640511</v>
      </c>
      <c r="F1072" t="s">
        <v>328</v>
      </c>
      <c r="G1072" t="s">
        <v>329</v>
      </c>
      <c r="H1072">
        <v>2</v>
      </c>
      <c r="I1072" t="s">
        <v>336</v>
      </c>
      <c r="J1072" t="s">
        <v>331</v>
      </c>
      <c r="K1072">
        <v>98.965517000000006</v>
      </c>
      <c r="L1072">
        <v>100</v>
      </c>
      <c r="M1072">
        <v>98.965517000000006</v>
      </c>
      <c r="N1072" t="s">
        <v>125</v>
      </c>
      <c r="O1072" t="s">
        <v>125</v>
      </c>
      <c r="P1072" t="s">
        <v>125</v>
      </c>
      <c r="Q1072" t="s">
        <v>125</v>
      </c>
      <c r="R1072" t="s">
        <v>125</v>
      </c>
      <c r="S1072" t="s">
        <v>125</v>
      </c>
      <c r="T1072" t="s">
        <v>125</v>
      </c>
      <c r="U1072" t="s">
        <v>125</v>
      </c>
      <c r="V1072" t="s">
        <v>125</v>
      </c>
      <c r="W1072" t="s">
        <v>125</v>
      </c>
      <c r="X1072" t="s">
        <v>125</v>
      </c>
      <c r="Y1072" t="s">
        <v>125</v>
      </c>
      <c r="Z1072" t="s">
        <v>125</v>
      </c>
      <c r="AA1072" t="s">
        <v>125</v>
      </c>
      <c r="AB1072" t="s">
        <v>125</v>
      </c>
      <c r="AC1072" t="s">
        <v>125</v>
      </c>
      <c r="AD1072" t="s">
        <v>125</v>
      </c>
      <c r="AE1072" t="s">
        <v>125</v>
      </c>
      <c r="AF1072" t="s">
        <v>125</v>
      </c>
      <c r="AG1072" t="s">
        <v>125</v>
      </c>
      <c r="AH1072" t="s">
        <v>125</v>
      </c>
      <c r="AI1072" t="s">
        <v>125</v>
      </c>
      <c r="AJ1072" t="s">
        <v>125</v>
      </c>
      <c r="AK1072" t="s">
        <v>125</v>
      </c>
      <c r="AL1072" t="s">
        <v>125</v>
      </c>
      <c r="AM1072" t="s">
        <v>125</v>
      </c>
      <c r="AN1072" t="s">
        <v>125</v>
      </c>
      <c r="AO1072" t="s">
        <v>125</v>
      </c>
      <c r="AP1072" t="s">
        <v>125</v>
      </c>
      <c r="AQ1072" t="s">
        <v>125</v>
      </c>
      <c r="AR1072" t="s">
        <v>125</v>
      </c>
      <c r="AS1072" t="s">
        <v>125</v>
      </c>
      <c r="AT1072" t="s">
        <v>125</v>
      </c>
      <c r="AU1072" t="s">
        <v>125</v>
      </c>
      <c r="AV1072" t="s">
        <v>125</v>
      </c>
      <c r="AW1072" t="s">
        <v>125</v>
      </c>
      <c r="AX1072" t="s">
        <v>125</v>
      </c>
      <c r="AY1072" t="s">
        <v>125</v>
      </c>
      <c r="AZ1072" t="s">
        <v>125</v>
      </c>
      <c r="BA1072" t="s">
        <v>125</v>
      </c>
      <c r="BB1072" t="s">
        <v>125</v>
      </c>
      <c r="BC1072" t="s">
        <v>125</v>
      </c>
      <c r="BD1072" t="s">
        <v>125</v>
      </c>
      <c r="BE1072" t="s">
        <v>125</v>
      </c>
      <c r="BF1072" t="s">
        <v>125</v>
      </c>
      <c r="BG1072" t="s">
        <v>125</v>
      </c>
      <c r="BH1072" t="s">
        <v>125</v>
      </c>
      <c r="BI1072" t="s">
        <v>125</v>
      </c>
      <c r="BJ1072" t="s">
        <v>125</v>
      </c>
      <c r="BK1072" t="s">
        <v>125</v>
      </c>
      <c r="BL1072" t="s">
        <v>125</v>
      </c>
      <c r="BM1072" t="s">
        <v>125</v>
      </c>
      <c r="BN1072" t="s">
        <v>125</v>
      </c>
      <c r="BO1072" t="s">
        <v>125</v>
      </c>
      <c r="BP1072" t="s">
        <v>125</v>
      </c>
      <c r="BQ1072" t="s">
        <v>125</v>
      </c>
      <c r="BR1072">
        <v>4.5775000000000003E-2</v>
      </c>
      <c r="BS1072">
        <v>50</v>
      </c>
      <c r="BT1072">
        <v>50</v>
      </c>
      <c r="BU1072">
        <v>5.5171999999999999E-2</v>
      </c>
      <c r="BV1072">
        <v>48.965516999999998</v>
      </c>
      <c r="BW1072">
        <v>50</v>
      </c>
      <c r="BX1072" t="s">
        <v>125</v>
      </c>
      <c r="BY1072" t="s">
        <v>125</v>
      </c>
      <c r="BZ1072" t="s">
        <v>125</v>
      </c>
      <c r="CA1072" t="s">
        <v>125</v>
      </c>
      <c r="CB1072" t="s">
        <v>125</v>
      </c>
      <c r="CC1072" t="s">
        <v>125</v>
      </c>
      <c r="CD1072" t="s">
        <v>125</v>
      </c>
      <c r="CE1072" t="s">
        <v>125</v>
      </c>
      <c r="CF1072" t="s">
        <v>125</v>
      </c>
      <c r="CG1072" t="s">
        <v>125</v>
      </c>
      <c r="CH1072" t="s">
        <v>125</v>
      </c>
      <c r="CI1072" t="s">
        <v>125</v>
      </c>
      <c r="CJ1072" t="s">
        <v>125</v>
      </c>
      <c r="CK1072" t="s">
        <v>125</v>
      </c>
      <c r="CL1072" t="s">
        <v>125</v>
      </c>
      <c r="CM1072" t="s">
        <v>125</v>
      </c>
      <c r="CN1072" t="s">
        <v>125</v>
      </c>
      <c r="CO1072" t="s">
        <v>125</v>
      </c>
      <c r="CP1072" t="s">
        <v>125</v>
      </c>
      <c r="CQ1072" t="s">
        <v>125</v>
      </c>
      <c r="CR1072" t="s">
        <v>125</v>
      </c>
      <c r="CS1072" t="s">
        <v>125</v>
      </c>
      <c r="CT1072" t="s">
        <v>125</v>
      </c>
      <c r="CU1072" t="s">
        <v>125</v>
      </c>
      <c r="CV1072" t="s">
        <v>125</v>
      </c>
      <c r="CW1072" t="s">
        <v>125</v>
      </c>
      <c r="CX1072" t="s">
        <v>125</v>
      </c>
      <c r="CY1072" t="s">
        <v>125</v>
      </c>
      <c r="CZ1072" t="s">
        <v>125</v>
      </c>
      <c r="DA1072" t="s">
        <v>125</v>
      </c>
      <c r="DB1072" t="s">
        <v>125</v>
      </c>
      <c r="DC1072" t="s">
        <v>125</v>
      </c>
      <c r="DD1072" t="s">
        <v>125</v>
      </c>
      <c r="DE1072" t="s">
        <v>125</v>
      </c>
      <c r="DJ1072" t="s">
        <v>125</v>
      </c>
      <c r="DK1072" t="s">
        <v>125</v>
      </c>
      <c r="DL1072" t="s">
        <v>125</v>
      </c>
      <c r="DM1072" t="s">
        <v>125</v>
      </c>
      <c r="DN1072" t="s">
        <v>125</v>
      </c>
      <c r="DO1072" t="s">
        <v>125</v>
      </c>
      <c r="DQ1072" t="s">
        <v>126</v>
      </c>
    </row>
    <row r="1073" spans="1:121" x14ac:dyDescent="0.15">
      <c r="A1073">
        <v>2018</v>
      </c>
      <c r="B1073" t="s">
        <v>139</v>
      </c>
      <c r="C1073" t="str">
        <f t="shared" si="51"/>
        <v>1640011</v>
      </c>
      <c r="D1073" t="s">
        <v>1216</v>
      </c>
      <c r="E1073" t="str">
        <f>"1645311"</f>
        <v>1645311</v>
      </c>
      <c r="F1073" t="s">
        <v>328</v>
      </c>
      <c r="G1073">
        <v>6</v>
      </c>
      <c r="H1073">
        <v>8</v>
      </c>
      <c r="J1073" t="s">
        <v>331</v>
      </c>
      <c r="K1073">
        <v>650.04093799999998</v>
      </c>
      <c r="L1073">
        <v>900</v>
      </c>
      <c r="M1073">
        <v>72.226770999999999</v>
      </c>
      <c r="N1073">
        <v>2</v>
      </c>
      <c r="O1073">
        <v>0</v>
      </c>
      <c r="P1073">
        <v>64.390760999999998</v>
      </c>
      <c r="Q1073">
        <v>42.927174000000001</v>
      </c>
      <c r="R1073">
        <v>50</v>
      </c>
      <c r="S1073">
        <v>57.775908000000001</v>
      </c>
      <c r="T1073">
        <v>71.462496000000002</v>
      </c>
      <c r="U1073">
        <v>38.517271999999998</v>
      </c>
      <c r="V1073">
        <v>50</v>
      </c>
      <c r="W1073">
        <v>62.000608</v>
      </c>
      <c r="X1073">
        <v>41.333739000000001</v>
      </c>
      <c r="Y1073">
        <v>50</v>
      </c>
      <c r="Z1073">
        <v>69.571316999999993</v>
      </c>
      <c r="AA1073">
        <v>54.881562000000002</v>
      </c>
      <c r="AB1073">
        <v>36.587707999999999</v>
      </c>
      <c r="AC1073">
        <v>50</v>
      </c>
      <c r="AD1073">
        <v>63.539766999999998</v>
      </c>
      <c r="AE1073">
        <v>42.359844000000002</v>
      </c>
      <c r="AF1073">
        <v>50</v>
      </c>
      <c r="AG1073">
        <v>57.048461000000003</v>
      </c>
      <c r="AH1073">
        <v>69.664626999999996</v>
      </c>
      <c r="AI1073">
        <v>38.032307000000003</v>
      </c>
      <c r="AJ1073">
        <v>50</v>
      </c>
      <c r="AK1073">
        <v>13.68</v>
      </c>
      <c r="AL1073">
        <v>14.68</v>
      </c>
      <c r="AM1073">
        <v>12.61</v>
      </c>
      <c r="AN1073">
        <v>0.58345199999999997</v>
      </c>
      <c r="AO1073">
        <v>58.345247999999998</v>
      </c>
      <c r="AP1073">
        <v>100</v>
      </c>
      <c r="AQ1073">
        <v>0.70073300000000005</v>
      </c>
      <c r="AR1073">
        <v>70.073346000000001</v>
      </c>
      <c r="AS1073">
        <v>100</v>
      </c>
      <c r="AT1073">
        <v>0.57536299999999996</v>
      </c>
      <c r="AU1073">
        <v>0.59122799999999998</v>
      </c>
      <c r="AV1073">
        <v>57.536315000000002</v>
      </c>
      <c r="AW1073">
        <v>100</v>
      </c>
      <c r="AX1073">
        <v>0.66788199999999998</v>
      </c>
      <c r="AY1073">
        <v>0.732101</v>
      </c>
      <c r="AZ1073">
        <v>66.788176000000007</v>
      </c>
      <c r="BA1073">
        <v>100</v>
      </c>
      <c r="BB1073" t="s">
        <v>125</v>
      </c>
      <c r="BC1073" t="s">
        <v>125</v>
      </c>
      <c r="BD1073" t="s">
        <v>125</v>
      </c>
      <c r="BE1073" t="s">
        <v>125</v>
      </c>
      <c r="BF1073" t="s">
        <v>125</v>
      </c>
      <c r="BG1073" t="s">
        <v>125</v>
      </c>
      <c r="BH1073">
        <v>0</v>
      </c>
      <c r="BI1073">
        <v>0.98211800000000005</v>
      </c>
      <c r="BJ1073">
        <v>0.97900299999999996</v>
      </c>
      <c r="BK1073">
        <v>0.98554900000000001</v>
      </c>
      <c r="BL1073">
        <v>0.97382899999999994</v>
      </c>
      <c r="BM1073">
        <v>0.96587900000000004</v>
      </c>
      <c r="BN1073">
        <v>0.98260899999999995</v>
      </c>
      <c r="BO1073">
        <v>0.96899199999999996</v>
      </c>
      <c r="BP1073">
        <v>0.95384599999999997</v>
      </c>
      <c r="BQ1073">
        <v>0.984375</v>
      </c>
      <c r="BR1073">
        <v>0.100275</v>
      </c>
      <c r="BS1073">
        <v>39.945055000000004</v>
      </c>
      <c r="BT1073">
        <v>50</v>
      </c>
      <c r="BU1073">
        <v>0.16489400000000001</v>
      </c>
      <c r="BV1073">
        <v>27.021277000000001</v>
      </c>
      <c r="BW1073">
        <v>50</v>
      </c>
      <c r="BX1073" t="s">
        <v>125</v>
      </c>
      <c r="BY1073" t="s">
        <v>125</v>
      </c>
      <c r="BZ1073" t="s">
        <v>125</v>
      </c>
      <c r="CA1073" t="s">
        <v>125</v>
      </c>
      <c r="CB1073" t="s">
        <v>125</v>
      </c>
      <c r="CC1073" t="s">
        <v>125</v>
      </c>
      <c r="CD1073">
        <v>0.94144099999999997</v>
      </c>
      <c r="CE1073">
        <v>50</v>
      </c>
      <c r="CF1073">
        <v>50</v>
      </c>
      <c r="CG1073" t="s">
        <v>125</v>
      </c>
      <c r="CH1073" t="s">
        <v>125</v>
      </c>
      <c r="CI1073" t="s">
        <v>125</v>
      </c>
      <c r="CJ1073" t="s">
        <v>125</v>
      </c>
      <c r="CK1073" t="s">
        <v>125</v>
      </c>
      <c r="CL1073" t="s">
        <v>125</v>
      </c>
      <c r="CM1073" t="s">
        <v>125</v>
      </c>
      <c r="CN1073" t="s">
        <v>125</v>
      </c>
      <c r="CO1073" t="s">
        <v>125</v>
      </c>
      <c r="CP1073" t="s">
        <v>125</v>
      </c>
      <c r="CQ1073">
        <v>0.60860199999999998</v>
      </c>
      <c r="CR1073">
        <v>0.93186400000000003</v>
      </c>
      <c r="CS1073">
        <v>40.573476999999997</v>
      </c>
      <c r="CT1073">
        <v>50</v>
      </c>
      <c r="CU1073" t="s">
        <v>125</v>
      </c>
      <c r="CV1073" t="s">
        <v>125</v>
      </c>
      <c r="CW1073" t="s">
        <v>125</v>
      </c>
      <c r="CX1073" t="s">
        <v>125</v>
      </c>
      <c r="CY1073" t="s">
        <v>125</v>
      </c>
      <c r="CZ1073" t="s">
        <v>125</v>
      </c>
      <c r="DA1073">
        <v>15.314097</v>
      </c>
      <c r="DB1073">
        <v>17.400950000000002</v>
      </c>
      <c r="DC1073">
        <v>16.332519999999999</v>
      </c>
      <c r="DD1073" t="s">
        <v>125</v>
      </c>
      <c r="DE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Q1073" t="s">
        <v>126</v>
      </c>
    </row>
    <row r="1074" spans="1:121" x14ac:dyDescent="0.15">
      <c r="A1074">
        <v>2018</v>
      </c>
      <c r="B1074" t="s">
        <v>139</v>
      </c>
      <c r="C1074" t="str">
        <f t="shared" si="51"/>
        <v>1640011</v>
      </c>
      <c r="D1074" t="s">
        <v>1217</v>
      </c>
      <c r="E1074" t="str">
        <f>"1646111"</f>
        <v>1646111</v>
      </c>
      <c r="F1074" t="s">
        <v>328</v>
      </c>
      <c r="G1074">
        <v>9</v>
      </c>
      <c r="H1074">
        <v>12</v>
      </c>
      <c r="J1074" t="s">
        <v>331</v>
      </c>
      <c r="K1074">
        <v>1075.6947090000001</v>
      </c>
      <c r="L1074">
        <v>1450</v>
      </c>
      <c r="M1074">
        <v>74.185841999999994</v>
      </c>
      <c r="N1074">
        <v>3</v>
      </c>
      <c r="O1074">
        <v>0</v>
      </c>
      <c r="P1074">
        <v>53.251730000000002</v>
      </c>
      <c r="Q1074">
        <v>106.50346</v>
      </c>
      <c r="R1074">
        <v>150</v>
      </c>
      <c r="S1074">
        <v>48.198791</v>
      </c>
      <c r="T1074">
        <v>59.146825</v>
      </c>
      <c r="U1074">
        <v>96.397581000000002</v>
      </c>
      <c r="V1074">
        <v>150</v>
      </c>
      <c r="W1074">
        <v>49.231380000000001</v>
      </c>
      <c r="X1074">
        <v>98.462759000000005</v>
      </c>
      <c r="Y1074">
        <v>150</v>
      </c>
      <c r="Z1074">
        <v>55.276454999999999</v>
      </c>
      <c r="AA1074">
        <v>44.049886999999998</v>
      </c>
      <c r="AB1074">
        <v>88.099772999999999</v>
      </c>
      <c r="AC1074">
        <v>150</v>
      </c>
      <c r="AD1074">
        <v>60.268351000000003</v>
      </c>
      <c r="AE1074">
        <v>80.357802000000007</v>
      </c>
      <c r="AF1074">
        <v>100</v>
      </c>
      <c r="AG1074">
        <v>53.982734999999998</v>
      </c>
      <c r="AH1074">
        <v>67.692307999999997</v>
      </c>
      <c r="AI1074">
        <v>71.976979999999998</v>
      </c>
      <c r="AJ1074">
        <v>100</v>
      </c>
      <c r="AK1074">
        <v>10.94</v>
      </c>
      <c r="AL1074">
        <v>11.22</v>
      </c>
      <c r="AM1074">
        <v>13.7</v>
      </c>
      <c r="AN1074" t="s">
        <v>125</v>
      </c>
      <c r="AO1074" t="s">
        <v>125</v>
      </c>
      <c r="AP1074" t="s">
        <v>125</v>
      </c>
      <c r="AQ1074" t="s">
        <v>125</v>
      </c>
      <c r="AR1074" t="s">
        <v>125</v>
      </c>
      <c r="AS1074" t="s">
        <v>125</v>
      </c>
      <c r="AT1074" t="s">
        <v>125</v>
      </c>
      <c r="AU1074" t="s">
        <v>125</v>
      </c>
      <c r="AV1074" t="s">
        <v>125</v>
      </c>
      <c r="AW1074" t="s">
        <v>125</v>
      </c>
      <c r="AX1074" t="s">
        <v>125</v>
      </c>
      <c r="AY1074" t="s">
        <v>125</v>
      </c>
      <c r="AZ1074" t="s">
        <v>125</v>
      </c>
      <c r="BA1074" t="s">
        <v>125</v>
      </c>
      <c r="BB1074" t="s">
        <v>125</v>
      </c>
      <c r="BC1074" t="s">
        <v>125</v>
      </c>
      <c r="BD1074" t="s">
        <v>125</v>
      </c>
      <c r="BE1074" t="s">
        <v>125</v>
      </c>
      <c r="BF1074" t="s">
        <v>125</v>
      </c>
      <c r="BG1074" t="s">
        <v>125</v>
      </c>
      <c r="BH1074">
        <v>1</v>
      </c>
      <c r="BI1074">
        <v>0.95890399999999998</v>
      </c>
      <c r="BJ1074">
        <v>0.93209900000000001</v>
      </c>
      <c r="BK1074">
        <v>0.99230799999999997</v>
      </c>
      <c r="BL1074">
        <v>0.95890399999999998</v>
      </c>
      <c r="BM1074">
        <v>0.93209900000000001</v>
      </c>
      <c r="BN1074">
        <v>0.99230799999999997</v>
      </c>
      <c r="BO1074">
        <v>0.96928300000000001</v>
      </c>
      <c r="BP1074">
        <v>0.95061700000000005</v>
      </c>
      <c r="BQ1074">
        <v>0.99236599999999997</v>
      </c>
      <c r="BR1074">
        <v>0.11952599999999999</v>
      </c>
      <c r="BS1074">
        <v>36.094890999999997</v>
      </c>
      <c r="BT1074">
        <v>50</v>
      </c>
      <c r="BU1074">
        <v>0.17877100000000001</v>
      </c>
      <c r="BV1074">
        <v>24.245809999999999</v>
      </c>
      <c r="BW1074">
        <v>50</v>
      </c>
      <c r="BX1074">
        <v>0.75575199999999998</v>
      </c>
      <c r="BY1074">
        <v>50</v>
      </c>
      <c r="BZ1074">
        <v>50</v>
      </c>
      <c r="CA1074">
        <v>0.32389400000000002</v>
      </c>
      <c r="CB1074">
        <v>21.592919999999999</v>
      </c>
      <c r="CC1074">
        <v>50</v>
      </c>
      <c r="CD1074">
        <v>0.89772700000000005</v>
      </c>
      <c r="CE1074">
        <v>47.751451000000003</v>
      </c>
      <c r="CF1074">
        <v>50</v>
      </c>
      <c r="CG1074">
        <v>0.92617400000000005</v>
      </c>
      <c r="CH1074">
        <v>98.529201999999998</v>
      </c>
      <c r="CI1074">
        <v>100</v>
      </c>
      <c r="CJ1074">
        <v>0</v>
      </c>
      <c r="CK1074">
        <v>0.91666700000000001</v>
      </c>
      <c r="CL1074">
        <v>97.51773</v>
      </c>
      <c r="CM1074">
        <v>100</v>
      </c>
      <c r="CN1074">
        <v>0.70774599999999999</v>
      </c>
      <c r="CO1074">
        <v>94.366197</v>
      </c>
      <c r="CP1074">
        <v>100</v>
      </c>
      <c r="CQ1074">
        <v>0.50199199999999999</v>
      </c>
      <c r="CR1074">
        <v>0.88380300000000001</v>
      </c>
      <c r="CS1074">
        <v>16.733067999999999</v>
      </c>
      <c r="CT1074">
        <v>50</v>
      </c>
      <c r="CU1074">
        <v>0.56478099999999998</v>
      </c>
      <c r="CV1074">
        <v>47.065085000000003</v>
      </c>
      <c r="CW1074">
        <v>50</v>
      </c>
      <c r="CX1074">
        <v>0.91666700000000001</v>
      </c>
      <c r="CY1074">
        <v>0.94</v>
      </c>
      <c r="CZ1074">
        <v>2.3333E-2</v>
      </c>
      <c r="DA1074">
        <v>15.314097</v>
      </c>
      <c r="DB1074">
        <v>17.400950000000002</v>
      </c>
      <c r="DC1074">
        <v>16.332519999999999</v>
      </c>
      <c r="DD1074">
        <v>7.9891730000000001</v>
      </c>
      <c r="DE1074">
        <v>1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Q1074" t="s">
        <v>126</v>
      </c>
    </row>
    <row r="1075" spans="1:121" x14ac:dyDescent="0.15">
      <c r="A1075">
        <v>2018</v>
      </c>
      <c r="B1075" t="s">
        <v>194</v>
      </c>
      <c r="C1075" t="str">
        <f>"1650011"</f>
        <v>1650011</v>
      </c>
      <c r="D1075" t="s">
        <v>616</v>
      </c>
      <c r="E1075" t="str">
        <f>"1650111"</f>
        <v>1650111</v>
      </c>
      <c r="F1075" t="s">
        <v>328</v>
      </c>
      <c r="G1075" t="s">
        <v>329</v>
      </c>
      <c r="H1075">
        <v>2</v>
      </c>
      <c r="I1075" t="s">
        <v>336</v>
      </c>
      <c r="J1075" t="s">
        <v>331</v>
      </c>
      <c r="K1075">
        <v>51.297240000000002</v>
      </c>
      <c r="L1075">
        <v>100</v>
      </c>
      <c r="M1075">
        <v>51.297240000000002</v>
      </c>
      <c r="N1075" t="s">
        <v>125</v>
      </c>
      <c r="O1075" t="s">
        <v>125</v>
      </c>
      <c r="P1075" t="s">
        <v>125</v>
      </c>
      <c r="Q1075" t="s">
        <v>125</v>
      </c>
      <c r="R1075" t="s">
        <v>125</v>
      </c>
      <c r="S1075" t="s">
        <v>125</v>
      </c>
      <c r="T1075" t="s">
        <v>125</v>
      </c>
      <c r="U1075" t="s">
        <v>125</v>
      </c>
      <c r="V1075" t="s">
        <v>125</v>
      </c>
      <c r="W1075" t="s">
        <v>125</v>
      </c>
      <c r="X1075" t="s">
        <v>125</v>
      </c>
      <c r="Y1075" t="s">
        <v>125</v>
      </c>
      <c r="Z1075" t="s">
        <v>125</v>
      </c>
      <c r="AA1075" t="s">
        <v>125</v>
      </c>
      <c r="AB1075" t="s">
        <v>125</v>
      </c>
      <c r="AC1075" t="s">
        <v>125</v>
      </c>
      <c r="AD1075" t="s">
        <v>125</v>
      </c>
      <c r="AE1075" t="s">
        <v>125</v>
      </c>
      <c r="AF1075" t="s">
        <v>125</v>
      </c>
      <c r="AG1075" t="s">
        <v>125</v>
      </c>
      <c r="AH1075" t="s">
        <v>125</v>
      </c>
      <c r="AI1075" t="s">
        <v>125</v>
      </c>
      <c r="AJ1075" t="s">
        <v>125</v>
      </c>
      <c r="AK1075" t="s">
        <v>125</v>
      </c>
      <c r="AL1075" t="s">
        <v>125</v>
      </c>
      <c r="AM1075" t="s">
        <v>125</v>
      </c>
      <c r="AN1075" t="s">
        <v>125</v>
      </c>
      <c r="AO1075" t="s">
        <v>125</v>
      </c>
      <c r="AP1075" t="s">
        <v>125</v>
      </c>
      <c r="AQ1075" t="s">
        <v>125</v>
      </c>
      <c r="AR1075" t="s">
        <v>125</v>
      </c>
      <c r="AS1075" t="s">
        <v>125</v>
      </c>
      <c r="AT1075" t="s">
        <v>125</v>
      </c>
      <c r="AU1075" t="s">
        <v>125</v>
      </c>
      <c r="AV1075" t="s">
        <v>125</v>
      </c>
      <c r="AW1075" t="s">
        <v>125</v>
      </c>
      <c r="AX1075" t="s">
        <v>125</v>
      </c>
      <c r="AY1075" t="s">
        <v>125</v>
      </c>
      <c r="AZ1075" t="s">
        <v>125</v>
      </c>
      <c r="BA1075" t="s">
        <v>125</v>
      </c>
      <c r="BB1075" t="s">
        <v>125</v>
      </c>
      <c r="BC1075" t="s">
        <v>125</v>
      </c>
      <c r="BD1075" t="s">
        <v>125</v>
      </c>
      <c r="BE1075" t="s">
        <v>125</v>
      </c>
      <c r="BF1075" t="s">
        <v>125</v>
      </c>
      <c r="BG1075" t="s">
        <v>125</v>
      </c>
      <c r="BH1075" t="s">
        <v>125</v>
      </c>
      <c r="BI1075" t="s">
        <v>125</v>
      </c>
      <c r="BJ1075" t="s">
        <v>125</v>
      </c>
      <c r="BK1075" t="s">
        <v>125</v>
      </c>
      <c r="BL1075" t="s">
        <v>125</v>
      </c>
      <c r="BM1075" t="s">
        <v>125</v>
      </c>
      <c r="BN1075" t="s">
        <v>125</v>
      </c>
      <c r="BO1075" t="s">
        <v>125</v>
      </c>
      <c r="BP1075" t="s">
        <v>125</v>
      </c>
      <c r="BQ1075" t="s">
        <v>125</v>
      </c>
      <c r="BR1075">
        <v>0.145401</v>
      </c>
      <c r="BS1075">
        <v>30.919881</v>
      </c>
      <c r="BT1075">
        <v>50</v>
      </c>
      <c r="BU1075">
        <v>0.19811300000000001</v>
      </c>
      <c r="BV1075">
        <v>20.377358000000001</v>
      </c>
      <c r="BW1075">
        <v>50</v>
      </c>
      <c r="BX1075" t="s">
        <v>125</v>
      </c>
      <c r="BY1075" t="s">
        <v>125</v>
      </c>
      <c r="BZ1075" t="s">
        <v>125</v>
      </c>
      <c r="CA1075" t="s">
        <v>125</v>
      </c>
      <c r="CB1075" t="s">
        <v>125</v>
      </c>
      <c r="CC1075" t="s">
        <v>125</v>
      </c>
      <c r="CD1075" t="s">
        <v>125</v>
      </c>
      <c r="CE1075" t="s">
        <v>125</v>
      </c>
      <c r="CF1075" t="s">
        <v>125</v>
      </c>
      <c r="CG1075" t="s">
        <v>125</v>
      </c>
      <c r="CH1075" t="s">
        <v>125</v>
      </c>
      <c r="CI1075" t="s">
        <v>125</v>
      </c>
      <c r="CJ1075" t="s">
        <v>125</v>
      </c>
      <c r="CK1075" t="s">
        <v>125</v>
      </c>
      <c r="CL1075" t="s">
        <v>125</v>
      </c>
      <c r="CM1075" t="s">
        <v>125</v>
      </c>
      <c r="CN1075" t="s">
        <v>125</v>
      </c>
      <c r="CO1075" t="s">
        <v>125</v>
      </c>
      <c r="CP1075" t="s">
        <v>125</v>
      </c>
      <c r="CQ1075" t="s">
        <v>125</v>
      </c>
      <c r="CR1075" t="s">
        <v>125</v>
      </c>
      <c r="CS1075" t="s">
        <v>125</v>
      </c>
      <c r="CT1075" t="s">
        <v>125</v>
      </c>
      <c r="CU1075" t="s">
        <v>125</v>
      </c>
      <c r="CV1075" t="s">
        <v>125</v>
      </c>
      <c r="CW1075" t="s">
        <v>125</v>
      </c>
      <c r="CX1075" t="s">
        <v>125</v>
      </c>
      <c r="CY1075" t="s">
        <v>125</v>
      </c>
      <c r="CZ1075" t="s">
        <v>125</v>
      </c>
      <c r="DA1075" t="s">
        <v>125</v>
      </c>
      <c r="DB1075" t="s">
        <v>125</v>
      </c>
      <c r="DC1075" t="s">
        <v>125</v>
      </c>
      <c r="DD1075" t="s">
        <v>125</v>
      </c>
      <c r="DE1075" t="s">
        <v>125</v>
      </c>
      <c r="DJ1075" t="s">
        <v>125</v>
      </c>
      <c r="DK1075" t="s">
        <v>125</v>
      </c>
      <c r="DL1075" t="s">
        <v>125</v>
      </c>
      <c r="DM1075" t="s">
        <v>125</v>
      </c>
      <c r="DN1075" t="s">
        <v>125</v>
      </c>
      <c r="DO1075" t="s">
        <v>125</v>
      </c>
      <c r="DQ1075" t="s">
        <v>126</v>
      </c>
    </row>
    <row r="1076" spans="1:121" x14ac:dyDescent="0.15">
      <c r="A1076">
        <v>2018</v>
      </c>
      <c r="B1076" t="s">
        <v>194</v>
      </c>
      <c r="C1076" t="str">
        <f>"1650011"</f>
        <v>1650011</v>
      </c>
      <c r="D1076" t="s">
        <v>1218</v>
      </c>
      <c r="E1076" t="str">
        <f>"1650411"</f>
        <v>1650411</v>
      </c>
      <c r="F1076" t="s">
        <v>328</v>
      </c>
      <c r="G1076">
        <v>3</v>
      </c>
      <c r="H1076">
        <v>5</v>
      </c>
      <c r="J1076" t="s">
        <v>331</v>
      </c>
      <c r="K1076">
        <v>674.92852300000004</v>
      </c>
      <c r="L1076">
        <v>950</v>
      </c>
      <c r="M1076">
        <v>71.045107999999999</v>
      </c>
      <c r="N1076">
        <v>2</v>
      </c>
      <c r="O1076">
        <v>0</v>
      </c>
      <c r="P1076">
        <v>66.954721000000006</v>
      </c>
      <c r="Q1076">
        <v>44.636481000000003</v>
      </c>
      <c r="R1076">
        <v>50</v>
      </c>
      <c r="S1076">
        <v>62.862226</v>
      </c>
      <c r="T1076">
        <v>73.639128999999997</v>
      </c>
      <c r="U1076">
        <v>41.908150999999997</v>
      </c>
      <c r="V1076">
        <v>50</v>
      </c>
      <c r="W1076">
        <v>64.969516999999996</v>
      </c>
      <c r="X1076">
        <v>43.313011000000003</v>
      </c>
      <c r="Y1076">
        <v>50</v>
      </c>
      <c r="Z1076">
        <v>71.385851000000002</v>
      </c>
      <c r="AA1076">
        <v>61.041148999999997</v>
      </c>
      <c r="AB1076">
        <v>40.694099000000001</v>
      </c>
      <c r="AC1076">
        <v>50</v>
      </c>
      <c r="AD1076">
        <v>59.989032000000002</v>
      </c>
      <c r="AE1076">
        <v>39.992688000000001</v>
      </c>
      <c r="AF1076">
        <v>50</v>
      </c>
      <c r="AG1076">
        <v>57.053762999999996</v>
      </c>
      <c r="AH1076">
        <v>65.686907000000005</v>
      </c>
      <c r="AI1076">
        <v>38.035842000000002</v>
      </c>
      <c r="AJ1076">
        <v>50</v>
      </c>
      <c r="AK1076">
        <v>10.77</v>
      </c>
      <c r="AL1076">
        <v>10.34</v>
      </c>
      <c r="AM1076">
        <v>8.6300000000000008</v>
      </c>
      <c r="AN1076">
        <v>0.52493999999999996</v>
      </c>
      <c r="AO1076">
        <v>52.493972999999997</v>
      </c>
      <c r="AP1076">
        <v>100</v>
      </c>
      <c r="AQ1076">
        <v>0.64329899999999995</v>
      </c>
      <c r="AR1076">
        <v>64.329937000000001</v>
      </c>
      <c r="AS1076">
        <v>100</v>
      </c>
      <c r="AT1076">
        <v>0.47500599999999998</v>
      </c>
      <c r="AU1076">
        <v>0.61395200000000005</v>
      </c>
      <c r="AV1076">
        <v>47.500590000000003</v>
      </c>
      <c r="AW1076">
        <v>100</v>
      </c>
      <c r="AX1076">
        <v>0.64988199999999996</v>
      </c>
      <c r="AY1076">
        <v>0.63156599999999996</v>
      </c>
      <c r="AZ1076">
        <v>64.988151000000002</v>
      </c>
      <c r="BA1076">
        <v>100</v>
      </c>
      <c r="BB1076">
        <v>0.76773400000000003</v>
      </c>
      <c r="BC1076">
        <v>38.386687000000002</v>
      </c>
      <c r="BD1076">
        <v>50</v>
      </c>
      <c r="BE1076">
        <v>0.51105699999999998</v>
      </c>
      <c r="BF1076">
        <v>25.552828000000002</v>
      </c>
      <c r="BG1076">
        <v>50</v>
      </c>
      <c r="BH1076">
        <v>0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5.1205000000000001E-2</v>
      </c>
      <c r="BS1076">
        <v>49.759036000000002</v>
      </c>
      <c r="BT1076">
        <v>50</v>
      </c>
      <c r="BU1076">
        <v>6.2801999999999997E-2</v>
      </c>
      <c r="BV1076">
        <v>47.439613999999999</v>
      </c>
      <c r="BW1076">
        <v>50</v>
      </c>
      <c r="BX1076" t="s">
        <v>125</v>
      </c>
      <c r="BY1076" t="s">
        <v>125</v>
      </c>
      <c r="BZ1076" t="s">
        <v>125</v>
      </c>
      <c r="CA1076" t="s">
        <v>125</v>
      </c>
      <c r="CB1076" t="s">
        <v>125</v>
      </c>
      <c r="CC1076" t="s">
        <v>125</v>
      </c>
      <c r="CD1076" t="s">
        <v>125</v>
      </c>
      <c r="CE1076" t="s">
        <v>125</v>
      </c>
      <c r="CF1076" t="s">
        <v>125</v>
      </c>
      <c r="CG1076" t="s">
        <v>125</v>
      </c>
      <c r="CH1076" t="s">
        <v>125</v>
      </c>
      <c r="CI1076" t="s">
        <v>125</v>
      </c>
      <c r="CJ1076" t="s">
        <v>125</v>
      </c>
      <c r="CK1076" t="s">
        <v>125</v>
      </c>
      <c r="CL1076" t="s">
        <v>125</v>
      </c>
      <c r="CM1076" t="s">
        <v>125</v>
      </c>
      <c r="CN1076" t="s">
        <v>125</v>
      </c>
      <c r="CO1076" t="s">
        <v>125</v>
      </c>
      <c r="CP1076" t="s">
        <v>125</v>
      </c>
      <c r="CQ1076">
        <v>0.538462</v>
      </c>
      <c r="CR1076">
        <v>1.029703</v>
      </c>
      <c r="CS1076">
        <v>35.897435999999999</v>
      </c>
      <c r="CT1076">
        <v>50</v>
      </c>
      <c r="CU1076" t="s">
        <v>125</v>
      </c>
      <c r="CV1076" t="s">
        <v>125</v>
      </c>
      <c r="CW1076" t="s">
        <v>125</v>
      </c>
      <c r="CX1076" t="s">
        <v>125</v>
      </c>
      <c r="CY1076" t="s">
        <v>125</v>
      </c>
      <c r="CZ1076" t="s">
        <v>125</v>
      </c>
      <c r="DA1076">
        <v>15.314097</v>
      </c>
      <c r="DB1076">
        <v>17.400950000000002</v>
      </c>
      <c r="DC1076">
        <v>16.332519999999999</v>
      </c>
      <c r="DD1076" t="s">
        <v>125</v>
      </c>
      <c r="DE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Q1076" t="s">
        <v>126</v>
      </c>
    </row>
    <row r="1077" spans="1:121" x14ac:dyDescent="0.15">
      <c r="A1077">
        <v>2018</v>
      </c>
      <c r="B1077" t="s">
        <v>194</v>
      </c>
      <c r="C1077" t="str">
        <f>"1650011"</f>
        <v>1650011</v>
      </c>
      <c r="D1077" t="s">
        <v>1219</v>
      </c>
      <c r="E1077" t="str">
        <f>"1656111"</f>
        <v>1656111</v>
      </c>
      <c r="F1077" t="s">
        <v>328</v>
      </c>
      <c r="G1077">
        <v>9</v>
      </c>
      <c r="H1077">
        <v>12</v>
      </c>
      <c r="J1077" t="s">
        <v>331</v>
      </c>
      <c r="K1077">
        <v>1016.067172</v>
      </c>
      <c r="L1077">
        <v>1450</v>
      </c>
      <c r="M1077">
        <v>70.073598000000004</v>
      </c>
      <c r="N1077">
        <v>3</v>
      </c>
      <c r="O1077">
        <v>1</v>
      </c>
      <c r="P1077">
        <v>51.351666999999999</v>
      </c>
      <c r="Q1077">
        <v>102.703333</v>
      </c>
      <c r="R1077">
        <v>150</v>
      </c>
      <c r="S1077">
        <v>43.647435999999999</v>
      </c>
      <c r="T1077">
        <v>59.697916999999997</v>
      </c>
      <c r="U1077">
        <v>87.294871999999998</v>
      </c>
      <c r="V1077">
        <v>150</v>
      </c>
      <c r="W1077">
        <v>46.933332999999998</v>
      </c>
      <c r="X1077">
        <v>93.866667000000007</v>
      </c>
      <c r="Y1077">
        <v>150</v>
      </c>
      <c r="Z1077">
        <v>55.305556000000003</v>
      </c>
      <c r="AA1077">
        <v>39.205128000000002</v>
      </c>
      <c r="AB1077">
        <v>78.410256000000004</v>
      </c>
      <c r="AC1077">
        <v>150</v>
      </c>
      <c r="AD1077">
        <v>54.238821000000002</v>
      </c>
      <c r="AE1077">
        <v>72.318427</v>
      </c>
      <c r="AF1077">
        <v>100</v>
      </c>
      <c r="AG1077">
        <v>45.678359999999998</v>
      </c>
      <c r="AH1077">
        <v>63.323391000000001</v>
      </c>
      <c r="AI1077">
        <v>60.90448</v>
      </c>
      <c r="AJ1077">
        <v>100</v>
      </c>
      <c r="AK1077">
        <v>16.05</v>
      </c>
      <c r="AL1077">
        <v>16.100000000000001</v>
      </c>
      <c r="AM1077">
        <v>17.64</v>
      </c>
      <c r="AN1077" t="s">
        <v>125</v>
      </c>
      <c r="AO1077" t="s">
        <v>125</v>
      </c>
      <c r="AP1077" t="s">
        <v>125</v>
      </c>
      <c r="AQ1077" t="s">
        <v>125</v>
      </c>
      <c r="AR1077" t="s">
        <v>125</v>
      </c>
      <c r="AS1077" t="s">
        <v>125</v>
      </c>
      <c r="AT1077" t="s">
        <v>125</v>
      </c>
      <c r="AU1077" t="s">
        <v>125</v>
      </c>
      <c r="AV1077" t="s">
        <v>125</v>
      </c>
      <c r="AW1077" t="s">
        <v>125</v>
      </c>
      <c r="AX1077" t="s">
        <v>125</v>
      </c>
      <c r="AY1077" t="s">
        <v>125</v>
      </c>
      <c r="AZ1077" t="s">
        <v>125</v>
      </c>
      <c r="BA1077" t="s">
        <v>125</v>
      </c>
      <c r="BB1077" t="s">
        <v>125</v>
      </c>
      <c r="BC1077" t="s">
        <v>125</v>
      </c>
      <c r="BD1077" t="s">
        <v>125</v>
      </c>
      <c r="BE1077" t="s">
        <v>125</v>
      </c>
      <c r="BF1077" t="s">
        <v>125</v>
      </c>
      <c r="BG1077" t="s">
        <v>125</v>
      </c>
      <c r="BH1077">
        <v>0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0.16750000000000001</v>
      </c>
      <c r="BS1077">
        <v>26.5</v>
      </c>
      <c r="BT1077">
        <v>50</v>
      </c>
      <c r="BU1077">
        <v>0.23148099999999999</v>
      </c>
      <c r="BV1077">
        <v>13.703704</v>
      </c>
      <c r="BW1077">
        <v>50</v>
      </c>
      <c r="BX1077">
        <v>0.87864100000000001</v>
      </c>
      <c r="BY1077">
        <v>50</v>
      </c>
      <c r="BZ1077">
        <v>50</v>
      </c>
      <c r="CA1077">
        <v>0.36893199999999998</v>
      </c>
      <c r="CB1077">
        <v>24.595469000000001</v>
      </c>
      <c r="CC1077">
        <v>50</v>
      </c>
      <c r="CD1077">
        <v>0.85148500000000005</v>
      </c>
      <c r="CE1077">
        <v>45.291763000000003</v>
      </c>
      <c r="CF1077">
        <v>50</v>
      </c>
      <c r="CG1077">
        <v>0.97979799999999995</v>
      </c>
      <c r="CH1077">
        <v>100</v>
      </c>
      <c r="CI1077">
        <v>100</v>
      </c>
      <c r="CJ1077">
        <v>0</v>
      </c>
      <c r="CK1077">
        <v>0.94545500000000005</v>
      </c>
      <c r="CL1077">
        <v>100</v>
      </c>
      <c r="CM1077">
        <v>100</v>
      </c>
      <c r="CN1077">
        <v>0.70833299999999999</v>
      </c>
      <c r="CO1077">
        <v>94.444444000000004</v>
      </c>
      <c r="CP1077">
        <v>100</v>
      </c>
      <c r="CQ1077">
        <v>0.48101300000000002</v>
      </c>
      <c r="CR1077">
        <v>0.84946200000000005</v>
      </c>
      <c r="CS1077">
        <v>16.033754999999999</v>
      </c>
      <c r="CT1077">
        <v>50</v>
      </c>
      <c r="CU1077">
        <v>0.61499999999999999</v>
      </c>
      <c r="CV1077">
        <v>50</v>
      </c>
      <c r="CW1077">
        <v>50</v>
      </c>
      <c r="CX1077">
        <v>0.94545500000000005</v>
      </c>
      <c r="CY1077">
        <v>0.94</v>
      </c>
      <c r="CZ1077">
        <v>-5.4549999999999998E-3</v>
      </c>
      <c r="DA1077">
        <v>15.314097</v>
      </c>
      <c r="DB1077">
        <v>17.400950000000002</v>
      </c>
      <c r="DC1077">
        <v>16.332519999999999</v>
      </c>
      <c r="DD1077">
        <v>7.9891730000000001</v>
      </c>
      <c r="DE1077">
        <v>1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Q1077" t="s">
        <v>126</v>
      </c>
    </row>
    <row r="1078" spans="1:121" x14ac:dyDescent="0.15">
      <c r="A1078">
        <v>2018</v>
      </c>
      <c r="B1078" t="s">
        <v>194</v>
      </c>
      <c r="C1078" t="str">
        <f>"1650011"</f>
        <v>1650011</v>
      </c>
      <c r="D1078" t="s">
        <v>1220</v>
      </c>
      <c r="E1078" t="str">
        <f>"1655111"</f>
        <v>1655111</v>
      </c>
      <c r="F1078" t="s">
        <v>328</v>
      </c>
      <c r="G1078">
        <v>6</v>
      </c>
      <c r="H1078">
        <v>8</v>
      </c>
      <c r="J1078" t="s">
        <v>331</v>
      </c>
      <c r="K1078">
        <v>583.98255400000005</v>
      </c>
      <c r="L1078">
        <v>900</v>
      </c>
      <c r="M1078">
        <v>64.886949999999999</v>
      </c>
      <c r="N1078">
        <v>3</v>
      </c>
      <c r="O1078">
        <v>0</v>
      </c>
      <c r="P1078">
        <v>64.130775999999997</v>
      </c>
      <c r="Q1078">
        <v>42.753850999999997</v>
      </c>
      <c r="R1078">
        <v>50</v>
      </c>
      <c r="S1078">
        <v>57.834138000000003</v>
      </c>
      <c r="T1078">
        <v>72.644540000000006</v>
      </c>
      <c r="U1078">
        <v>38.556092</v>
      </c>
      <c r="V1078">
        <v>50</v>
      </c>
      <c r="W1078">
        <v>58.736823000000001</v>
      </c>
      <c r="X1078">
        <v>39.157882000000001</v>
      </c>
      <c r="Y1078">
        <v>50</v>
      </c>
      <c r="Z1078">
        <v>66.882648000000003</v>
      </c>
      <c r="AA1078">
        <v>52.712307000000003</v>
      </c>
      <c r="AB1078">
        <v>35.141537999999997</v>
      </c>
      <c r="AC1078">
        <v>50</v>
      </c>
      <c r="AD1078">
        <v>59.472037</v>
      </c>
      <c r="AE1078">
        <v>39.648024999999997</v>
      </c>
      <c r="AF1078">
        <v>50</v>
      </c>
      <c r="AG1078">
        <v>53.601647</v>
      </c>
      <c r="AH1078">
        <v>67.035809</v>
      </c>
      <c r="AI1078">
        <v>35.734431000000001</v>
      </c>
      <c r="AJ1078">
        <v>50</v>
      </c>
      <c r="AK1078">
        <v>14.81</v>
      </c>
      <c r="AL1078">
        <v>14.17</v>
      </c>
      <c r="AM1078">
        <v>13.43</v>
      </c>
      <c r="AN1078">
        <v>0.48364200000000002</v>
      </c>
      <c r="AO1078">
        <v>48.364249000000001</v>
      </c>
      <c r="AP1078">
        <v>100</v>
      </c>
      <c r="AQ1078">
        <v>0.54313900000000004</v>
      </c>
      <c r="AR1078">
        <v>54.313940000000002</v>
      </c>
      <c r="AS1078">
        <v>100</v>
      </c>
      <c r="AT1078">
        <v>0.44056499999999998</v>
      </c>
      <c r="AU1078">
        <v>0.53863499999999997</v>
      </c>
      <c r="AV1078">
        <v>44.056480999999998</v>
      </c>
      <c r="AW1078">
        <v>100</v>
      </c>
      <c r="AX1078">
        <v>0.52301500000000001</v>
      </c>
      <c r="AY1078">
        <v>0.56854499999999997</v>
      </c>
      <c r="AZ1078">
        <v>52.301485</v>
      </c>
      <c r="BA1078">
        <v>100</v>
      </c>
      <c r="BB1078" t="s">
        <v>125</v>
      </c>
      <c r="BC1078" t="s">
        <v>125</v>
      </c>
      <c r="BD1078" t="s">
        <v>125</v>
      </c>
      <c r="BE1078" t="s">
        <v>125</v>
      </c>
      <c r="BF1078" t="s">
        <v>125</v>
      </c>
      <c r="BG1078" t="s">
        <v>125</v>
      </c>
      <c r="BH1078">
        <v>0</v>
      </c>
      <c r="BI1078">
        <v>0.98857099999999998</v>
      </c>
      <c r="BJ1078">
        <v>0.98048800000000003</v>
      </c>
      <c r="BK1078">
        <v>1</v>
      </c>
      <c r="BL1078">
        <v>0.98857099999999998</v>
      </c>
      <c r="BM1078">
        <v>0.98048800000000003</v>
      </c>
      <c r="BN1078">
        <v>1</v>
      </c>
      <c r="BO1078">
        <v>0.99187000000000003</v>
      </c>
      <c r="BP1078">
        <v>0.98571399999999998</v>
      </c>
      <c r="BQ1078">
        <v>1</v>
      </c>
      <c r="BR1078">
        <v>7.7143000000000003E-2</v>
      </c>
      <c r="BS1078">
        <v>44.571429000000002</v>
      </c>
      <c r="BT1078">
        <v>50</v>
      </c>
      <c r="BU1078">
        <v>0.10945299999999999</v>
      </c>
      <c r="BV1078">
        <v>38.109453000000002</v>
      </c>
      <c r="BW1078">
        <v>50</v>
      </c>
      <c r="BX1078" t="s">
        <v>125</v>
      </c>
      <c r="BY1078" t="s">
        <v>125</v>
      </c>
      <c r="BZ1078" t="s">
        <v>125</v>
      </c>
      <c r="CA1078" t="s">
        <v>125</v>
      </c>
      <c r="CB1078" t="s">
        <v>125</v>
      </c>
      <c r="CC1078" t="s">
        <v>125</v>
      </c>
      <c r="CD1078">
        <v>0.90098999999999996</v>
      </c>
      <c r="CE1078">
        <v>47.925004999999999</v>
      </c>
      <c r="CF1078">
        <v>50</v>
      </c>
      <c r="CG1078" t="s">
        <v>125</v>
      </c>
      <c r="CH1078" t="s">
        <v>125</v>
      </c>
      <c r="CI1078" t="s">
        <v>125</v>
      </c>
      <c r="CJ1078" t="s">
        <v>125</v>
      </c>
      <c r="CK1078" t="s">
        <v>125</v>
      </c>
      <c r="CL1078" t="s">
        <v>125</v>
      </c>
      <c r="CM1078" t="s">
        <v>125</v>
      </c>
      <c r="CN1078" t="s">
        <v>125</v>
      </c>
      <c r="CO1078" t="s">
        <v>125</v>
      </c>
      <c r="CP1078" t="s">
        <v>125</v>
      </c>
      <c r="CQ1078">
        <v>0.35022999999999999</v>
      </c>
      <c r="CR1078">
        <v>0.95175399999999999</v>
      </c>
      <c r="CS1078">
        <v>23.348693999999998</v>
      </c>
      <c r="CT1078">
        <v>50</v>
      </c>
      <c r="CU1078" t="s">
        <v>125</v>
      </c>
      <c r="CV1078" t="s">
        <v>125</v>
      </c>
      <c r="CW1078" t="s">
        <v>125</v>
      </c>
      <c r="CX1078" t="s">
        <v>125</v>
      </c>
      <c r="CY1078" t="s">
        <v>125</v>
      </c>
      <c r="CZ1078" t="s">
        <v>125</v>
      </c>
      <c r="DA1078">
        <v>15.314097</v>
      </c>
      <c r="DB1078">
        <v>17.400950000000002</v>
      </c>
      <c r="DC1078">
        <v>16.332519999999999</v>
      </c>
      <c r="DD1078" t="s">
        <v>125</v>
      </c>
      <c r="DE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Q1078" t="s">
        <v>126</v>
      </c>
    </row>
    <row r="1079" spans="1:121" x14ac:dyDescent="0.15">
      <c r="A1079">
        <v>2018</v>
      </c>
      <c r="B1079" t="s">
        <v>242</v>
      </c>
      <c r="C1079" t="str">
        <f>"1660011"</f>
        <v>1660011</v>
      </c>
      <c r="D1079" t="s">
        <v>1221</v>
      </c>
      <c r="E1079" t="str">
        <f>"1660611"</f>
        <v>1660611</v>
      </c>
      <c r="F1079" t="s">
        <v>328</v>
      </c>
      <c r="G1079" t="s">
        <v>329</v>
      </c>
      <c r="H1079">
        <v>5</v>
      </c>
      <c r="J1079" t="s">
        <v>331</v>
      </c>
      <c r="K1079">
        <v>627.44576700000005</v>
      </c>
      <c r="L1079">
        <v>800</v>
      </c>
      <c r="M1079">
        <v>78.430721000000005</v>
      </c>
      <c r="N1079">
        <v>2</v>
      </c>
      <c r="O1079">
        <v>0</v>
      </c>
      <c r="P1079">
        <v>76.941851999999997</v>
      </c>
      <c r="Q1079">
        <v>50</v>
      </c>
      <c r="R1079">
        <v>50</v>
      </c>
      <c r="S1079">
        <v>69.092208999999997</v>
      </c>
      <c r="T1079">
        <v>75</v>
      </c>
      <c r="U1079">
        <v>46.061472999999999</v>
      </c>
      <c r="V1079">
        <v>50</v>
      </c>
      <c r="W1079">
        <v>74.331907000000001</v>
      </c>
      <c r="X1079">
        <v>49.554605000000002</v>
      </c>
      <c r="Y1079">
        <v>50</v>
      </c>
      <c r="Z1079">
        <v>75</v>
      </c>
      <c r="AA1079">
        <v>67.143007999999995</v>
      </c>
      <c r="AB1079">
        <v>44.762005000000002</v>
      </c>
      <c r="AC1079">
        <v>50</v>
      </c>
      <c r="AD1079">
        <v>68.917563000000001</v>
      </c>
      <c r="AE1079">
        <v>45.945042000000001</v>
      </c>
      <c r="AF1079">
        <v>50</v>
      </c>
      <c r="AG1079" t="s">
        <v>125</v>
      </c>
      <c r="AH1079">
        <v>71.876129000000006</v>
      </c>
      <c r="AI1079" t="s">
        <v>125</v>
      </c>
      <c r="AJ1079" t="s">
        <v>125</v>
      </c>
      <c r="AK1079">
        <v>5.9</v>
      </c>
      <c r="AL1079">
        <v>7.85</v>
      </c>
      <c r="AM1079" t="s">
        <v>125</v>
      </c>
      <c r="AN1079">
        <v>0.59655000000000002</v>
      </c>
      <c r="AO1079">
        <v>59.654986999999998</v>
      </c>
      <c r="AP1079">
        <v>100</v>
      </c>
      <c r="AQ1079">
        <v>0.728572</v>
      </c>
      <c r="AR1079">
        <v>72.857185999999999</v>
      </c>
      <c r="AS1079">
        <v>100</v>
      </c>
      <c r="AT1079">
        <v>0.499886</v>
      </c>
      <c r="AU1079">
        <v>0.654088</v>
      </c>
      <c r="AV1079">
        <v>49.988647999999998</v>
      </c>
      <c r="AW1079">
        <v>100</v>
      </c>
      <c r="AX1079">
        <v>0.64871800000000002</v>
      </c>
      <c r="AY1079">
        <v>0.77610400000000002</v>
      </c>
      <c r="AZ1079">
        <v>64.871820999999997</v>
      </c>
      <c r="BA1079">
        <v>100</v>
      </c>
      <c r="BB1079" t="s">
        <v>125</v>
      </c>
      <c r="BC1079" t="s">
        <v>125</v>
      </c>
      <c r="BD1079" t="s">
        <v>125</v>
      </c>
      <c r="BE1079" t="s">
        <v>125</v>
      </c>
      <c r="BF1079" t="s">
        <v>125</v>
      </c>
      <c r="BG1079" t="s">
        <v>125</v>
      </c>
      <c r="BH1079">
        <v>0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1</v>
      </c>
      <c r="BP1079" t="s">
        <v>125</v>
      </c>
      <c r="BQ1079">
        <v>1</v>
      </c>
      <c r="BR1079">
        <v>2.6905999999999999E-2</v>
      </c>
      <c r="BS1079">
        <v>50</v>
      </c>
      <c r="BT1079">
        <v>50</v>
      </c>
      <c r="BU1079">
        <v>4.8193E-2</v>
      </c>
      <c r="BV1079">
        <v>50</v>
      </c>
      <c r="BW1079">
        <v>50</v>
      </c>
      <c r="BX1079" t="s">
        <v>125</v>
      </c>
      <c r="BY1079" t="s">
        <v>125</v>
      </c>
      <c r="BZ1079" t="s">
        <v>125</v>
      </c>
      <c r="CA1079" t="s">
        <v>125</v>
      </c>
      <c r="CB1079" t="s">
        <v>125</v>
      </c>
      <c r="CC1079" t="s">
        <v>125</v>
      </c>
      <c r="CD1079" t="s">
        <v>125</v>
      </c>
      <c r="CE1079" t="s">
        <v>125</v>
      </c>
      <c r="CF1079" t="s">
        <v>125</v>
      </c>
      <c r="CG1079" t="s">
        <v>125</v>
      </c>
      <c r="CH1079" t="s">
        <v>125</v>
      </c>
      <c r="CI1079" t="s">
        <v>125</v>
      </c>
      <c r="CJ1079" t="s">
        <v>125</v>
      </c>
      <c r="CK1079" t="s">
        <v>125</v>
      </c>
      <c r="CL1079" t="s">
        <v>125</v>
      </c>
      <c r="CM1079" t="s">
        <v>125</v>
      </c>
      <c r="CN1079" t="s">
        <v>125</v>
      </c>
      <c r="CO1079" t="s">
        <v>125</v>
      </c>
      <c r="CP1079" t="s">
        <v>125</v>
      </c>
      <c r="CQ1079">
        <v>0.65625</v>
      </c>
      <c r="CR1079">
        <v>0.96969700000000003</v>
      </c>
      <c r="CS1079">
        <v>43.75</v>
      </c>
      <c r="CT1079">
        <v>50</v>
      </c>
      <c r="CU1079" t="s">
        <v>125</v>
      </c>
      <c r="CV1079" t="s">
        <v>125</v>
      </c>
      <c r="CW1079" t="s">
        <v>125</v>
      </c>
      <c r="CX1079" t="s">
        <v>125</v>
      </c>
      <c r="CY1079" t="s">
        <v>125</v>
      </c>
      <c r="CZ1079" t="s">
        <v>125</v>
      </c>
      <c r="DA1079">
        <v>15.314097</v>
      </c>
      <c r="DB1079">
        <v>17.400950000000002</v>
      </c>
      <c r="DC1079">
        <v>16.332519999999999</v>
      </c>
      <c r="DD1079" t="s">
        <v>125</v>
      </c>
      <c r="DE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Q1079" t="s">
        <v>126</v>
      </c>
    </row>
    <row r="1080" spans="1:121" x14ac:dyDescent="0.15">
      <c r="A1080">
        <v>2018</v>
      </c>
      <c r="B1080" t="s">
        <v>242</v>
      </c>
      <c r="C1080" t="str">
        <f>"1660011"</f>
        <v>1660011</v>
      </c>
      <c r="D1080" t="s">
        <v>1222</v>
      </c>
      <c r="E1080" t="str">
        <f>"1660211"</f>
        <v>1660211</v>
      </c>
      <c r="F1080" t="s">
        <v>328</v>
      </c>
      <c r="G1080" t="s">
        <v>339</v>
      </c>
      <c r="H1080">
        <v>5</v>
      </c>
      <c r="I1080" t="s">
        <v>330</v>
      </c>
      <c r="J1080" t="s">
        <v>331</v>
      </c>
      <c r="K1080">
        <v>728.99617699999999</v>
      </c>
      <c r="L1080">
        <v>850</v>
      </c>
      <c r="M1080">
        <v>85.764256000000003</v>
      </c>
      <c r="N1080">
        <v>1</v>
      </c>
      <c r="O1080">
        <v>0</v>
      </c>
      <c r="P1080">
        <v>82.931358000000003</v>
      </c>
      <c r="Q1080">
        <v>50</v>
      </c>
      <c r="R1080">
        <v>50</v>
      </c>
      <c r="S1080">
        <v>80.562578999999999</v>
      </c>
      <c r="T1080">
        <v>75</v>
      </c>
      <c r="U1080">
        <v>50</v>
      </c>
      <c r="V1080">
        <v>50</v>
      </c>
      <c r="W1080">
        <v>81.368956999999995</v>
      </c>
      <c r="X1080">
        <v>50</v>
      </c>
      <c r="Y1080">
        <v>50</v>
      </c>
      <c r="Z1080">
        <v>75</v>
      </c>
      <c r="AA1080">
        <v>76.745697000000007</v>
      </c>
      <c r="AB1080">
        <v>50</v>
      </c>
      <c r="AC1080">
        <v>50</v>
      </c>
      <c r="AD1080">
        <v>66.423517000000004</v>
      </c>
      <c r="AE1080">
        <v>44.282344999999999</v>
      </c>
      <c r="AF1080">
        <v>50</v>
      </c>
      <c r="AG1080">
        <v>62</v>
      </c>
      <c r="AH1080">
        <v>68.856452000000004</v>
      </c>
      <c r="AI1080">
        <v>41.333333000000003</v>
      </c>
      <c r="AJ1080">
        <v>50</v>
      </c>
      <c r="AK1080">
        <v>-5.56</v>
      </c>
      <c r="AL1080">
        <v>-1.74</v>
      </c>
      <c r="AM1080">
        <v>6.85</v>
      </c>
      <c r="AN1080">
        <v>0.68398199999999998</v>
      </c>
      <c r="AO1080">
        <v>68.398185999999995</v>
      </c>
      <c r="AP1080">
        <v>100</v>
      </c>
      <c r="AQ1080">
        <v>0.80334499999999998</v>
      </c>
      <c r="AR1080">
        <v>80.334453999999994</v>
      </c>
      <c r="AS1080">
        <v>100</v>
      </c>
      <c r="AT1080">
        <v>0.72450800000000004</v>
      </c>
      <c r="AU1080">
        <v>0.66310500000000006</v>
      </c>
      <c r="AV1080">
        <v>72.450809000000007</v>
      </c>
      <c r="AW1080">
        <v>100</v>
      </c>
      <c r="AX1080">
        <v>0.77752600000000005</v>
      </c>
      <c r="AY1080">
        <v>0.81664499999999995</v>
      </c>
      <c r="AZ1080">
        <v>77.752606</v>
      </c>
      <c r="BA1080">
        <v>100</v>
      </c>
      <c r="BB1080" t="s">
        <v>125</v>
      </c>
      <c r="BC1080" t="s">
        <v>125</v>
      </c>
      <c r="BD1080" t="s">
        <v>125</v>
      </c>
      <c r="BE1080" t="s">
        <v>125</v>
      </c>
      <c r="BF1080" t="s">
        <v>125</v>
      </c>
      <c r="BG1080" t="s">
        <v>125</v>
      </c>
      <c r="BH1080">
        <v>0</v>
      </c>
      <c r="BI1080">
        <v>0.993421</v>
      </c>
      <c r="BJ1080">
        <v>1</v>
      </c>
      <c r="BK1080">
        <v>0.98958299999999999</v>
      </c>
      <c r="BL1080">
        <v>0.993421</v>
      </c>
      <c r="BM1080">
        <v>1</v>
      </c>
      <c r="BN1080">
        <v>0.98958299999999999</v>
      </c>
      <c r="BO1080">
        <v>1</v>
      </c>
      <c r="BP1080">
        <v>1</v>
      </c>
      <c r="BQ1080">
        <v>1</v>
      </c>
      <c r="BR1080">
        <v>2.4389999999999998E-2</v>
      </c>
      <c r="BS1080">
        <v>50</v>
      </c>
      <c r="BT1080">
        <v>50</v>
      </c>
      <c r="BU1080">
        <v>1.8349000000000001E-2</v>
      </c>
      <c r="BV1080">
        <v>50</v>
      </c>
      <c r="BW1080">
        <v>50</v>
      </c>
      <c r="BX1080" t="s">
        <v>125</v>
      </c>
      <c r="BY1080" t="s">
        <v>125</v>
      </c>
      <c r="BZ1080" t="s">
        <v>125</v>
      </c>
      <c r="CA1080" t="s">
        <v>125</v>
      </c>
      <c r="CB1080" t="s">
        <v>125</v>
      </c>
      <c r="CC1080" t="s">
        <v>125</v>
      </c>
      <c r="CD1080" t="s">
        <v>125</v>
      </c>
      <c r="CE1080" t="s">
        <v>125</v>
      </c>
      <c r="CF1080" t="s">
        <v>125</v>
      </c>
      <c r="CG1080" t="s">
        <v>125</v>
      </c>
      <c r="CH1080" t="s">
        <v>125</v>
      </c>
      <c r="CI1080" t="s">
        <v>125</v>
      </c>
      <c r="CJ1080" t="s">
        <v>125</v>
      </c>
      <c r="CK1080" t="s">
        <v>125</v>
      </c>
      <c r="CL1080" t="s">
        <v>125</v>
      </c>
      <c r="CM1080" t="s">
        <v>125</v>
      </c>
      <c r="CN1080" t="s">
        <v>125</v>
      </c>
      <c r="CO1080" t="s">
        <v>125</v>
      </c>
      <c r="CP1080" t="s">
        <v>125</v>
      </c>
      <c r="CQ1080">
        <v>0.66666700000000001</v>
      </c>
      <c r="CR1080">
        <v>1.026316</v>
      </c>
      <c r="CS1080">
        <v>44.444443999999997</v>
      </c>
      <c r="CT1080">
        <v>50</v>
      </c>
      <c r="CU1080" t="s">
        <v>125</v>
      </c>
      <c r="CV1080" t="s">
        <v>125</v>
      </c>
      <c r="CW1080" t="s">
        <v>125</v>
      </c>
      <c r="CX1080" t="s">
        <v>125</v>
      </c>
      <c r="CY1080" t="s">
        <v>125</v>
      </c>
      <c r="CZ1080" t="s">
        <v>125</v>
      </c>
      <c r="DA1080">
        <v>15.314097</v>
      </c>
      <c r="DB1080">
        <v>17.400950000000002</v>
      </c>
      <c r="DC1080">
        <v>16.332519999999999</v>
      </c>
      <c r="DD1080" t="s">
        <v>125</v>
      </c>
      <c r="DE1080">
        <v>0</v>
      </c>
      <c r="DH1080" t="s">
        <v>332</v>
      </c>
      <c r="DI1080" t="s">
        <v>524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0</v>
      </c>
      <c r="DQ1080" t="s">
        <v>126</v>
      </c>
    </row>
    <row r="1081" spans="1:121" x14ac:dyDescent="0.15">
      <c r="A1081">
        <v>2018</v>
      </c>
      <c r="B1081" t="s">
        <v>242</v>
      </c>
      <c r="C1081" t="str">
        <f>"1660011"</f>
        <v>1660011</v>
      </c>
      <c r="D1081" t="s">
        <v>1223</v>
      </c>
      <c r="E1081" t="str">
        <f>"1665111"</f>
        <v>1665111</v>
      </c>
      <c r="F1081" t="s">
        <v>328</v>
      </c>
      <c r="G1081">
        <v>6</v>
      </c>
      <c r="H1081">
        <v>8</v>
      </c>
      <c r="J1081" t="s">
        <v>331</v>
      </c>
      <c r="K1081">
        <v>691.22013700000002</v>
      </c>
      <c r="L1081">
        <v>900</v>
      </c>
      <c r="M1081">
        <v>76.802237000000005</v>
      </c>
      <c r="N1081">
        <v>2</v>
      </c>
      <c r="O1081">
        <v>0</v>
      </c>
      <c r="P1081">
        <v>73.798226999999997</v>
      </c>
      <c r="Q1081">
        <v>49.198818000000003</v>
      </c>
      <c r="R1081">
        <v>50</v>
      </c>
      <c r="S1081">
        <v>66.976102999999995</v>
      </c>
      <c r="T1081">
        <v>75</v>
      </c>
      <c r="U1081">
        <v>44.650734999999997</v>
      </c>
      <c r="V1081">
        <v>50</v>
      </c>
      <c r="W1081">
        <v>69.708810999999997</v>
      </c>
      <c r="X1081">
        <v>46.472540000000002</v>
      </c>
      <c r="Y1081">
        <v>50</v>
      </c>
      <c r="Z1081">
        <v>74.980146000000005</v>
      </c>
      <c r="AA1081">
        <v>62.041414000000003</v>
      </c>
      <c r="AB1081">
        <v>41.360942999999999</v>
      </c>
      <c r="AC1081">
        <v>50</v>
      </c>
      <c r="AD1081">
        <v>69.953937999999994</v>
      </c>
      <c r="AE1081">
        <v>46.635959</v>
      </c>
      <c r="AF1081">
        <v>50</v>
      </c>
      <c r="AG1081">
        <v>63.421151999999999</v>
      </c>
      <c r="AH1081">
        <v>74.344828000000007</v>
      </c>
      <c r="AI1081">
        <v>42.280768000000002</v>
      </c>
      <c r="AJ1081">
        <v>50</v>
      </c>
      <c r="AK1081">
        <v>8.02</v>
      </c>
      <c r="AL1081">
        <v>12.93</v>
      </c>
      <c r="AM1081">
        <v>10.92</v>
      </c>
      <c r="AN1081">
        <v>0.568519</v>
      </c>
      <c r="AO1081">
        <v>56.851948999999998</v>
      </c>
      <c r="AP1081">
        <v>100</v>
      </c>
      <c r="AQ1081">
        <v>0.60205600000000004</v>
      </c>
      <c r="AR1081">
        <v>60.205599999999997</v>
      </c>
      <c r="AS1081">
        <v>100</v>
      </c>
      <c r="AT1081">
        <v>0.54110499999999995</v>
      </c>
      <c r="AU1081">
        <v>0.58589599999999997</v>
      </c>
      <c r="AV1081">
        <v>54.110515999999997</v>
      </c>
      <c r="AW1081">
        <v>100</v>
      </c>
      <c r="AX1081">
        <v>0.543543</v>
      </c>
      <c r="AY1081">
        <v>0.63914400000000005</v>
      </c>
      <c r="AZ1081">
        <v>54.354267999999998</v>
      </c>
      <c r="BA1081">
        <v>100</v>
      </c>
      <c r="BB1081" t="s">
        <v>125</v>
      </c>
      <c r="BC1081" t="s">
        <v>125</v>
      </c>
      <c r="BD1081" t="s">
        <v>125</v>
      </c>
      <c r="BE1081" t="s">
        <v>125</v>
      </c>
      <c r="BF1081" t="s">
        <v>125</v>
      </c>
      <c r="BG1081" t="s">
        <v>125</v>
      </c>
      <c r="BH1081">
        <v>0</v>
      </c>
      <c r="BI1081">
        <v>0.99637699999999996</v>
      </c>
      <c r="BJ1081">
        <v>0.99559500000000001</v>
      </c>
      <c r="BK1081">
        <v>0.996923</v>
      </c>
      <c r="BL1081">
        <v>0.99637699999999996</v>
      </c>
      <c r="BM1081">
        <v>0.99559500000000001</v>
      </c>
      <c r="BN1081">
        <v>0.996923</v>
      </c>
      <c r="BO1081">
        <v>1</v>
      </c>
      <c r="BP1081">
        <v>1</v>
      </c>
      <c r="BQ1081">
        <v>1</v>
      </c>
      <c r="BR1081">
        <v>1.9928000000000001E-2</v>
      </c>
      <c r="BS1081">
        <v>50</v>
      </c>
      <c r="BT1081">
        <v>50</v>
      </c>
      <c r="BU1081">
        <v>3.7559000000000002E-2</v>
      </c>
      <c r="BV1081">
        <v>50</v>
      </c>
      <c r="BW1081">
        <v>50</v>
      </c>
      <c r="BX1081" t="s">
        <v>125</v>
      </c>
      <c r="BY1081" t="s">
        <v>125</v>
      </c>
      <c r="BZ1081" t="s">
        <v>125</v>
      </c>
      <c r="CA1081" t="s">
        <v>125</v>
      </c>
      <c r="CB1081" t="s">
        <v>125</v>
      </c>
      <c r="CC1081" t="s">
        <v>125</v>
      </c>
      <c r="CD1081">
        <v>0.99456500000000003</v>
      </c>
      <c r="CE1081">
        <v>50</v>
      </c>
      <c r="CF1081">
        <v>50</v>
      </c>
      <c r="CG1081" t="s">
        <v>125</v>
      </c>
      <c r="CH1081" t="s">
        <v>125</v>
      </c>
      <c r="CI1081" t="s">
        <v>125</v>
      </c>
      <c r="CJ1081" t="s">
        <v>125</v>
      </c>
      <c r="CK1081" t="s">
        <v>125</v>
      </c>
      <c r="CL1081" t="s">
        <v>125</v>
      </c>
      <c r="CM1081" t="s">
        <v>125</v>
      </c>
      <c r="CN1081" t="s">
        <v>125</v>
      </c>
      <c r="CO1081" t="s">
        <v>125</v>
      </c>
      <c r="CP1081" t="s">
        <v>125</v>
      </c>
      <c r="CQ1081">
        <v>0.67647100000000004</v>
      </c>
      <c r="CR1081">
        <v>0.968912</v>
      </c>
      <c r="CS1081">
        <v>45.098039</v>
      </c>
      <c r="CT1081">
        <v>50</v>
      </c>
      <c r="CU1081" t="s">
        <v>125</v>
      </c>
      <c r="CV1081" t="s">
        <v>125</v>
      </c>
      <c r="CW1081" t="s">
        <v>125</v>
      </c>
      <c r="CX1081" t="s">
        <v>125</v>
      </c>
      <c r="CY1081" t="s">
        <v>125</v>
      </c>
      <c r="CZ1081" t="s">
        <v>125</v>
      </c>
      <c r="DA1081">
        <v>15.314097</v>
      </c>
      <c r="DB1081">
        <v>17.400950000000002</v>
      </c>
      <c r="DC1081">
        <v>16.332519999999999</v>
      </c>
      <c r="DD1081" t="s">
        <v>125</v>
      </c>
      <c r="DE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Q1081" t="s">
        <v>126</v>
      </c>
    </row>
    <row r="1082" spans="1:121" x14ac:dyDescent="0.15">
      <c r="A1082">
        <v>2018</v>
      </c>
      <c r="B1082" t="s">
        <v>242</v>
      </c>
      <c r="C1082" t="str">
        <f>"1660011"</f>
        <v>1660011</v>
      </c>
      <c r="D1082" t="s">
        <v>1224</v>
      </c>
      <c r="E1082" t="str">
        <f>"1660511"</f>
        <v>1660511</v>
      </c>
      <c r="F1082" t="s">
        <v>328</v>
      </c>
      <c r="G1082" t="s">
        <v>339</v>
      </c>
      <c r="H1082">
        <v>5</v>
      </c>
      <c r="I1082" t="s">
        <v>330</v>
      </c>
      <c r="J1082" t="s">
        <v>331</v>
      </c>
      <c r="K1082">
        <v>691.23342100000002</v>
      </c>
      <c r="L1082">
        <v>850</v>
      </c>
      <c r="M1082">
        <v>81.321579</v>
      </c>
      <c r="N1082">
        <v>2</v>
      </c>
      <c r="O1082">
        <v>0</v>
      </c>
      <c r="P1082">
        <v>75.909469999999999</v>
      </c>
      <c r="Q1082">
        <v>50</v>
      </c>
      <c r="R1082">
        <v>50</v>
      </c>
      <c r="S1082">
        <v>71.597137000000004</v>
      </c>
      <c r="T1082">
        <v>75</v>
      </c>
      <c r="U1082">
        <v>47.731425000000002</v>
      </c>
      <c r="V1082">
        <v>50</v>
      </c>
      <c r="W1082">
        <v>75.233787000000007</v>
      </c>
      <c r="X1082">
        <v>50</v>
      </c>
      <c r="Y1082">
        <v>50</v>
      </c>
      <c r="Z1082">
        <v>75</v>
      </c>
      <c r="AA1082">
        <v>70.955297999999999</v>
      </c>
      <c r="AB1082">
        <v>47.303531999999997</v>
      </c>
      <c r="AC1082">
        <v>50</v>
      </c>
      <c r="AD1082">
        <v>67.006479999999996</v>
      </c>
      <c r="AE1082">
        <v>44.670986999999997</v>
      </c>
      <c r="AF1082">
        <v>50</v>
      </c>
      <c r="AG1082">
        <v>59.120199999999997</v>
      </c>
      <c r="AH1082">
        <v>71.738248999999996</v>
      </c>
      <c r="AI1082">
        <v>39.413466</v>
      </c>
      <c r="AJ1082">
        <v>50</v>
      </c>
      <c r="AK1082">
        <v>3.4</v>
      </c>
      <c r="AL1082">
        <v>4.04</v>
      </c>
      <c r="AM1082">
        <v>12.61</v>
      </c>
      <c r="AN1082">
        <v>0.61535799999999996</v>
      </c>
      <c r="AO1082">
        <v>61.535784</v>
      </c>
      <c r="AP1082">
        <v>100</v>
      </c>
      <c r="AQ1082">
        <v>0.76100299999999999</v>
      </c>
      <c r="AR1082">
        <v>76.100324000000001</v>
      </c>
      <c r="AS1082">
        <v>100</v>
      </c>
      <c r="AT1082">
        <v>0.56582299999999996</v>
      </c>
      <c r="AU1082">
        <v>0.63710500000000003</v>
      </c>
      <c r="AV1082">
        <v>56.582335</v>
      </c>
      <c r="AW1082">
        <v>100</v>
      </c>
      <c r="AX1082">
        <v>0.75187199999999998</v>
      </c>
      <c r="AY1082">
        <v>0.76501200000000003</v>
      </c>
      <c r="AZ1082">
        <v>75.187234000000004</v>
      </c>
      <c r="BA1082">
        <v>100</v>
      </c>
      <c r="BB1082" t="s">
        <v>125</v>
      </c>
      <c r="BC1082" t="s">
        <v>125</v>
      </c>
      <c r="BD1082" t="s">
        <v>125</v>
      </c>
      <c r="BE1082" t="s">
        <v>125</v>
      </c>
      <c r="BF1082" t="s">
        <v>125</v>
      </c>
      <c r="BG1082" t="s">
        <v>125</v>
      </c>
      <c r="BH1082">
        <v>0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2.1219999999999999E-2</v>
      </c>
      <c r="BS1082">
        <v>50</v>
      </c>
      <c r="BT1082">
        <v>50</v>
      </c>
      <c r="BU1082">
        <v>3.2895000000000001E-2</v>
      </c>
      <c r="BV1082">
        <v>50</v>
      </c>
      <c r="BW1082">
        <v>50</v>
      </c>
      <c r="BX1082" t="s">
        <v>125</v>
      </c>
      <c r="BY1082" t="s">
        <v>125</v>
      </c>
      <c r="BZ1082" t="s">
        <v>125</v>
      </c>
      <c r="CA1082" t="s">
        <v>125</v>
      </c>
      <c r="CB1082" t="s">
        <v>125</v>
      </c>
      <c r="CC1082" t="s">
        <v>125</v>
      </c>
      <c r="CD1082" t="s">
        <v>125</v>
      </c>
      <c r="CE1082" t="s">
        <v>125</v>
      </c>
      <c r="CF1082" t="s">
        <v>125</v>
      </c>
      <c r="CG1082" t="s">
        <v>125</v>
      </c>
      <c r="CH1082" t="s">
        <v>125</v>
      </c>
      <c r="CI1082" t="s">
        <v>125</v>
      </c>
      <c r="CJ1082" t="s">
        <v>125</v>
      </c>
      <c r="CK1082" t="s">
        <v>125</v>
      </c>
      <c r="CL1082" t="s">
        <v>125</v>
      </c>
      <c r="CM1082" t="s">
        <v>125</v>
      </c>
      <c r="CN1082" t="s">
        <v>125</v>
      </c>
      <c r="CO1082" t="s">
        <v>125</v>
      </c>
      <c r="CP1082" t="s">
        <v>125</v>
      </c>
      <c r="CQ1082">
        <v>0.640625</v>
      </c>
      <c r="CR1082">
        <v>0.94117600000000001</v>
      </c>
      <c r="CS1082">
        <v>42.708333000000003</v>
      </c>
      <c r="CT1082">
        <v>50</v>
      </c>
      <c r="CU1082" t="s">
        <v>125</v>
      </c>
      <c r="CV1082" t="s">
        <v>125</v>
      </c>
      <c r="CW1082" t="s">
        <v>125</v>
      </c>
      <c r="CX1082" t="s">
        <v>125</v>
      </c>
      <c r="CY1082" t="s">
        <v>125</v>
      </c>
      <c r="CZ1082" t="s">
        <v>125</v>
      </c>
      <c r="DA1082">
        <v>15.314097</v>
      </c>
      <c r="DB1082">
        <v>17.400950000000002</v>
      </c>
      <c r="DC1082">
        <v>16.332519999999999</v>
      </c>
      <c r="DD1082" t="s">
        <v>125</v>
      </c>
      <c r="DE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Q1082" t="s">
        <v>126</v>
      </c>
    </row>
    <row r="1083" spans="1:121" x14ac:dyDescent="0.15">
      <c r="A1083">
        <v>2018</v>
      </c>
      <c r="B1083" t="s">
        <v>242</v>
      </c>
      <c r="C1083" t="str">
        <f>"1660011"</f>
        <v>1660011</v>
      </c>
      <c r="D1083" t="s">
        <v>1225</v>
      </c>
      <c r="E1083" t="str">
        <f>"1666111"</f>
        <v>1666111</v>
      </c>
      <c r="F1083" t="s">
        <v>328</v>
      </c>
      <c r="G1083">
        <v>9</v>
      </c>
      <c r="H1083">
        <v>12</v>
      </c>
      <c r="J1083" t="s">
        <v>331</v>
      </c>
      <c r="K1083">
        <v>1163.4674660000001</v>
      </c>
      <c r="L1083">
        <v>1450</v>
      </c>
      <c r="M1083">
        <v>80.239136000000002</v>
      </c>
      <c r="N1083">
        <v>2</v>
      </c>
      <c r="O1083">
        <v>0</v>
      </c>
      <c r="P1083">
        <v>60.176110999999999</v>
      </c>
      <c r="Q1083">
        <v>120.352222</v>
      </c>
      <c r="R1083">
        <v>150</v>
      </c>
      <c r="S1083">
        <v>53.417659</v>
      </c>
      <c r="T1083">
        <v>62.804397999999999</v>
      </c>
      <c r="U1083">
        <v>106.835317</v>
      </c>
      <c r="V1083">
        <v>150</v>
      </c>
      <c r="W1083">
        <v>59.216667000000001</v>
      </c>
      <c r="X1083">
        <v>118.433333</v>
      </c>
      <c r="Y1083">
        <v>150</v>
      </c>
      <c r="Z1083">
        <v>61.964120000000001</v>
      </c>
      <c r="AA1083">
        <v>52.151786000000001</v>
      </c>
      <c r="AB1083">
        <v>104.30357100000001</v>
      </c>
      <c r="AC1083">
        <v>150</v>
      </c>
      <c r="AD1083">
        <v>58.538145999999998</v>
      </c>
      <c r="AE1083">
        <v>78.050860999999998</v>
      </c>
      <c r="AF1083">
        <v>100</v>
      </c>
      <c r="AG1083">
        <v>52.741239</v>
      </c>
      <c r="AH1083">
        <v>60.970413999999998</v>
      </c>
      <c r="AI1083">
        <v>70.321652</v>
      </c>
      <c r="AJ1083">
        <v>100</v>
      </c>
      <c r="AK1083">
        <v>9.3800000000000008</v>
      </c>
      <c r="AL1083">
        <v>9.81</v>
      </c>
      <c r="AM1083">
        <v>8.2200000000000006</v>
      </c>
      <c r="AN1083" t="s">
        <v>125</v>
      </c>
      <c r="AO1083" t="s">
        <v>125</v>
      </c>
      <c r="AP1083" t="s">
        <v>125</v>
      </c>
      <c r="AQ1083" t="s">
        <v>125</v>
      </c>
      <c r="AR1083" t="s">
        <v>125</v>
      </c>
      <c r="AS1083" t="s">
        <v>125</v>
      </c>
      <c r="AT1083" t="s">
        <v>125</v>
      </c>
      <c r="AU1083" t="s">
        <v>125</v>
      </c>
      <c r="AV1083" t="s">
        <v>125</v>
      </c>
      <c r="AW1083" t="s">
        <v>125</v>
      </c>
      <c r="AX1083" t="s">
        <v>125</v>
      </c>
      <c r="AY1083" t="s">
        <v>125</v>
      </c>
      <c r="AZ1083" t="s">
        <v>125</v>
      </c>
      <c r="BA1083" t="s">
        <v>125</v>
      </c>
      <c r="BB1083" t="s">
        <v>125</v>
      </c>
      <c r="BC1083" t="s">
        <v>125</v>
      </c>
      <c r="BD1083" t="s">
        <v>125</v>
      </c>
      <c r="BE1083" t="s">
        <v>125</v>
      </c>
      <c r="BF1083" t="s">
        <v>125</v>
      </c>
      <c r="BG1083" t="s">
        <v>125</v>
      </c>
      <c r="BH1083">
        <v>0</v>
      </c>
      <c r="BI1083">
        <v>0.99014800000000003</v>
      </c>
      <c r="BJ1083">
        <v>0.96551699999999996</v>
      </c>
      <c r="BK1083">
        <v>1</v>
      </c>
      <c r="BL1083">
        <v>0.99014800000000003</v>
      </c>
      <c r="BM1083">
        <v>0.96551699999999996</v>
      </c>
      <c r="BN1083">
        <v>1</v>
      </c>
      <c r="BO1083">
        <v>0.99512199999999995</v>
      </c>
      <c r="BP1083">
        <v>1</v>
      </c>
      <c r="BQ1083">
        <v>0.99310299999999996</v>
      </c>
      <c r="BR1083">
        <v>7.8062000000000006E-2</v>
      </c>
      <c r="BS1083">
        <v>44.387618000000003</v>
      </c>
      <c r="BT1083">
        <v>50</v>
      </c>
      <c r="BU1083">
        <v>0.12775300000000001</v>
      </c>
      <c r="BV1083">
        <v>34.449339000000002</v>
      </c>
      <c r="BW1083">
        <v>50</v>
      </c>
      <c r="BX1083">
        <v>0.72330099999999997</v>
      </c>
      <c r="BY1083">
        <v>48.220064999999998</v>
      </c>
      <c r="BZ1083">
        <v>50</v>
      </c>
      <c r="CA1083">
        <v>0.50970899999999997</v>
      </c>
      <c r="CB1083">
        <v>33.980583000000003</v>
      </c>
      <c r="CC1083">
        <v>50</v>
      </c>
      <c r="CD1083">
        <v>0.99378900000000003</v>
      </c>
      <c r="CE1083">
        <v>50</v>
      </c>
      <c r="CF1083">
        <v>50</v>
      </c>
      <c r="CG1083">
        <v>0.96703300000000003</v>
      </c>
      <c r="CH1083">
        <v>100</v>
      </c>
      <c r="CI1083">
        <v>100</v>
      </c>
      <c r="CJ1083">
        <v>0</v>
      </c>
      <c r="CK1083">
        <v>0.92500000000000004</v>
      </c>
      <c r="CL1083">
        <v>98.404255000000006</v>
      </c>
      <c r="CM1083">
        <v>100</v>
      </c>
      <c r="CN1083">
        <v>0.74157300000000004</v>
      </c>
      <c r="CO1083">
        <v>98.876403999999994</v>
      </c>
      <c r="CP1083">
        <v>100</v>
      </c>
      <c r="CQ1083">
        <v>0.54491000000000001</v>
      </c>
      <c r="CR1083">
        <v>0.98235300000000003</v>
      </c>
      <c r="CS1083">
        <v>36.327345000000001</v>
      </c>
      <c r="CT1083">
        <v>50</v>
      </c>
      <c r="CU1083">
        <v>0.24629899999999999</v>
      </c>
      <c r="CV1083">
        <v>20.524899000000001</v>
      </c>
      <c r="CW1083">
        <v>50</v>
      </c>
      <c r="CX1083">
        <v>0.92500000000000004</v>
      </c>
      <c r="CY1083">
        <v>0.94</v>
      </c>
      <c r="CZ1083">
        <v>1.4999999999999999E-2</v>
      </c>
      <c r="DA1083">
        <v>15.314097</v>
      </c>
      <c r="DB1083">
        <v>17.400950000000002</v>
      </c>
      <c r="DC1083">
        <v>16.332519999999999</v>
      </c>
      <c r="DD1083">
        <v>7.9891730000000001</v>
      </c>
      <c r="DE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Q1083" t="s">
        <v>126</v>
      </c>
    </row>
    <row r="1084" spans="1:121" x14ac:dyDescent="0.15">
      <c r="A1084">
        <v>2018</v>
      </c>
      <c r="B1084" t="s">
        <v>213</v>
      </c>
      <c r="C1084" t="str">
        <f>"1670011"</f>
        <v>1670011</v>
      </c>
      <c r="D1084" t="s">
        <v>1226</v>
      </c>
      <c r="E1084" t="str">
        <f>"1670311"</f>
        <v>1670311</v>
      </c>
      <c r="F1084" t="s">
        <v>328</v>
      </c>
      <c r="G1084" t="s">
        <v>329</v>
      </c>
      <c r="H1084">
        <v>6</v>
      </c>
      <c r="I1084" t="s">
        <v>330</v>
      </c>
      <c r="J1084" t="s">
        <v>331</v>
      </c>
      <c r="K1084">
        <v>725.30692499999998</v>
      </c>
      <c r="L1084">
        <v>850</v>
      </c>
      <c r="M1084">
        <v>85.330225999999996</v>
      </c>
      <c r="N1084">
        <v>2</v>
      </c>
      <c r="O1084">
        <v>0</v>
      </c>
      <c r="P1084">
        <v>83.604688999999993</v>
      </c>
      <c r="Q1084">
        <v>50</v>
      </c>
      <c r="R1084">
        <v>50</v>
      </c>
      <c r="S1084">
        <v>67.196447000000006</v>
      </c>
      <c r="T1084">
        <v>75</v>
      </c>
      <c r="U1084">
        <v>44.797631000000003</v>
      </c>
      <c r="V1084">
        <v>50</v>
      </c>
      <c r="W1084">
        <v>78.995857999999998</v>
      </c>
      <c r="X1084">
        <v>50</v>
      </c>
      <c r="Y1084">
        <v>50</v>
      </c>
      <c r="Z1084">
        <v>75</v>
      </c>
      <c r="AA1084">
        <v>61.942855000000002</v>
      </c>
      <c r="AB1084">
        <v>41.295237</v>
      </c>
      <c r="AC1084">
        <v>50</v>
      </c>
      <c r="AD1084">
        <v>85.399698000000001</v>
      </c>
      <c r="AE1084">
        <v>50</v>
      </c>
      <c r="AF1084">
        <v>50</v>
      </c>
      <c r="AG1084">
        <v>65.658303000000004</v>
      </c>
      <c r="AH1084">
        <v>75</v>
      </c>
      <c r="AI1084">
        <v>43.772202</v>
      </c>
      <c r="AJ1084">
        <v>50</v>
      </c>
      <c r="AK1084">
        <v>7.8</v>
      </c>
      <c r="AL1084">
        <v>13.05</v>
      </c>
      <c r="AM1084">
        <v>9.34</v>
      </c>
      <c r="AN1084">
        <v>0.78801600000000005</v>
      </c>
      <c r="AO1084">
        <v>78.801578000000006</v>
      </c>
      <c r="AP1084">
        <v>100</v>
      </c>
      <c r="AQ1084">
        <v>0.86003300000000005</v>
      </c>
      <c r="AR1084">
        <v>86.003305999999995</v>
      </c>
      <c r="AS1084">
        <v>100</v>
      </c>
      <c r="AT1084">
        <v>0.65599799999999997</v>
      </c>
      <c r="AU1084">
        <v>0.82315400000000005</v>
      </c>
      <c r="AV1084">
        <v>65.599815000000007</v>
      </c>
      <c r="AW1084">
        <v>100</v>
      </c>
      <c r="AX1084">
        <v>0.73751</v>
      </c>
      <c r="AY1084">
        <v>0.89314700000000002</v>
      </c>
      <c r="AZ1084">
        <v>73.751013</v>
      </c>
      <c r="BA1084">
        <v>100</v>
      </c>
      <c r="BB1084" t="s">
        <v>125</v>
      </c>
      <c r="BC1084" t="s">
        <v>125</v>
      </c>
      <c r="BD1084" t="s">
        <v>125</v>
      </c>
      <c r="BE1084" t="s">
        <v>125</v>
      </c>
      <c r="BF1084" t="s">
        <v>125</v>
      </c>
      <c r="BG1084" t="s">
        <v>125</v>
      </c>
      <c r="BH1084">
        <v>1</v>
      </c>
      <c r="BI1084">
        <v>0.95714299999999997</v>
      </c>
      <c r="BJ1084">
        <v>0.91964299999999999</v>
      </c>
      <c r="BK1084">
        <v>0.96825399999999995</v>
      </c>
      <c r="BL1084">
        <v>0.94898000000000005</v>
      </c>
      <c r="BM1084">
        <v>0.91964299999999999</v>
      </c>
      <c r="BN1084">
        <v>0.95767199999999997</v>
      </c>
      <c r="BO1084">
        <v>0.97036999999999995</v>
      </c>
      <c r="BP1084">
        <v>0.90322599999999997</v>
      </c>
      <c r="BQ1084">
        <v>0.99038499999999996</v>
      </c>
      <c r="BR1084">
        <v>5.8824000000000001E-2</v>
      </c>
      <c r="BS1084">
        <v>48.235294000000003</v>
      </c>
      <c r="BT1084">
        <v>50</v>
      </c>
      <c r="BU1084">
        <v>8.4746000000000002E-2</v>
      </c>
      <c r="BV1084">
        <v>43.050846999999997</v>
      </c>
      <c r="BW1084">
        <v>50</v>
      </c>
      <c r="BX1084" t="s">
        <v>125</v>
      </c>
      <c r="BY1084" t="s">
        <v>125</v>
      </c>
      <c r="BZ1084" t="s">
        <v>125</v>
      </c>
      <c r="CA1084" t="s">
        <v>125</v>
      </c>
      <c r="CB1084" t="s">
        <v>125</v>
      </c>
      <c r="CC1084" t="s">
        <v>125</v>
      </c>
      <c r="CD1084" t="s">
        <v>125</v>
      </c>
      <c r="CE1084" t="s">
        <v>125</v>
      </c>
      <c r="CF1084" t="s">
        <v>125</v>
      </c>
      <c r="CG1084" t="s">
        <v>125</v>
      </c>
      <c r="CH1084" t="s">
        <v>125</v>
      </c>
      <c r="CI1084" t="s">
        <v>125</v>
      </c>
      <c r="CJ1084" t="s">
        <v>125</v>
      </c>
      <c r="CK1084" t="s">
        <v>125</v>
      </c>
      <c r="CL1084" t="s">
        <v>125</v>
      </c>
      <c r="CM1084" t="s">
        <v>125</v>
      </c>
      <c r="CN1084" t="s">
        <v>125</v>
      </c>
      <c r="CO1084" t="s">
        <v>125</v>
      </c>
      <c r="CP1084" t="s">
        <v>125</v>
      </c>
      <c r="CQ1084">
        <v>0.84482800000000002</v>
      </c>
      <c r="CR1084">
        <v>1.008696</v>
      </c>
      <c r="CS1084">
        <v>50</v>
      </c>
      <c r="CT1084">
        <v>50</v>
      </c>
      <c r="CU1084" t="s">
        <v>125</v>
      </c>
      <c r="CV1084" t="s">
        <v>125</v>
      </c>
      <c r="CW1084" t="s">
        <v>125</v>
      </c>
      <c r="CX1084" t="s">
        <v>125</v>
      </c>
      <c r="CY1084" t="s">
        <v>125</v>
      </c>
      <c r="CZ1084" t="s">
        <v>125</v>
      </c>
      <c r="DA1084">
        <v>15.314097</v>
      </c>
      <c r="DB1084">
        <v>17.400950000000002</v>
      </c>
      <c r="DC1084">
        <v>16.332519999999999</v>
      </c>
      <c r="DD1084" t="s">
        <v>125</v>
      </c>
      <c r="DE1084">
        <v>1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Q1084" t="s">
        <v>126</v>
      </c>
    </row>
    <row r="1085" spans="1:121" x14ac:dyDescent="0.15">
      <c r="A1085">
        <v>2018</v>
      </c>
      <c r="B1085" t="s">
        <v>214</v>
      </c>
      <c r="C1085" t="str">
        <f>"1690011"</f>
        <v>1690011</v>
      </c>
      <c r="D1085" t="s">
        <v>1227</v>
      </c>
      <c r="E1085" t="str">
        <f>"1690211"</f>
        <v>1690211</v>
      </c>
      <c r="F1085" t="s">
        <v>328</v>
      </c>
      <c r="G1085" t="s">
        <v>329</v>
      </c>
      <c r="H1085">
        <v>4</v>
      </c>
      <c r="I1085" t="s">
        <v>330</v>
      </c>
      <c r="J1085" t="s">
        <v>331</v>
      </c>
      <c r="K1085">
        <v>500.24980799999997</v>
      </c>
      <c r="L1085">
        <v>750</v>
      </c>
      <c r="M1085">
        <v>66.699973999999997</v>
      </c>
      <c r="N1085">
        <v>3</v>
      </c>
      <c r="O1085">
        <v>0</v>
      </c>
      <c r="P1085">
        <v>72.727382000000006</v>
      </c>
      <c r="Q1085">
        <v>48.484921</v>
      </c>
      <c r="R1085">
        <v>50</v>
      </c>
      <c r="S1085">
        <v>64.919672000000006</v>
      </c>
      <c r="T1085">
        <v>75</v>
      </c>
      <c r="U1085">
        <v>43.279781</v>
      </c>
      <c r="V1085">
        <v>50</v>
      </c>
      <c r="W1085">
        <v>64.176023000000001</v>
      </c>
      <c r="X1085">
        <v>42.784014999999997</v>
      </c>
      <c r="Y1085">
        <v>50</v>
      </c>
      <c r="Z1085">
        <v>68.114617999999993</v>
      </c>
      <c r="AA1085">
        <v>55.253898999999997</v>
      </c>
      <c r="AB1085">
        <v>36.835932</v>
      </c>
      <c r="AC1085">
        <v>50</v>
      </c>
      <c r="AD1085" t="s">
        <v>125</v>
      </c>
      <c r="AE1085" t="s">
        <v>125</v>
      </c>
      <c r="AF1085" t="s">
        <v>125</v>
      </c>
      <c r="AG1085" t="s">
        <v>125</v>
      </c>
      <c r="AH1085" t="s">
        <v>125</v>
      </c>
      <c r="AI1085" t="s">
        <v>125</v>
      </c>
      <c r="AJ1085" t="s">
        <v>125</v>
      </c>
      <c r="AK1085">
        <v>10.08</v>
      </c>
      <c r="AL1085">
        <v>12.86</v>
      </c>
      <c r="AM1085" t="s">
        <v>125</v>
      </c>
      <c r="AN1085">
        <v>0.55434600000000001</v>
      </c>
      <c r="AO1085">
        <v>55.434564000000002</v>
      </c>
      <c r="AP1085">
        <v>100</v>
      </c>
      <c r="AQ1085">
        <v>0.59576200000000001</v>
      </c>
      <c r="AR1085">
        <v>59.576183</v>
      </c>
      <c r="AS1085">
        <v>100</v>
      </c>
      <c r="AT1085">
        <v>0.54331200000000002</v>
      </c>
      <c r="AU1085">
        <v>0.56062000000000001</v>
      </c>
      <c r="AV1085">
        <v>54.331215999999998</v>
      </c>
      <c r="AW1085">
        <v>100</v>
      </c>
      <c r="AX1085">
        <v>0.47164699999999998</v>
      </c>
      <c r="AY1085">
        <v>0.66633699999999996</v>
      </c>
      <c r="AZ1085">
        <v>47.164718999999998</v>
      </c>
      <c r="BA1085">
        <v>100</v>
      </c>
      <c r="BB1085" t="s">
        <v>125</v>
      </c>
      <c r="BC1085" t="s">
        <v>125</v>
      </c>
      <c r="BD1085" t="s">
        <v>125</v>
      </c>
      <c r="BE1085" t="s">
        <v>125</v>
      </c>
      <c r="BF1085" t="s">
        <v>125</v>
      </c>
      <c r="BG1085" t="s">
        <v>125</v>
      </c>
      <c r="BH1085">
        <v>0</v>
      </c>
      <c r="BI1085">
        <v>0.98795200000000005</v>
      </c>
      <c r="BJ1085">
        <v>1</v>
      </c>
      <c r="BK1085">
        <v>0.98275900000000005</v>
      </c>
      <c r="BL1085">
        <v>0.98795200000000005</v>
      </c>
      <c r="BM1085">
        <v>1</v>
      </c>
      <c r="BN1085">
        <v>0.98275900000000005</v>
      </c>
      <c r="BO1085" t="s">
        <v>125</v>
      </c>
      <c r="BP1085" t="s">
        <v>125</v>
      </c>
      <c r="BQ1085" t="s">
        <v>125</v>
      </c>
      <c r="BR1085">
        <v>5.6649999999999999E-2</v>
      </c>
      <c r="BS1085">
        <v>48.669950999999998</v>
      </c>
      <c r="BT1085">
        <v>50</v>
      </c>
      <c r="BU1085">
        <v>0.106557</v>
      </c>
      <c r="BV1085">
        <v>38.688524999999998</v>
      </c>
      <c r="BW1085">
        <v>50</v>
      </c>
      <c r="BX1085" t="s">
        <v>125</v>
      </c>
      <c r="BY1085" t="s">
        <v>125</v>
      </c>
      <c r="BZ1085" t="s">
        <v>125</v>
      </c>
      <c r="CA1085" t="s">
        <v>125</v>
      </c>
      <c r="CB1085" t="s">
        <v>125</v>
      </c>
      <c r="CC1085" t="s">
        <v>125</v>
      </c>
      <c r="CD1085" t="s">
        <v>125</v>
      </c>
      <c r="CE1085" t="s">
        <v>125</v>
      </c>
      <c r="CF1085" t="s">
        <v>125</v>
      </c>
      <c r="CG1085" t="s">
        <v>125</v>
      </c>
      <c r="CH1085" t="s">
        <v>125</v>
      </c>
      <c r="CI1085" t="s">
        <v>125</v>
      </c>
      <c r="CJ1085" t="s">
        <v>125</v>
      </c>
      <c r="CK1085" t="s">
        <v>125</v>
      </c>
      <c r="CL1085" t="s">
        <v>125</v>
      </c>
      <c r="CM1085" t="s">
        <v>125</v>
      </c>
      <c r="CN1085" t="s">
        <v>125</v>
      </c>
      <c r="CO1085" t="s">
        <v>125</v>
      </c>
      <c r="CP1085" t="s">
        <v>125</v>
      </c>
      <c r="CQ1085">
        <v>0.75641000000000003</v>
      </c>
      <c r="CR1085">
        <v>0.89655200000000002</v>
      </c>
      <c r="CS1085">
        <v>25</v>
      </c>
      <c r="CT1085">
        <v>50</v>
      </c>
      <c r="CU1085" t="s">
        <v>125</v>
      </c>
      <c r="CV1085" t="s">
        <v>125</v>
      </c>
      <c r="CW1085" t="s">
        <v>125</v>
      </c>
      <c r="CX1085" t="s">
        <v>125</v>
      </c>
      <c r="CY1085" t="s">
        <v>125</v>
      </c>
      <c r="CZ1085" t="s">
        <v>125</v>
      </c>
      <c r="DA1085">
        <v>15.314097</v>
      </c>
      <c r="DB1085">
        <v>17.400950000000002</v>
      </c>
      <c r="DC1085">
        <v>16.332519999999999</v>
      </c>
      <c r="DD1085" t="s">
        <v>125</v>
      </c>
      <c r="DE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Q1085" t="s">
        <v>126</v>
      </c>
    </row>
    <row r="1086" spans="1:121" x14ac:dyDescent="0.15">
      <c r="A1086">
        <v>2018</v>
      </c>
      <c r="B1086" t="s">
        <v>214</v>
      </c>
      <c r="C1086" t="str">
        <f>"1690011"</f>
        <v>1690011</v>
      </c>
      <c r="D1086" t="s">
        <v>1228</v>
      </c>
      <c r="E1086" t="str">
        <f>"1695111"</f>
        <v>1695111</v>
      </c>
      <c r="F1086" t="s">
        <v>328</v>
      </c>
      <c r="G1086">
        <v>5</v>
      </c>
      <c r="H1086">
        <v>8</v>
      </c>
      <c r="J1086" t="s">
        <v>331</v>
      </c>
      <c r="K1086">
        <v>629.45427800000004</v>
      </c>
      <c r="L1086">
        <v>900</v>
      </c>
      <c r="M1086">
        <v>69.939363999999998</v>
      </c>
      <c r="N1086">
        <v>3</v>
      </c>
      <c r="O1086">
        <v>1</v>
      </c>
      <c r="P1086">
        <v>71.933293000000006</v>
      </c>
      <c r="Q1086">
        <v>47.955528999999999</v>
      </c>
      <c r="R1086">
        <v>50</v>
      </c>
      <c r="S1086">
        <v>59.563532000000002</v>
      </c>
      <c r="T1086">
        <v>75</v>
      </c>
      <c r="U1086">
        <v>39.709021</v>
      </c>
      <c r="V1086">
        <v>50</v>
      </c>
      <c r="W1086">
        <v>64.853701000000001</v>
      </c>
      <c r="X1086">
        <v>43.235801000000002</v>
      </c>
      <c r="Y1086">
        <v>50</v>
      </c>
      <c r="Z1086">
        <v>69.123859999999993</v>
      </c>
      <c r="AA1086">
        <v>52.223019999999998</v>
      </c>
      <c r="AB1086">
        <v>34.815347000000003</v>
      </c>
      <c r="AC1086">
        <v>50</v>
      </c>
      <c r="AD1086">
        <v>69.154666000000006</v>
      </c>
      <c r="AE1086">
        <v>46.103110999999998</v>
      </c>
      <c r="AF1086">
        <v>50</v>
      </c>
      <c r="AG1086">
        <v>59.632427999999997</v>
      </c>
      <c r="AH1086">
        <v>72.287789000000004</v>
      </c>
      <c r="AI1086">
        <v>39.754952000000003</v>
      </c>
      <c r="AJ1086">
        <v>50</v>
      </c>
      <c r="AK1086">
        <v>15.43</v>
      </c>
      <c r="AL1086">
        <v>16.899999999999999</v>
      </c>
      <c r="AM1086">
        <v>12.65</v>
      </c>
      <c r="AN1086">
        <v>0.55107300000000004</v>
      </c>
      <c r="AO1086">
        <v>55.107343999999998</v>
      </c>
      <c r="AP1086">
        <v>100</v>
      </c>
      <c r="AQ1086">
        <v>0.579314</v>
      </c>
      <c r="AR1086">
        <v>57.931375000000003</v>
      </c>
      <c r="AS1086">
        <v>100</v>
      </c>
      <c r="AT1086">
        <v>0.45894699999999999</v>
      </c>
      <c r="AU1086">
        <v>0.58121800000000001</v>
      </c>
      <c r="AV1086">
        <v>45.894714</v>
      </c>
      <c r="AW1086">
        <v>100</v>
      </c>
      <c r="AX1086">
        <v>0.46679199999999998</v>
      </c>
      <c r="AY1086">
        <v>0.61626700000000001</v>
      </c>
      <c r="AZ1086">
        <v>46.679198999999997</v>
      </c>
      <c r="BA1086">
        <v>100</v>
      </c>
      <c r="BB1086" t="s">
        <v>125</v>
      </c>
      <c r="BC1086" t="s">
        <v>125</v>
      </c>
      <c r="BD1086" t="s">
        <v>125</v>
      </c>
      <c r="BE1086" t="s">
        <v>125</v>
      </c>
      <c r="BF1086" t="s">
        <v>125</v>
      </c>
      <c r="BG1086" t="s">
        <v>125</v>
      </c>
      <c r="BH1086">
        <v>1</v>
      </c>
      <c r="BI1086">
        <v>0.95285399999999998</v>
      </c>
      <c r="BJ1086">
        <v>0.96039600000000003</v>
      </c>
      <c r="BK1086">
        <v>0.95033100000000004</v>
      </c>
      <c r="BL1086">
        <v>0.95285399999999998</v>
      </c>
      <c r="BM1086">
        <v>0.96039600000000003</v>
      </c>
      <c r="BN1086">
        <v>0.95033100000000004</v>
      </c>
      <c r="BO1086">
        <v>0.95</v>
      </c>
      <c r="BP1086">
        <v>0.94545500000000005</v>
      </c>
      <c r="BQ1086">
        <v>0.951515</v>
      </c>
      <c r="BR1086">
        <v>3.7220999999999997E-2</v>
      </c>
      <c r="BS1086">
        <v>50</v>
      </c>
      <c r="BT1086">
        <v>50</v>
      </c>
      <c r="BU1086">
        <v>0.1</v>
      </c>
      <c r="BV1086">
        <v>40</v>
      </c>
      <c r="BW1086">
        <v>50</v>
      </c>
      <c r="BX1086" t="s">
        <v>125</v>
      </c>
      <c r="BY1086" t="s">
        <v>125</v>
      </c>
      <c r="BZ1086" t="s">
        <v>125</v>
      </c>
      <c r="CA1086" t="s">
        <v>125</v>
      </c>
      <c r="CB1086" t="s">
        <v>125</v>
      </c>
      <c r="CC1086" t="s">
        <v>125</v>
      </c>
      <c r="CD1086">
        <v>1</v>
      </c>
      <c r="CE1086">
        <v>50</v>
      </c>
      <c r="CF1086">
        <v>50</v>
      </c>
      <c r="CG1086" t="s">
        <v>125</v>
      </c>
      <c r="CH1086" t="s">
        <v>125</v>
      </c>
      <c r="CI1086" t="s">
        <v>125</v>
      </c>
      <c r="CJ1086" t="s">
        <v>125</v>
      </c>
      <c r="CK1086" t="s">
        <v>125</v>
      </c>
      <c r="CL1086" t="s">
        <v>125</v>
      </c>
      <c r="CM1086" t="s">
        <v>125</v>
      </c>
      <c r="CN1086" t="s">
        <v>125</v>
      </c>
      <c r="CO1086" t="s">
        <v>125</v>
      </c>
      <c r="CP1086" t="s">
        <v>125</v>
      </c>
      <c r="CQ1086">
        <v>0.484018</v>
      </c>
      <c r="CR1086">
        <v>0.99545499999999998</v>
      </c>
      <c r="CS1086">
        <v>32.267884000000002</v>
      </c>
      <c r="CT1086">
        <v>50</v>
      </c>
      <c r="CU1086" t="s">
        <v>125</v>
      </c>
      <c r="CV1086" t="s">
        <v>125</v>
      </c>
      <c r="CW1086" t="s">
        <v>125</v>
      </c>
      <c r="CX1086" t="s">
        <v>125</v>
      </c>
      <c r="CY1086" t="s">
        <v>125</v>
      </c>
      <c r="CZ1086" t="s">
        <v>125</v>
      </c>
      <c r="DA1086">
        <v>15.314097</v>
      </c>
      <c r="DB1086">
        <v>17.400950000000002</v>
      </c>
      <c r="DC1086">
        <v>16.332519999999999</v>
      </c>
      <c r="DD1086" t="s">
        <v>125</v>
      </c>
      <c r="DE1086">
        <v>1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Q1086" t="s">
        <v>126</v>
      </c>
    </row>
    <row r="1087" spans="1:121" x14ac:dyDescent="0.15">
      <c r="A1087">
        <v>2018</v>
      </c>
      <c r="B1087" t="s">
        <v>243</v>
      </c>
      <c r="C1087" t="str">
        <f>"2010012"</f>
        <v>2010012</v>
      </c>
      <c r="D1087" t="s">
        <v>1229</v>
      </c>
      <c r="E1087" t="str">
        <f>"2016112"</f>
        <v>2016112</v>
      </c>
      <c r="F1087" t="s">
        <v>1230</v>
      </c>
      <c r="G1087">
        <v>9</v>
      </c>
      <c r="H1087">
        <v>12</v>
      </c>
      <c r="I1087" t="s">
        <v>330</v>
      </c>
      <c r="J1087" t="s">
        <v>331</v>
      </c>
      <c r="K1087">
        <v>1148.461859</v>
      </c>
      <c r="L1087">
        <v>1450</v>
      </c>
      <c r="M1087">
        <v>79.204266000000004</v>
      </c>
      <c r="N1087">
        <v>2</v>
      </c>
      <c r="O1087">
        <v>0</v>
      </c>
      <c r="P1087">
        <v>61.229166999999997</v>
      </c>
      <c r="Q1087">
        <v>122.458333</v>
      </c>
      <c r="R1087">
        <v>150</v>
      </c>
      <c r="S1087">
        <v>56.716312000000002</v>
      </c>
      <c r="T1087">
        <v>66.402439000000001</v>
      </c>
      <c r="U1087">
        <v>113.432624</v>
      </c>
      <c r="V1087">
        <v>150</v>
      </c>
      <c r="W1087">
        <v>52.138888999999999</v>
      </c>
      <c r="X1087">
        <v>104.277778</v>
      </c>
      <c r="Y1087">
        <v>150</v>
      </c>
      <c r="Z1087">
        <v>57.817073000000001</v>
      </c>
      <c r="AA1087">
        <v>47.185578999999997</v>
      </c>
      <c r="AB1087">
        <v>94.371157999999994</v>
      </c>
      <c r="AC1087">
        <v>150</v>
      </c>
      <c r="AD1087">
        <v>67.783638999999994</v>
      </c>
      <c r="AE1087">
        <v>90.378185000000002</v>
      </c>
      <c r="AF1087">
        <v>100</v>
      </c>
      <c r="AG1087">
        <v>63.024892999999999</v>
      </c>
      <c r="AH1087">
        <v>73.470918999999995</v>
      </c>
      <c r="AI1087">
        <v>84.033191000000002</v>
      </c>
      <c r="AJ1087">
        <v>100</v>
      </c>
      <c r="AK1087">
        <v>9.68</v>
      </c>
      <c r="AL1087">
        <v>10.63</v>
      </c>
      <c r="AM1087">
        <v>10.44</v>
      </c>
      <c r="AN1087" t="s">
        <v>125</v>
      </c>
      <c r="AO1087" t="s">
        <v>125</v>
      </c>
      <c r="AP1087" t="s">
        <v>125</v>
      </c>
      <c r="AQ1087" t="s">
        <v>125</v>
      </c>
      <c r="AR1087" t="s">
        <v>125</v>
      </c>
      <c r="AS1087" t="s">
        <v>125</v>
      </c>
      <c r="AT1087" t="s">
        <v>125</v>
      </c>
      <c r="AU1087" t="s">
        <v>125</v>
      </c>
      <c r="AV1087" t="s">
        <v>125</v>
      </c>
      <c r="AW1087" t="s">
        <v>125</v>
      </c>
      <c r="AX1087" t="s">
        <v>125</v>
      </c>
      <c r="AY1087" t="s">
        <v>125</v>
      </c>
      <c r="AZ1087" t="s">
        <v>125</v>
      </c>
      <c r="BA1087" t="s">
        <v>125</v>
      </c>
      <c r="BB1087" t="s">
        <v>125</v>
      </c>
      <c r="BC1087" t="s">
        <v>125</v>
      </c>
      <c r="BD1087" t="s">
        <v>125</v>
      </c>
      <c r="BE1087" t="s">
        <v>125</v>
      </c>
      <c r="BF1087" t="s">
        <v>125</v>
      </c>
      <c r="BG1087" t="s">
        <v>125</v>
      </c>
      <c r="BH1087">
        <v>0</v>
      </c>
      <c r="BI1087">
        <v>0.96842099999999998</v>
      </c>
      <c r="BJ1087">
        <v>0.96226400000000001</v>
      </c>
      <c r="BK1087">
        <v>0.97619</v>
      </c>
      <c r="BL1087">
        <v>0.96842099999999998</v>
      </c>
      <c r="BM1087">
        <v>0.96226400000000001</v>
      </c>
      <c r="BN1087">
        <v>0.97619</v>
      </c>
      <c r="BO1087">
        <v>0.98947399999999996</v>
      </c>
      <c r="BP1087">
        <v>0.981132</v>
      </c>
      <c r="BQ1087">
        <v>1</v>
      </c>
      <c r="BR1087">
        <v>0.15968599999999999</v>
      </c>
      <c r="BS1087">
        <v>28.062826999999999</v>
      </c>
      <c r="BT1087">
        <v>50</v>
      </c>
      <c r="BU1087">
        <v>0.24550900000000001</v>
      </c>
      <c r="BV1087">
        <v>10.898204</v>
      </c>
      <c r="BW1087">
        <v>50</v>
      </c>
      <c r="BX1087">
        <v>0.95192299999999996</v>
      </c>
      <c r="BY1087">
        <v>50</v>
      </c>
      <c r="BZ1087">
        <v>50</v>
      </c>
      <c r="CA1087">
        <v>0.394231</v>
      </c>
      <c r="CB1087">
        <v>26.282050999999999</v>
      </c>
      <c r="CC1087">
        <v>50</v>
      </c>
      <c r="CD1087">
        <v>0.92222199999999999</v>
      </c>
      <c r="CE1087">
        <v>49.054374000000003</v>
      </c>
      <c r="CF1087">
        <v>50</v>
      </c>
      <c r="CG1087">
        <v>0.95555599999999996</v>
      </c>
      <c r="CH1087">
        <v>100</v>
      </c>
      <c r="CI1087">
        <v>100</v>
      </c>
      <c r="CJ1087">
        <v>0</v>
      </c>
      <c r="CK1087">
        <v>0.94285699999999995</v>
      </c>
      <c r="CL1087">
        <v>100</v>
      </c>
      <c r="CM1087">
        <v>100</v>
      </c>
      <c r="CN1087">
        <v>0.67857100000000004</v>
      </c>
      <c r="CO1087">
        <v>90.476190000000003</v>
      </c>
      <c r="CP1087">
        <v>100</v>
      </c>
      <c r="CQ1087">
        <v>0.56097600000000003</v>
      </c>
      <c r="CR1087">
        <v>0.96470599999999995</v>
      </c>
      <c r="CS1087">
        <v>37.398373999999997</v>
      </c>
      <c r="CT1087">
        <v>50</v>
      </c>
      <c r="CU1087">
        <v>0.56806299999999998</v>
      </c>
      <c r="CV1087">
        <v>47.338569</v>
      </c>
      <c r="CW1087">
        <v>50</v>
      </c>
      <c r="CX1087">
        <v>0.94285699999999995</v>
      </c>
      <c r="CY1087">
        <v>0.94</v>
      </c>
      <c r="CZ1087">
        <v>-2.8570000000000002E-3</v>
      </c>
      <c r="DA1087">
        <v>15.314097</v>
      </c>
      <c r="DB1087">
        <v>17.400950000000002</v>
      </c>
      <c r="DC1087">
        <v>16.332519999999999</v>
      </c>
      <c r="DD1087">
        <v>7.9891730000000001</v>
      </c>
      <c r="DE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Q1087" t="s">
        <v>126</v>
      </c>
    </row>
    <row r="1088" spans="1:121" x14ac:dyDescent="0.15">
      <c r="A1088">
        <v>2018</v>
      </c>
      <c r="B1088" t="s">
        <v>244</v>
      </c>
      <c r="C1088" t="str">
        <f>"2040012"</f>
        <v>2040012</v>
      </c>
      <c r="D1088" t="s">
        <v>1231</v>
      </c>
      <c r="E1088" t="str">
        <f>"2045112"</f>
        <v>2045112</v>
      </c>
      <c r="F1088" t="s">
        <v>1230</v>
      </c>
      <c r="G1088">
        <v>7</v>
      </c>
      <c r="H1088">
        <v>8</v>
      </c>
      <c r="I1088" t="s">
        <v>330</v>
      </c>
      <c r="J1088" t="s">
        <v>331</v>
      </c>
      <c r="K1088">
        <v>636.82806800000003</v>
      </c>
      <c r="L1088">
        <v>900</v>
      </c>
      <c r="M1088">
        <v>70.758673999999999</v>
      </c>
      <c r="N1088">
        <v>2</v>
      </c>
      <c r="O1088">
        <v>0</v>
      </c>
      <c r="P1088">
        <v>75.200243</v>
      </c>
      <c r="Q1088">
        <v>50</v>
      </c>
      <c r="R1088">
        <v>50</v>
      </c>
      <c r="S1088">
        <v>65.282685000000001</v>
      </c>
      <c r="T1088">
        <v>75</v>
      </c>
      <c r="U1088">
        <v>43.521790000000003</v>
      </c>
      <c r="V1088">
        <v>50</v>
      </c>
      <c r="W1088">
        <v>69.484842999999998</v>
      </c>
      <c r="X1088">
        <v>46.323228</v>
      </c>
      <c r="Y1088">
        <v>50</v>
      </c>
      <c r="Z1088">
        <v>75</v>
      </c>
      <c r="AA1088">
        <v>59.328015000000001</v>
      </c>
      <c r="AB1088">
        <v>39.552010000000003</v>
      </c>
      <c r="AC1088">
        <v>50</v>
      </c>
      <c r="AD1088">
        <v>74.958748</v>
      </c>
      <c r="AE1088">
        <v>49.972498999999999</v>
      </c>
      <c r="AF1088">
        <v>50</v>
      </c>
      <c r="AG1088">
        <v>65.927055999999993</v>
      </c>
      <c r="AH1088">
        <v>75</v>
      </c>
      <c r="AI1088">
        <v>43.951369999999997</v>
      </c>
      <c r="AJ1088">
        <v>50</v>
      </c>
      <c r="AK1088">
        <v>9.7100000000000009</v>
      </c>
      <c r="AL1088">
        <v>15.67</v>
      </c>
      <c r="AM1088">
        <v>9.07</v>
      </c>
      <c r="AN1088">
        <v>0.48868699999999998</v>
      </c>
      <c r="AO1088">
        <v>48.868704999999999</v>
      </c>
      <c r="AP1088">
        <v>100</v>
      </c>
      <c r="AQ1088">
        <v>0.55361800000000005</v>
      </c>
      <c r="AR1088">
        <v>55.361784</v>
      </c>
      <c r="AS1088">
        <v>100</v>
      </c>
      <c r="AT1088">
        <v>0.50220500000000001</v>
      </c>
      <c r="AU1088">
        <v>0.48097400000000001</v>
      </c>
      <c r="AV1088">
        <v>50.220486000000001</v>
      </c>
      <c r="AW1088">
        <v>100</v>
      </c>
      <c r="AX1088">
        <v>0.50216799999999995</v>
      </c>
      <c r="AY1088">
        <v>0.58267199999999997</v>
      </c>
      <c r="AZ1088">
        <v>50.216838000000003</v>
      </c>
      <c r="BA1088">
        <v>100</v>
      </c>
      <c r="BB1088" t="s">
        <v>125</v>
      </c>
      <c r="BC1088" t="s">
        <v>125</v>
      </c>
      <c r="BD1088" t="s">
        <v>125</v>
      </c>
      <c r="BE1088" t="s">
        <v>125</v>
      </c>
      <c r="BF1088" t="s">
        <v>125</v>
      </c>
      <c r="BG1088" t="s">
        <v>125</v>
      </c>
      <c r="BH1088">
        <v>0</v>
      </c>
      <c r="BI1088">
        <v>0.98571399999999998</v>
      </c>
      <c r="BJ1088">
        <v>0.97196300000000002</v>
      </c>
      <c r="BK1088">
        <v>0.99421999999999999</v>
      </c>
      <c r="BL1088">
        <v>0.98571399999999998</v>
      </c>
      <c r="BM1088">
        <v>0.97196300000000002</v>
      </c>
      <c r="BN1088">
        <v>0.99421999999999999</v>
      </c>
      <c r="BO1088">
        <v>0.98550700000000002</v>
      </c>
      <c r="BP1088">
        <v>0.97499999999999998</v>
      </c>
      <c r="BQ1088">
        <v>0.98979600000000001</v>
      </c>
      <c r="BR1088">
        <v>5.3571000000000001E-2</v>
      </c>
      <c r="BS1088">
        <v>49.285713999999999</v>
      </c>
      <c r="BT1088">
        <v>50</v>
      </c>
      <c r="BU1088">
        <v>6.8626999999999994E-2</v>
      </c>
      <c r="BV1088">
        <v>46.274509999999999</v>
      </c>
      <c r="BW1088">
        <v>50</v>
      </c>
      <c r="BX1088" t="s">
        <v>125</v>
      </c>
      <c r="BY1088" t="s">
        <v>125</v>
      </c>
      <c r="BZ1088" t="s">
        <v>125</v>
      </c>
      <c r="CA1088" t="s">
        <v>125</v>
      </c>
      <c r="CB1088" t="s">
        <v>125</v>
      </c>
      <c r="CC1088" t="s">
        <v>125</v>
      </c>
      <c r="CD1088">
        <v>0.97674399999999995</v>
      </c>
      <c r="CE1088">
        <v>50</v>
      </c>
      <c r="CF1088">
        <v>50</v>
      </c>
      <c r="CG1088" t="s">
        <v>125</v>
      </c>
      <c r="CH1088" t="s">
        <v>125</v>
      </c>
      <c r="CI1088" t="s">
        <v>125</v>
      </c>
      <c r="CJ1088" t="s">
        <v>125</v>
      </c>
      <c r="CK1088" t="s">
        <v>125</v>
      </c>
      <c r="CL1088" t="s">
        <v>125</v>
      </c>
      <c r="CM1088" t="s">
        <v>125</v>
      </c>
      <c r="CN1088" t="s">
        <v>125</v>
      </c>
      <c r="CO1088" t="s">
        <v>125</v>
      </c>
      <c r="CP1088" t="s">
        <v>125</v>
      </c>
      <c r="CQ1088">
        <v>0.39837400000000001</v>
      </c>
      <c r="CR1088">
        <v>0.89781</v>
      </c>
      <c r="CS1088">
        <v>13.279133</v>
      </c>
      <c r="CT1088">
        <v>50</v>
      </c>
      <c r="CU1088" t="s">
        <v>125</v>
      </c>
      <c r="CV1088" t="s">
        <v>125</v>
      </c>
      <c r="CW1088" t="s">
        <v>125</v>
      </c>
      <c r="CX1088" t="s">
        <v>125</v>
      </c>
      <c r="CY1088" t="s">
        <v>125</v>
      </c>
      <c r="CZ1088" t="s">
        <v>125</v>
      </c>
      <c r="DA1088">
        <v>15.314097</v>
      </c>
      <c r="DB1088">
        <v>17.400950000000002</v>
      </c>
      <c r="DC1088">
        <v>16.332519999999999</v>
      </c>
      <c r="DD1088" t="s">
        <v>125</v>
      </c>
      <c r="DE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Q1088" t="s">
        <v>126</v>
      </c>
    </row>
    <row r="1089" spans="1:121" x14ac:dyDescent="0.15">
      <c r="A1089">
        <v>2018</v>
      </c>
      <c r="B1089" t="s">
        <v>244</v>
      </c>
      <c r="C1089" t="str">
        <f>"2040012"</f>
        <v>2040012</v>
      </c>
      <c r="D1089" t="s">
        <v>1232</v>
      </c>
      <c r="E1089" t="str">
        <f>"2046112"</f>
        <v>2046112</v>
      </c>
      <c r="F1089" t="s">
        <v>1230</v>
      </c>
      <c r="G1089">
        <v>9</v>
      </c>
      <c r="H1089">
        <v>12</v>
      </c>
      <c r="I1089" t="s">
        <v>330</v>
      </c>
      <c r="J1089" t="s">
        <v>331</v>
      </c>
      <c r="K1089">
        <v>1225.275257</v>
      </c>
      <c r="L1089">
        <v>1450</v>
      </c>
      <c r="M1089">
        <v>84.501741999999993</v>
      </c>
      <c r="N1089">
        <v>3</v>
      </c>
      <c r="O1089">
        <v>1</v>
      </c>
      <c r="P1089">
        <v>66.990268</v>
      </c>
      <c r="Q1089">
        <v>133.980535</v>
      </c>
      <c r="R1089">
        <v>150</v>
      </c>
      <c r="S1089">
        <v>56.785088000000002</v>
      </c>
      <c r="T1089">
        <v>70.907407000000006</v>
      </c>
      <c r="U1089">
        <v>113.57017500000001</v>
      </c>
      <c r="V1089">
        <v>150</v>
      </c>
      <c r="W1089">
        <v>62.021087000000001</v>
      </c>
      <c r="X1089">
        <v>124.042174</v>
      </c>
      <c r="Y1089">
        <v>150</v>
      </c>
      <c r="Z1089">
        <v>67.759259</v>
      </c>
      <c r="AA1089">
        <v>47.071637000000003</v>
      </c>
      <c r="AB1089">
        <v>94.143275000000003</v>
      </c>
      <c r="AC1089">
        <v>150</v>
      </c>
      <c r="AD1089">
        <v>63.957143000000002</v>
      </c>
      <c r="AE1089">
        <v>85.27619</v>
      </c>
      <c r="AF1089">
        <v>100</v>
      </c>
      <c r="AG1089">
        <v>57.125703999999999</v>
      </c>
      <c r="AH1089">
        <v>66.786325000000005</v>
      </c>
      <c r="AI1089">
        <v>76.167604999999995</v>
      </c>
      <c r="AJ1089">
        <v>100</v>
      </c>
      <c r="AK1089">
        <v>14.12</v>
      </c>
      <c r="AL1089">
        <v>20.68</v>
      </c>
      <c r="AM1089">
        <v>9.66</v>
      </c>
      <c r="AN1089" t="s">
        <v>125</v>
      </c>
      <c r="AO1089" t="s">
        <v>125</v>
      </c>
      <c r="AP1089" t="s">
        <v>125</v>
      </c>
      <c r="AQ1089" t="s">
        <v>125</v>
      </c>
      <c r="AR1089" t="s">
        <v>125</v>
      </c>
      <c r="AS1089" t="s">
        <v>125</v>
      </c>
      <c r="AT1089" t="s">
        <v>125</v>
      </c>
      <c r="AU1089" t="s">
        <v>125</v>
      </c>
      <c r="AV1089" t="s">
        <v>125</v>
      </c>
      <c r="AW1089" t="s">
        <v>125</v>
      </c>
      <c r="AX1089" t="s">
        <v>125</v>
      </c>
      <c r="AY1089" t="s">
        <v>125</v>
      </c>
      <c r="AZ1089" t="s">
        <v>125</v>
      </c>
      <c r="BA1089" t="s">
        <v>125</v>
      </c>
      <c r="BB1089" t="s">
        <v>125</v>
      </c>
      <c r="BC1089" t="s">
        <v>125</v>
      </c>
      <c r="BD1089" t="s">
        <v>125</v>
      </c>
      <c r="BE1089" t="s">
        <v>125</v>
      </c>
      <c r="BF1089" t="s">
        <v>125</v>
      </c>
      <c r="BG1089" t="s">
        <v>125</v>
      </c>
      <c r="BH1089">
        <v>1</v>
      </c>
      <c r="BI1089">
        <v>0.95238100000000003</v>
      </c>
      <c r="BJ1089">
        <v>0.86666699999999997</v>
      </c>
      <c r="BK1089">
        <v>0.99019599999999997</v>
      </c>
      <c r="BL1089">
        <v>0.95238100000000003</v>
      </c>
      <c r="BM1089">
        <v>0.86666699999999997</v>
      </c>
      <c r="BN1089">
        <v>0.99019599999999997</v>
      </c>
      <c r="BO1089">
        <v>0.97278900000000001</v>
      </c>
      <c r="BP1089">
        <v>0.93333299999999997</v>
      </c>
      <c r="BQ1089">
        <v>0.99019599999999997</v>
      </c>
      <c r="BR1089">
        <v>8.0808000000000005E-2</v>
      </c>
      <c r="BS1089">
        <v>43.838383999999998</v>
      </c>
      <c r="BT1089">
        <v>50</v>
      </c>
      <c r="BU1089">
        <v>0.154255</v>
      </c>
      <c r="BV1089">
        <v>29.148935999999999</v>
      </c>
      <c r="BW1089">
        <v>50</v>
      </c>
      <c r="BX1089">
        <v>0.87628899999999998</v>
      </c>
      <c r="BY1089">
        <v>50</v>
      </c>
      <c r="BZ1089">
        <v>50</v>
      </c>
      <c r="CA1089">
        <v>0.56701000000000001</v>
      </c>
      <c r="CB1089">
        <v>37.800687000000003</v>
      </c>
      <c r="CC1089">
        <v>50</v>
      </c>
      <c r="CD1089">
        <v>0.97619</v>
      </c>
      <c r="CE1089">
        <v>50</v>
      </c>
      <c r="CF1089">
        <v>50</v>
      </c>
      <c r="CG1089">
        <v>0.980263</v>
      </c>
      <c r="CH1089">
        <v>100</v>
      </c>
      <c r="CI1089">
        <v>100</v>
      </c>
      <c r="CJ1089">
        <v>0</v>
      </c>
      <c r="CK1089">
        <v>0.97560999999999998</v>
      </c>
      <c r="CL1089">
        <v>100</v>
      </c>
      <c r="CM1089">
        <v>100</v>
      </c>
      <c r="CN1089">
        <v>0.78523500000000002</v>
      </c>
      <c r="CO1089">
        <v>100</v>
      </c>
      <c r="CP1089">
        <v>100</v>
      </c>
      <c r="CQ1089">
        <v>0.63200000000000001</v>
      </c>
      <c r="CR1089">
        <v>0.92592600000000003</v>
      </c>
      <c r="CS1089">
        <v>42.133333</v>
      </c>
      <c r="CT1089">
        <v>50</v>
      </c>
      <c r="CU1089">
        <v>0.54208800000000001</v>
      </c>
      <c r="CV1089">
        <v>45.173962000000003</v>
      </c>
      <c r="CW1089">
        <v>50</v>
      </c>
      <c r="CX1089">
        <v>0.97560999999999998</v>
      </c>
      <c r="CY1089">
        <v>0.94</v>
      </c>
      <c r="CZ1089">
        <v>-3.5610000000000003E-2</v>
      </c>
      <c r="DA1089">
        <v>15.314097</v>
      </c>
      <c r="DB1089">
        <v>17.400950000000002</v>
      </c>
      <c r="DC1089">
        <v>16.332519999999999</v>
      </c>
      <c r="DD1089">
        <v>7.9891730000000001</v>
      </c>
      <c r="DE1089">
        <v>1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Q1089" t="s">
        <v>126</v>
      </c>
    </row>
    <row r="1090" spans="1:121" x14ac:dyDescent="0.15">
      <c r="A1090">
        <v>2018</v>
      </c>
      <c r="B1090" t="s">
        <v>245</v>
      </c>
      <c r="C1090" t="str">
        <f>"2050012"</f>
        <v>2050012</v>
      </c>
      <c r="D1090" t="s">
        <v>1233</v>
      </c>
      <c r="E1090" t="str">
        <f>"2055112"</f>
        <v>2055112</v>
      </c>
      <c r="F1090" t="s">
        <v>1230</v>
      </c>
      <c r="G1090">
        <v>7</v>
      </c>
      <c r="H1090">
        <v>8</v>
      </c>
      <c r="I1090" t="s">
        <v>330</v>
      </c>
      <c r="J1090" t="s">
        <v>331</v>
      </c>
      <c r="K1090">
        <v>720.38897299999996</v>
      </c>
      <c r="L1090">
        <v>900</v>
      </c>
      <c r="M1090">
        <v>80.043218999999993</v>
      </c>
      <c r="N1090">
        <v>3</v>
      </c>
      <c r="O1090">
        <v>0</v>
      </c>
      <c r="P1090">
        <v>81.750032000000004</v>
      </c>
      <c r="Q1090">
        <v>50</v>
      </c>
      <c r="R1090">
        <v>50</v>
      </c>
      <c r="S1090">
        <v>66.444436999999994</v>
      </c>
      <c r="T1090">
        <v>75</v>
      </c>
      <c r="U1090">
        <v>44.296290999999997</v>
      </c>
      <c r="V1090">
        <v>50</v>
      </c>
      <c r="W1090">
        <v>81.202676999999994</v>
      </c>
      <c r="X1090">
        <v>50</v>
      </c>
      <c r="Y1090">
        <v>50</v>
      </c>
      <c r="Z1090">
        <v>75</v>
      </c>
      <c r="AA1090">
        <v>64.547616000000005</v>
      </c>
      <c r="AB1090">
        <v>43.031744000000003</v>
      </c>
      <c r="AC1090">
        <v>50</v>
      </c>
      <c r="AD1090">
        <v>82.593322000000001</v>
      </c>
      <c r="AE1090">
        <v>50</v>
      </c>
      <c r="AF1090">
        <v>50</v>
      </c>
      <c r="AG1090">
        <v>71.562123999999997</v>
      </c>
      <c r="AH1090">
        <v>75</v>
      </c>
      <c r="AI1090">
        <v>47.708081999999997</v>
      </c>
      <c r="AJ1090">
        <v>50</v>
      </c>
      <c r="AK1090">
        <v>8.5500000000000007</v>
      </c>
      <c r="AL1090">
        <v>10.45</v>
      </c>
      <c r="AM1090">
        <v>3.43</v>
      </c>
      <c r="AN1090">
        <v>0.61099099999999995</v>
      </c>
      <c r="AO1090">
        <v>61.099139999999998</v>
      </c>
      <c r="AP1090">
        <v>100</v>
      </c>
      <c r="AQ1090">
        <v>0.78351000000000004</v>
      </c>
      <c r="AR1090">
        <v>78.350952000000007</v>
      </c>
      <c r="AS1090">
        <v>100</v>
      </c>
      <c r="AT1090">
        <v>0.48790299999999998</v>
      </c>
      <c r="AU1090">
        <v>0.64886500000000003</v>
      </c>
      <c r="AV1090">
        <v>48.790281</v>
      </c>
      <c r="AW1090">
        <v>100</v>
      </c>
      <c r="AX1090">
        <v>0.55533500000000002</v>
      </c>
      <c r="AY1090">
        <v>0.85299899999999995</v>
      </c>
      <c r="AZ1090">
        <v>55.533535000000001</v>
      </c>
      <c r="BA1090">
        <v>100</v>
      </c>
      <c r="BB1090" t="s">
        <v>125</v>
      </c>
      <c r="BC1090" t="s">
        <v>125</v>
      </c>
      <c r="BD1090" t="s">
        <v>125</v>
      </c>
      <c r="BE1090" t="s">
        <v>125</v>
      </c>
      <c r="BF1090" t="s">
        <v>125</v>
      </c>
      <c r="BG1090" t="s">
        <v>125</v>
      </c>
      <c r="BH1090">
        <v>1</v>
      </c>
      <c r="BI1090">
        <v>0.96845400000000004</v>
      </c>
      <c r="BJ1090">
        <v>0.93827199999999999</v>
      </c>
      <c r="BK1090">
        <v>0.97881399999999996</v>
      </c>
      <c r="BL1090">
        <v>0.96530000000000005</v>
      </c>
      <c r="BM1090">
        <v>0.93827199999999999</v>
      </c>
      <c r="BN1090">
        <v>0.974576</v>
      </c>
      <c r="BO1090">
        <v>0.98064499999999999</v>
      </c>
      <c r="BP1090">
        <v>0.94285699999999995</v>
      </c>
      <c r="BQ1090">
        <v>0.99166699999999997</v>
      </c>
      <c r="BR1090">
        <v>4.7319E-2</v>
      </c>
      <c r="BS1090">
        <v>50</v>
      </c>
      <c r="BT1090">
        <v>50</v>
      </c>
      <c r="BU1090">
        <v>9.2105000000000006E-2</v>
      </c>
      <c r="BV1090">
        <v>41.578946999999999</v>
      </c>
      <c r="BW1090">
        <v>50</v>
      </c>
      <c r="BX1090" t="s">
        <v>125</v>
      </c>
      <c r="BY1090" t="s">
        <v>125</v>
      </c>
      <c r="BZ1090" t="s">
        <v>125</v>
      </c>
      <c r="CA1090" t="s">
        <v>125</v>
      </c>
      <c r="CB1090" t="s">
        <v>125</v>
      </c>
      <c r="CC1090" t="s">
        <v>125</v>
      </c>
      <c r="CD1090">
        <v>0.97126400000000002</v>
      </c>
      <c r="CE1090">
        <v>50</v>
      </c>
      <c r="CF1090">
        <v>50</v>
      </c>
      <c r="CG1090" t="s">
        <v>125</v>
      </c>
      <c r="CH1090" t="s">
        <v>125</v>
      </c>
      <c r="CI1090" t="s">
        <v>125</v>
      </c>
      <c r="CJ1090" t="s">
        <v>125</v>
      </c>
      <c r="CK1090" t="s">
        <v>125</v>
      </c>
      <c r="CL1090" t="s">
        <v>125</v>
      </c>
      <c r="CM1090" t="s">
        <v>125</v>
      </c>
      <c r="CN1090" t="s">
        <v>125</v>
      </c>
      <c r="CO1090" t="s">
        <v>125</v>
      </c>
      <c r="CP1090" t="s">
        <v>125</v>
      </c>
      <c r="CQ1090">
        <v>0.75973999999999997</v>
      </c>
      <c r="CR1090">
        <v>0.99354799999999999</v>
      </c>
      <c r="CS1090">
        <v>50</v>
      </c>
      <c r="CT1090">
        <v>50</v>
      </c>
      <c r="CU1090" t="s">
        <v>125</v>
      </c>
      <c r="CV1090" t="s">
        <v>125</v>
      </c>
      <c r="CW1090" t="s">
        <v>125</v>
      </c>
      <c r="CX1090" t="s">
        <v>125</v>
      </c>
      <c r="CY1090" t="s">
        <v>125</v>
      </c>
      <c r="CZ1090" t="s">
        <v>125</v>
      </c>
      <c r="DA1090">
        <v>15.314097</v>
      </c>
      <c r="DB1090">
        <v>17.400950000000002</v>
      </c>
      <c r="DC1090">
        <v>16.332519999999999</v>
      </c>
      <c r="DD1090" t="s">
        <v>125</v>
      </c>
      <c r="DE1090">
        <v>1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Q1090" t="s">
        <v>126</v>
      </c>
    </row>
    <row r="1091" spans="1:121" x14ac:dyDescent="0.15">
      <c r="A1091">
        <v>2018</v>
      </c>
      <c r="B1091" t="s">
        <v>245</v>
      </c>
      <c r="C1091" t="str">
        <f>"2050012"</f>
        <v>2050012</v>
      </c>
      <c r="D1091" t="s">
        <v>1234</v>
      </c>
      <c r="E1091" t="str">
        <f>"2055212"</f>
        <v>2055212</v>
      </c>
      <c r="F1091" t="s">
        <v>1230</v>
      </c>
      <c r="G1091">
        <v>7</v>
      </c>
      <c r="H1091">
        <v>8</v>
      </c>
      <c r="I1091" t="s">
        <v>330</v>
      </c>
      <c r="J1091" t="s">
        <v>331</v>
      </c>
      <c r="K1091">
        <v>704.55635800000005</v>
      </c>
      <c r="L1091">
        <v>900</v>
      </c>
      <c r="M1091">
        <v>78.284040000000005</v>
      </c>
      <c r="N1091">
        <v>3</v>
      </c>
      <c r="O1091">
        <v>0</v>
      </c>
      <c r="P1091">
        <v>82.795941999999997</v>
      </c>
      <c r="Q1091">
        <v>50</v>
      </c>
      <c r="R1091">
        <v>50</v>
      </c>
      <c r="S1091">
        <v>65.032565000000005</v>
      </c>
      <c r="T1091">
        <v>75</v>
      </c>
      <c r="U1091">
        <v>43.355043000000002</v>
      </c>
      <c r="V1091">
        <v>50</v>
      </c>
      <c r="W1091">
        <v>80.041093000000004</v>
      </c>
      <c r="X1091">
        <v>50</v>
      </c>
      <c r="Y1091">
        <v>50</v>
      </c>
      <c r="Z1091">
        <v>75</v>
      </c>
      <c r="AA1091">
        <v>63.291251000000003</v>
      </c>
      <c r="AB1091">
        <v>42.194167</v>
      </c>
      <c r="AC1091">
        <v>50</v>
      </c>
      <c r="AD1091">
        <v>79.601305999999994</v>
      </c>
      <c r="AE1091">
        <v>50</v>
      </c>
      <c r="AF1091">
        <v>50</v>
      </c>
      <c r="AG1091">
        <v>64.252874000000006</v>
      </c>
      <c r="AH1091">
        <v>75</v>
      </c>
      <c r="AI1091">
        <v>42.835248999999997</v>
      </c>
      <c r="AJ1091">
        <v>50</v>
      </c>
      <c r="AK1091">
        <v>9.9600000000000009</v>
      </c>
      <c r="AL1091">
        <v>11.7</v>
      </c>
      <c r="AM1091">
        <v>10.74</v>
      </c>
      <c r="AN1091">
        <v>0.65978400000000004</v>
      </c>
      <c r="AO1091">
        <v>65.978448</v>
      </c>
      <c r="AP1091">
        <v>100</v>
      </c>
      <c r="AQ1091">
        <v>0.72817399999999999</v>
      </c>
      <c r="AR1091">
        <v>72.817430000000002</v>
      </c>
      <c r="AS1091">
        <v>100</v>
      </c>
      <c r="AT1091">
        <v>0.39544400000000002</v>
      </c>
      <c r="AU1091">
        <v>0.72369099999999997</v>
      </c>
      <c r="AV1091">
        <v>39.544437000000002</v>
      </c>
      <c r="AW1091">
        <v>100</v>
      </c>
      <c r="AX1091">
        <v>0.56252599999999997</v>
      </c>
      <c r="AY1091">
        <v>0.76822100000000004</v>
      </c>
      <c r="AZ1091">
        <v>56.252636000000003</v>
      </c>
      <c r="BA1091">
        <v>100</v>
      </c>
      <c r="BB1091" t="s">
        <v>125</v>
      </c>
      <c r="BC1091" t="s">
        <v>125</v>
      </c>
      <c r="BD1091" t="s">
        <v>125</v>
      </c>
      <c r="BE1091" t="s">
        <v>125</v>
      </c>
      <c r="BF1091" t="s">
        <v>125</v>
      </c>
      <c r="BG1091" t="s">
        <v>125</v>
      </c>
      <c r="BH1091">
        <v>1</v>
      </c>
      <c r="BI1091">
        <v>0.98333300000000001</v>
      </c>
      <c r="BJ1091">
        <v>0.93827199999999999</v>
      </c>
      <c r="BK1091">
        <v>0.99641599999999997</v>
      </c>
      <c r="BL1091">
        <v>0.98611099999999996</v>
      </c>
      <c r="BM1091">
        <v>0.93827199999999999</v>
      </c>
      <c r="BN1091">
        <v>1</v>
      </c>
      <c r="BO1091">
        <v>0.98314599999999996</v>
      </c>
      <c r="BP1091">
        <v>0.92857100000000004</v>
      </c>
      <c r="BQ1091">
        <v>1</v>
      </c>
      <c r="BR1091">
        <v>3.0556E-2</v>
      </c>
      <c r="BS1091">
        <v>50</v>
      </c>
      <c r="BT1091">
        <v>50</v>
      </c>
      <c r="BU1091">
        <v>9.2105000000000006E-2</v>
      </c>
      <c r="BV1091">
        <v>41.578946999999999</v>
      </c>
      <c r="BW1091">
        <v>50</v>
      </c>
      <c r="BX1091" t="s">
        <v>125</v>
      </c>
      <c r="BY1091" t="s">
        <v>125</v>
      </c>
      <c r="BZ1091" t="s">
        <v>125</v>
      </c>
      <c r="CA1091" t="s">
        <v>125</v>
      </c>
      <c r="CB1091" t="s">
        <v>125</v>
      </c>
      <c r="CC1091" t="s">
        <v>125</v>
      </c>
      <c r="CD1091">
        <v>0.98019800000000001</v>
      </c>
      <c r="CE1091">
        <v>50</v>
      </c>
      <c r="CF1091">
        <v>50</v>
      </c>
      <c r="CG1091" t="s">
        <v>125</v>
      </c>
      <c r="CH1091" t="s">
        <v>125</v>
      </c>
      <c r="CI1091" t="s">
        <v>125</v>
      </c>
      <c r="CJ1091" t="s">
        <v>125</v>
      </c>
      <c r="CK1091" t="s">
        <v>125</v>
      </c>
      <c r="CL1091" t="s">
        <v>125</v>
      </c>
      <c r="CM1091" t="s">
        <v>125</v>
      </c>
      <c r="CN1091" t="s">
        <v>125</v>
      </c>
      <c r="CO1091" t="s">
        <v>125</v>
      </c>
      <c r="CP1091" t="s">
        <v>125</v>
      </c>
      <c r="CQ1091">
        <v>0.75480800000000003</v>
      </c>
      <c r="CR1091">
        <v>1.168539</v>
      </c>
      <c r="CS1091">
        <v>50</v>
      </c>
      <c r="CT1091">
        <v>50</v>
      </c>
      <c r="CU1091" t="s">
        <v>125</v>
      </c>
      <c r="CV1091" t="s">
        <v>125</v>
      </c>
      <c r="CW1091" t="s">
        <v>125</v>
      </c>
      <c r="CX1091" t="s">
        <v>125</v>
      </c>
      <c r="CY1091" t="s">
        <v>125</v>
      </c>
      <c r="CZ1091" t="s">
        <v>125</v>
      </c>
      <c r="DA1091">
        <v>15.314097</v>
      </c>
      <c r="DB1091">
        <v>17.400950000000002</v>
      </c>
      <c r="DC1091">
        <v>16.332519999999999</v>
      </c>
      <c r="DD1091" t="s">
        <v>125</v>
      </c>
      <c r="DE1091">
        <v>1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Q1091" t="s">
        <v>126</v>
      </c>
    </row>
    <row r="1092" spans="1:121" x14ac:dyDescent="0.15">
      <c r="A1092">
        <v>2018</v>
      </c>
      <c r="B1092" t="s">
        <v>245</v>
      </c>
      <c r="C1092" t="str">
        <f>"2050012"</f>
        <v>2050012</v>
      </c>
      <c r="D1092" t="s">
        <v>1235</v>
      </c>
      <c r="E1092" t="str">
        <f>"2056112"</f>
        <v>2056112</v>
      </c>
      <c r="F1092" t="s">
        <v>1230</v>
      </c>
      <c r="G1092">
        <v>9</v>
      </c>
      <c r="H1092">
        <v>12</v>
      </c>
      <c r="I1092" t="s">
        <v>330</v>
      </c>
      <c r="J1092" t="s">
        <v>331</v>
      </c>
      <c r="K1092">
        <v>1262.1794179999999</v>
      </c>
      <c r="L1092">
        <v>1450</v>
      </c>
      <c r="M1092">
        <v>87.046856000000005</v>
      </c>
      <c r="N1092">
        <v>2</v>
      </c>
      <c r="O1092">
        <v>1</v>
      </c>
      <c r="P1092">
        <v>67.310931999999994</v>
      </c>
      <c r="Q1092">
        <v>134.62186399999999</v>
      </c>
      <c r="R1092">
        <v>150</v>
      </c>
      <c r="S1092">
        <v>55.672221999999998</v>
      </c>
      <c r="T1092">
        <v>71.025413999999998</v>
      </c>
      <c r="U1092">
        <v>111.344444</v>
      </c>
      <c r="V1092">
        <v>150</v>
      </c>
      <c r="W1092">
        <v>66.290771000000007</v>
      </c>
      <c r="X1092">
        <v>132.58154099999999</v>
      </c>
      <c r="Y1092">
        <v>150</v>
      </c>
      <c r="Z1092">
        <v>70.199764000000002</v>
      </c>
      <c r="AA1092">
        <v>54.042592999999997</v>
      </c>
      <c r="AB1092">
        <v>108.085185</v>
      </c>
      <c r="AC1092">
        <v>150</v>
      </c>
      <c r="AD1092">
        <v>70.822709000000003</v>
      </c>
      <c r="AE1092">
        <v>94.430278000000001</v>
      </c>
      <c r="AF1092">
        <v>100</v>
      </c>
      <c r="AG1092">
        <v>57.912610999999998</v>
      </c>
      <c r="AH1092">
        <v>75</v>
      </c>
      <c r="AI1092">
        <v>77.216814999999997</v>
      </c>
      <c r="AJ1092">
        <v>100</v>
      </c>
      <c r="AK1092">
        <v>15.35</v>
      </c>
      <c r="AL1092">
        <v>16.149999999999999</v>
      </c>
      <c r="AM1092">
        <v>17.079999999999998</v>
      </c>
      <c r="AN1092" t="s">
        <v>125</v>
      </c>
      <c r="AO1092" t="s">
        <v>125</v>
      </c>
      <c r="AP1092" t="s">
        <v>125</v>
      </c>
      <c r="AQ1092" t="s">
        <v>125</v>
      </c>
      <c r="AR1092" t="s">
        <v>125</v>
      </c>
      <c r="AS1092" t="s">
        <v>125</v>
      </c>
      <c r="AT1092" t="s">
        <v>125</v>
      </c>
      <c r="AU1092" t="s">
        <v>125</v>
      </c>
      <c r="AV1092" t="s">
        <v>125</v>
      </c>
      <c r="AW1092" t="s">
        <v>125</v>
      </c>
      <c r="AX1092" t="s">
        <v>125</v>
      </c>
      <c r="AY1092" t="s">
        <v>125</v>
      </c>
      <c r="AZ1092" t="s">
        <v>125</v>
      </c>
      <c r="BA1092" t="s">
        <v>125</v>
      </c>
      <c r="BB1092" t="s">
        <v>125</v>
      </c>
      <c r="BC1092" t="s">
        <v>125</v>
      </c>
      <c r="BD1092" t="s">
        <v>125</v>
      </c>
      <c r="BE1092" t="s">
        <v>125</v>
      </c>
      <c r="BF1092" t="s">
        <v>125</v>
      </c>
      <c r="BG1092" t="s">
        <v>125</v>
      </c>
      <c r="BH1092">
        <v>0</v>
      </c>
      <c r="BI1092">
        <v>0.99468100000000004</v>
      </c>
      <c r="BJ1092">
        <v>0.98912999999999995</v>
      </c>
      <c r="BK1092">
        <v>0.996479</v>
      </c>
      <c r="BL1092">
        <v>0.99468100000000004</v>
      </c>
      <c r="BM1092">
        <v>0.98912999999999995</v>
      </c>
      <c r="BN1092">
        <v>0.996479</v>
      </c>
      <c r="BO1092">
        <v>0.99733300000000003</v>
      </c>
      <c r="BP1092">
        <v>1</v>
      </c>
      <c r="BQ1092">
        <v>0.99646599999999996</v>
      </c>
      <c r="BR1092">
        <v>6.1404E-2</v>
      </c>
      <c r="BS1092">
        <v>47.719298000000002</v>
      </c>
      <c r="BT1092">
        <v>50</v>
      </c>
      <c r="BU1092">
        <v>0.13069900000000001</v>
      </c>
      <c r="BV1092">
        <v>33.860182000000002</v>
      </c>
      <c r="BW1092">
        <v>50</v>
      </c>
      <c r="BX1092">
        <v>0.63474699999999995</v>
      </c>
      <c r="BY1092">
        <v>42.316460999999997</v>
      </c>
      <c r="BZ1092">
        <v>50</v>
      </c>
      <c r="CA1092">
        <v>0.68673099999999998</v>
      </c>
      <c r="CB1092">
        <v>45.782034000000003</v>
      </c>
      <c r="CC1092">
        <v>50</v>
      </c>
      <c r="CD1092">
        <v>0.98425200000000002</v>
      </c>
      <c r="CE1092">
        <v>50</v>
      </c>
      <c r="CF1092">
        <v>50</v>
      </c>
      <c r="CG1092">
        <v>0.98305100000000001</v>
      </c>
      <c r="CH1092">
        <v>100</v>
      </c>
      <c r="CI1092">
        <v>100</v>
      </c>
      <c r="CJ1092">
        <v>0</v>
      </c>
      <c r="CK1092">
        <v>0.86486499999999999</v>
      </c>
      <c r="CL1092">
        <v>92.006900999999999</v>
      </c>
      <c r="CM1092">
        <v>100</v>
      </c>
      <c r="CN1092">
        <v>0.87679099999999999</v>
      </c>
      <c r="CO1092">
        <v>100</v>
      </c>
      <c r="CP1092">
        <v>100</v>
      </c>
      <c r="CQ1092">
        <v>0.637602</v>
      </c>
      <c r="CR1092">
        <v>0.991892</v>
      </c>
      <c r="CS1092">
        <v>42.506811999999996</v>
      </c>
      <c r="CT1092">
        <v>50</v>
      </c>
      <c r="CU1092">
        <v>0.59649099999999999</v>
      </c>
      <c r="CV1092">
        <v>49.707602000000001</v>
      </c>
      <c r="CW1092">
        <v>50</v>
      </c>
      <c r="CX1092">
        <v>0.86486499999999999</v>
      </c>
      <c r="CY1092">
        <v>0.94</v>
      </c>
      <c r="CZ1092">
        <v>7.5134999999999993E-2</v>
      </c>
      <c r="DA1092">
        <v>15.314097</v>
      </c>
      <c r="DB1092">
        <v>17.400950000000002</v>
      </c>
      <c r="DC1092">
        <v>16.332519999999999</v>
      </c>
      <c r="DD1092">
        <v>7.9891730000000001</v>
      </c>
      <c r="DE1092">
        <v>1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Q1092" t="s">
        <v>126</v>
      </c>
    </row>
    <row r="1093" spans="1:121" x14ac:dyDescent="0.15">
      <c r="A1093">
        <v>2018</v>
      </c>
      <c r="B1093" t="s">
        <v>195</v>
      </c>
      <c r="C1093" t="str">
        <f>"2060012"</f>
        <v>2060012</v>
      </c>
      <c r="D1093" t="s">
        <v>1236</v>
      </c>
      <c r="E1093" t="str">
        <f>"2060112"</f>
        <v>2060112</v>
      </c>
      <c r="F1093" t="s">
        <v>1230</v>
      </c>
      <c r="G1093" t="s">
        <v>329</v>
      </c>
      <c r="H1093">
        <v>6</v>
      </c>
      <c r="J1093" t="s">
        <v>331</v>
      </c>
      <c r="K1093">
        <v>583.99295700000005</v>
      </c>
      <c r="L1093">
        <v>750</v>
      </c>
      <c r="M1093">
        <v>77.865728000000004</v>
      </c>
      <c r="N1093">
        <v>2</v>
      </c>
      <c r="O1093">
        <v>0</v>
      </c>
      <c r="P1093">
        <v>83.989001000000002</v>
      </c>
      <c r="Q1093">
        <v>50</v>
      </c>
      <c r="R1093">
        <v>50</v>
      </c>
      <c r="S1093">
        <v>69.541076000000004</v>
      </c>
      <c r="T1093">
        <v>75</v>
      </c>
      <c r="U1093">
        <v>46.360717999999999</v>
      </c>
      <c r="V1093">
        <v>50</v>
      </c>
      <c r="W1093">
        <v>78.863643999999994</v>
      </c>
      <c r="X1093">
        <v>50</v>
      </c>
      <c r="Y1093">
        <v>50</v>
      </c>
      <c r="Z1093">
        <v>75</v>
      </c>
      <c r="AA1093">
        <v>65.860033999999999</v>
      </c>
      <c r="AB1093">
        <v>43.906689</v>
      </c>
      <c r="AC1093">
        <v>50</v>
      </c>
      <c r="AD1093" t="s">
        <v>125</v>
      </c>
      <c r="AE1093" t="s">
        <v>125</v>
      </c>
      <c r="AF1093" t="s">
        <v>125</v>
      </c>
      <c r="AG1093" t="s">
        <v>125</v>
      </c>
      <c r="AH1093" t="s">
        <v>125</v>
      </c>
      <c r="AI1093" t="s">
        <v>125</v>
      </c>
      <c r="AJ1093" t="s">
        <v>125</v>
      </c>
      <c r="AK1093">
        <v>5.45</v>
      </c>
      <c r="AL1093">
        <v>9.1300000000000008</v>
      </c>
      <c r="AM1093" t="s">
        <v>125</v>
      </c>
      <c r="AN1093">
        <v>0.63966199999999995</v>
      </c>
      <c r="AO1093">
        <v>63.966234999999998</v>
      </c>
      <c r="AP1093">
        <v>100</v>
      </c>
      <c r="AQ1093">
        <v>0.70824600000000004</v>
      </c>
      <c r="AR1093">
        <v>70.824582000000007</v>
      </c>
      <c r="AS1093">
        <v>100</v>
      </c>
      <c r="AT1093">
        <v>0.56750299999999998</v>
      </c>
      <c r="AU1093">
        <v>0.68230199999999996</v>
      </c>
      <c r="AV1093">
        <v>56.750320000000002</v>
      </c>
      <c r="AW1093">
        <v>100</v>
      </c>
      <c r="AX1093">
        <v>0.58851100000000001</v>
      </c>
      <c r="AY1093">
        <v>0.77899799999999997</v>
      </c>
      <c r="AZ1093">
        <v>58.851078999999999</v>
      </c>
      <c r="BA1093">
        <v>100</v>
      </c>
      <c r="BB1093" t="s">
        <v>125</v>
      </c>
      <c r="BC1093" t="s">
        <v>125</v>
      </c>
      <c r="BD1093" t="s">
        <v>125</v>
      </c>
      <c r="BE1093" t="s">
        <v>125</v>
      </c>
      <c r="BF1093" t="s">
        <v>125</v>
      </c>
      <c r="BG1093" t="s">
        <v>125</v>
      </c>
      <c r="BH1093">
        <v>0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 t="s">
        <v>125</v>
      </c>
      <c r="BP1093" t="s">
        <v>125</v>
      </c>
      <c r="BQ1093" t="s">
        <v>125</v>
      </c>
      <c r="BR1093">
        <v>4.1916000000000002E-2</v>
      </c>
      <c r="BS1093">
        <v>50</v>
      </c>
      <c r="BT1093">
        <v>50</v>
      </c>
      <c r="BU1093">
        <v>8.3333000000000004E-2</v>
      </c>
      <c r="BV1093">
        <v>43.333333000000003</v>
      </c>
      <c r="BW1093">
        <v>50</v>
      </c>
      <c r="BX1093" t="s">
        <v>125</v>
      </c>
      <c r="BY1093" t="s">
        <v>125</v>
      </c>
      <c r="BZ1093" t="s">
        <v>125</v>
      </c>
      <c r="CA1093" t="s">
        <v>125</v>
      </c>
      <c r="CB1093" t="s">
        <v>125</v>
      </c>
      <c r="CC1093" t="s">
        <v>125</v>
      </c>
      <c r="CD1093" t="s">
        <v>125</v>
      </c>
      <c r="CE1093" t="s">
        <v>125</v>
      </c>
      <c r="CF1093" t="s">
        <v>125</v>
      </c>
      <c r="CG1093" t="s">
        <v>125</v>
      </c>
      <c r="CH1093" t="s">
        <v>125</v>
      </c>
      <c r="CI1093" t="s">
        <v>125</v>
      </c>
      <c r="CJ1093" t="s">
        <v>125</v>
      </c>
      <c r="CK1093" t="s">
        <v>125</v>
      </c>
      <c r="CL1093" t="s">
        <v>125</v>
      </c>
      <c r="CM1093" t="s">
        <v>125</v>
      </c>
      <c r="CN1093" t="s">
        <v>125</v>
      </c>
      <c r="CO1093" t="s">
        <v>125</v>
      </c>
      <c r="CP1093" t="s">
        <v>125</v>
      </c>
      <c r="CQ1093">
        <v>0.94444399999999995</v>
      </c>
      <c r="CR1093">
        <v>0.93103400000000003</v>
      </c>
      <c r="CS1093">
        <v>50</v>
      </c>
      <c r="CT1093">
        <v>50</v>
      </c>
      <c r="CU1093" t="s">
        <v>125</v>
      </c>
      <c r="CV1093" t="s">
        <v>125</v>
      </c>
      <c r="CW1093" t="s">
        <v>125</v>
      </c>
      <c r="CX1093" t="s">
        <v>125</v>
      </c>
      <c r="CY1093" t="s">
        <v>125</v>
      </c>
      <c r="CZ1093" t="s">
        <v>125</v>
      </c>
      <c r="DA1093">
        <v>15.314097</v>
      </c>
      <c r="DB1093">
        <v>17.400950000000002</v>
      </c>
      <c r="DC1093">
        <v>16.332519999999999</v>
      </c>
      <c r="DD1093" t="s">
        <v>125</v>
      </c>
      <c r="DE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Q1093" t="s">
        <v>126</v>
      </c>
    </row>
    <row r="1094" spans="1:121" x14ac:dyDescent="0.15">
      <c r="A1094">
        <v>2018</v>
      </c>
      <c r="B1094" t="s">
        <v>195</v>
      </c>
      <c r="C1094" t="str">
        <f>"2060012"</f>
        <v>2060012</v>
      </c>
      <c r="D1094" t="s">
        <v>1237</v>
      </c>
      <c r="E1094" t="str">
        <f>"2060212"</f>
        <v>2060212</v>
      </c>
      <c r="F1094" t="s">
        <v>1230</v>
      </c>
      <c r="G1094" t="s">
        <v>329</v>
      </c>
      <c r="H1094">
        <v>6</v>
      </c>
      <c r="I1094" t="s">
        <v>330</v>
      </c>
      <c r="J1094" t="s">
        <v>331</v>
      </c>
      <c r="K1094">
        <v>488.45698099999998</v>
      </c>
      <c r="L1094">
        <v>550</v>
      </c>
      <c r="M1094">
        <v>88.810360000000003</v>
      </c>
      <c r="N1094">
        <v>2</v>
      </c>
      <c r="O1094">
        <v>1</v>
      </c>
      <c r="P1094">
        <v>75.426483000000005</v>
      </c>
      <c r="Q1094">
        <v>50</v>
      </c>
      <c r="R1094">
        <v>50</v>
      </c>
      <c r="S1094">
        <v>59.164203999999998</v>
      </c>
      <c r="T1094">
        <v>75</v>
      </c>
      <c r="U1094">
        <v>39.442802999999998</v>
      </c>
      <c r="V1094">
        <v>50</v>
      </c>
      <c r="W1094">
        <v>71.406699000000003</v>
      </c>
      <c r="X1094">
        <v>47.604466000000002</v>
      </c>
      <c r="Y1094">
        <v>50</v>
      </c>
      <c r="Z1094">
        <v>75</v>
      </c>
      <c r="AA1094">
        <v>55.753070999999998</v>
      </c>
      <c r="AB1094">
        <v>37.168714000000001</v>
      </c>
      <c r="AC1094">
        <v>50</v>
      </c>
      <c r="AD1094" t="s">
        <v>125</v>
      </c>
      <c r="AE1094" t="s">
        <v>125</v>
      </c>
      <c r="AF1094" t="s">
        <v>125</v>
      </c>
      <c r="AG1094" t="s">
        <v>125</v>
      </c>
      <c r="AH1094" t="s">
        <v>125</v>
      </c>
      <c r="AI1094" t="s">
        <v>125</v>
      </c>
      <c r="AJ1094" t="s">
        <v>125</v>
      </c>
      <c r="AK1094">
        <v>15.83</v>
      </c>
      <c r="AL1094">
        <v>19.239999999999998</v>
      </c>
      <c r="AM1094" t="s">
        <v>125</v>
      </c>
      <c r="AN1094">
        <v>0.70380200000000004</v>
      </c>
      <c r="AO1094">
        <v>70.380242999999993</v>
      </c>
      <c r="AP1094">
        <v>100</v>
      </c>
      <c r="AQ1094">
        <v>0.938608</v>
      </c>
      <c r="AR1094">
        <v>93.860754999999997</v>
      </c>
      <c r="AS1094">
        <v>100</v>
      </c>
      <c r="AT1094" t="s">
        <v>125</v>
      </c>
      <c r="AU1094">
        <v>0.761208</v>
      </c>
      <c r="AV1094" t="s">
        <v>125</v>
      </c>
      <c r="AW1094" t="s">
        <v>125</v>
      </c>
      <c r="AX1094" t="s">
        <v>125</v>
      </c>
      <c r="AY1094">
        <v>0.96599699999999999</v>
      </c>
      <c r="AZ1094" t="s">
        <v>125</v>
      </c>
      <c r="BA1094" t="s">
        <v>125</v>
      </c>
      <c r="BB1094" t="s">
        <v>125</v>
      </c>
      <c r="BC1094" t="s">
        <v>125</v>
      </c>
      <c r="BD1094" t="s">
        <v>125</v>
      </c>
      <c r="BE1094" t="s">
        <v>125</v>
      </c>
      <c r="BF1094" t="s">
        <v>125</v>
      </c>
      <c r="BG1094" t="s">
        <v>125</v>
      </c>
      <c r="BH1094">
        <v>0</v>
      </c>
      <c r="BI1094">
        <v>0.98412699999999997</v>
      </c>
      <c r="BJ1094">
        <v>1</v>
      </c>
      <c r="BK1094">
        <v>0.97368399999999999</v>
      </c>
      <c r="BL1094">
        <v>0.98412699999999997</v>
      </c>
      <c r="BM1094">
        <v>1</v>
      </c>
      <c r="BN1094">
        <v>0.97368399999999999</v>
      </c>
      <c r="BO1094" t="s">
        <v>125</v>
      </c>
      <c r="BP1094" t="s">
        <v>125</v>
      </c>
      <c r="BQ1094" t="s">
        <v>125</v>
      </c>
      <c r="BR1094">
        <v>1.8867999999999999E-2</v>
      </c>
      <c r="BS1094">
        <v>50</v>
      </c>
      <c r="BT1094">
        <v>50</v>
      </c>
      <c r="BU1094">
        <v>2.7778000000000001E-2</v>
      </c>
      <c r="BV1094">
        <v>50</v>
      </c>
      <c r="BW1094">
        <v>50</v>
      </c>
      <c r="BX1094" t="s">
        <v>125</v>
      </c>
      <c r="BY1094" t="s">
        <v>125</v>
      </c>
      <c r="BZ1094" t="s">
        <v>125</v>
      </c>
      <c r="CA1094" t="s">
        <v>125</v>
      </c>
      <c r="CB1094" t="s">
        <v>125</v>
      </c>
      <c r="CC1094" t="s">
        <v>125</v>
      </c>
      <c r="CD1094" t="s">
        <v>125</v>
      </c>
      <c r="CE1094" t="s">
        <v>125</v>
      </c>
      <c r="CF1094" t="s">
        <v>125</v>
      </c>
      <c r="CG1094" t="s">
        <v>125</v>
      </c>
      <c r="CH1094" t="s">
        <v>125</v>
      </c>
      <c r="CI1094" t="s">
        <v>125</v>
      </c>
      <c r="CJ1094" t="s">
        <v>125</v>
      </c>
      <c r="CK1094" t="s">
        <v>125</v>
      </c>
      <c r="CL1094" t="s">
        <v>125</v>
      </c>
      <c r="CM1094" t="s">
        <v>125</v>
      </c>
      <c r="CN1094" t="s">
        <v>125</v>
      </c>
      <c r="CO1094" t="s">
        <v>125</v>
      </c>
      <c r="CP1094" t="s">
        <v>125</v>
      </c>
      <c r="CQ1094">
        <v>0.94117600000000001</v>
      </c>
      <c r="CR1094">
        <v>1</v>
      </c>
      <c r="CS1094">
        <v>50</v>
      </c>
      <c r="CT1094">
        <v>50</v>
      </c>
      <c r="CU1094" t="s">
        <v>125</v>
      </c>
      <c r="CV1094" t="s">
        <v>125</v>
      </c>
      <c r="CW1094" t="s">
        <v>125</v>
      </c>
      <c r="CX1094" t="s">
        <v>125</v>
      </c>
      <c r="CY1094" t="s">
        <v>125</v>
      </c>
      <c r="CZ1094" t="s">
        <v>125</v>
      </c>
      <c r="DA1094">
        <v>15.314097</v>
      </c>
      <c r="DB1094">
        <v>17.400950000000002</v>
      </c>
      <c r="DC1094">
        <v>16.332519999999999</v>
      </c>
      <c r="DD1094" t="s">
        <v>125</v>
      </c>
      <c r="DE1094">
        <v>1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Q1094" t="s">
        <v>126</v>
      </c>
    </row>
    <row r="1095" spans="1:121" x14ac:dyDescent="0.15">
      <c r="A1095">
        <v>2018</v>
      </c>
      <c r="B1095" t="s">
        <v>195</v>
      </c>
      <c r="C1095" t="str">
        <f>"2060012"</f>
        <v>2060012</v>
      </c>
      <c r="D1095" t="s">
        <v>1238</v>
      </c>
      <c r="E1095" t="str">
        <f>"2066112"</f>
        <v>2066112</v>
      </c>
      <c r="F1095" t="s">
        <v>1230</v>
      </c>
      <c r="G1095">
        <v>7</v>
      </c>
      <c r="H1095">
        <v>12</v>
      </c>
      <c r="I1095" t="s">
        <v>330</v>
      </c>
      <c r="J1095" t="s">
        <v>331</v>
      </c>
      <c r="K1095">
        <v>1006.8388220000001</v>
      </c>
      <c r="L1095">
        <v>1350</v>
      </c>
      <c r="M1095">
        <v>74.580653999999996</v>
      </c>
      <c r="N1095">
        <v>2</v>
      </c>
      <c r="O1095">
        <v>0</v>
      </c>
      <c r="P1095">
        <v>69.074791000000005</v>
      </c>
      <c r="Q1095">
        <v>46.049861</v>
      </c>
      <c r="R1095">
        <v>50</v>
      </c>
      <c r="S1095">
        <v>61.976667999999997</v>
      </c>
      <c r="T1095">
        <v>71.801221999999996</v>
      </c>
      <c r="U1095">
        <v>41.317779000000002</v>
      </c>
      <c r="V1095">
        <v>50</v>
      </c>
      <c r="W1095">
        <v>62.444431999999999</v>
      </c>
      <c r="X1095">
        <v>41.629621</v>
      </c>
      <c r="Y1095">
        <v>50</v>
      </c>
      <c r="Z1095">
        <v>65.685016000000005</v>
      </c>
      <c r="AA1095">
        <v>54.007739000000001</v>
      </c>
      <c r="AB1095">
        <v>36.005158999999999</v>
      </c>
      <c r="AC1095">
        <v>50</v>
      </c>
      <c r="AD1095">
        <v>64.786439999999999</v>
      </c>
      <c r="AE1095">
        <v>43.190959999999997</v>
      </c>
      <c r="AF1095">
        <v>50</v>
      </c>
      <c r="AG1095">
        <v>58.123930000000001</v>
      </c>
      <c r="AH1095">
        <v>67.204286999999994</v>
      </c>
      <c r="AI1095">
        <v>38.749287000000002</v>
      </c>
      <c r="AJ1095">
        <v>50</v>
      </c>
      <c r="AK1095">
        <v>9.82</v>
      </c>
      <c r="AL1095">
        <v>11.67</v>
      </c>
      <c r="AM1095">
        <v>9.08</v>
      </c>
      <c r="AN1095">
        <v>0.53095499999999995</v>
      </c>
      <c r="AO1095">
        <v>53.095543999999997</v>
      </c>
      <c r="AP1095">
        <v>100</v>
      </c>
      <c r="AQ1095">
        <v>0.64916399999999996</v>
      </c>
      <c r="AR1095">
        <v>64.916359999999997</v>
      </c>
      <c r="AS1095">
        <v>100</v>
      </c>
      <c r="AT1095">
        <v>0.49898799999999999</v>
      </c>
      <c r="AU1095">
        <v>0.54567100000000002</v>
      </c>
      <c r="AV1095">
        <v>49.898764999999997</v>
      </c>
      <c r="AW1095">
        <v>100</v>
      </c>
      <c r="AX1095">
        <v>0.56816999999999995</v>
      </c>
      <c r="AY1095">
        <v>0.68704799999999999</v>
      </c>
      <c r="AZ1095">
        <v>56.816996000000003</v>
      </c>
      <c r="BA1095">
        <v>100</v>
      </c>
      <c r="BB1095" t="s">
        <v>125</v>
      </c>
      <c r="BC1095" t="s">
        <v>125</v>
      </c>
      <c r="BD1095" t="s">
        <v>125</v>
      </c>
      <c r="BE1095" t="s">
        <v>125</v>
      </c>
      <c r="BF1095" t="s">
        <v>125</v>
      </c>
      <c r="BG1095" t="s">
        <v>125</v>
      </c>
      <c r="BH1095">
        <v>0</v>
      </c>
      <c r="BI1095">
        <v>0.99528300000000003</v>
      </c>
      <c r="BJ1095">
        <v>0.98333300000000001</v>
      </c>
      <c r="BK1095">
        <v>1</v>
      </c>
      <c r="BL1095">
        <v>0.99528300000000003</v>
      </c>
      <c r="BM1095">
        <v>0.98333300000000001</v>
      </c>
      <c r="BN1095">
        <v>1</v>
      </c>
      <c r="BO1095">
        <v>0.99415200000000004</v>
      </c>
      <c r="BP1095">
        <v>0.97826100000000005</v>
      </c>
      <c r="BQ1095">
        <v>1</v>
      </c>
      <c r="BR1095">
        <v>8.5149000000000002E-2</v>
      </c>
      <c r="BS1095">
        <v>42.970297000000002</v>
      </c>
      <c r="BT1095">
        <v>50</v>
      </c>
      <c r="BU1095">
        <v>0.14965999999999999</v>
      </c>
      <c r="BV1095">
        <v>30.068027000000001</v>
      </c>
      <c r="BW1095">
        <v>50</v>
      </c>
      <c r="BX1095">
        <v>0.975248</v>
      </c>
      <c r="BY1095">
        <v>50</v>
      </c>
      <c r="BZ1095">
        <v>50</v>
      </c>
      <c r="CA1095">
        <v>0.37623800000000002</v>
      </c>
      <c r="CB1095">
        <v>25.082508000000001</v>
      </c>
      <c r="CC1095">
        <v>50</v>
      </c>
      <c r="CD1095">
        <v>0.973333</v>
      </c>
      <c r="CE1095">
        <v>50</v>
      </c>
      <c r="CF1095">
        <v>50</v>
      </c>
      <c r="CG1095">
        <v>0.97222200000000003</v>
      </c>
      <c r="CH1095">
        <v>100</v>
      </c>
      <c r="CI1095">
        <v>100</v>
      </c>
      <c r="CJ1095">
        <v>0</v>
      </c>
      <c r="CK1095">
        <v>0.93548399999999998</v>
      </c>
      <c r="CL1095">
        <v>99.519560999999996</v>
      </c>
      <c r="CM1095">
        <v>100</v>
      </c>
      <c r="CN1095">
        <v>0.67618999999999996</v>
      </c>
      <c r="CO1095">
        <v>90.158730000000006</v>
      </c>
      <c r="CP1095">
        <v>100</v>
      </c>
      <c r="CQ1095">
        <v>0.39130399999999999</v>
      </c>
      <c r="CR1095">
        <v>0.86792499999999995</v>
      </c>
      <c r="CS1095">
        <v>13.043478</v>
      </c>
      <c r="CT1095">
        <v>50</v>
      </c>
      <c r="CU1095">
        <v>0.41191100000000003</v>
      </c>
      <c r="CV1095">
        <v>34.325888999999997</v>
      </c>
      <c r="CW1095">
        <v>50</v>
      </c>
      <c r="CX1095">
        <v>0.93548399999999998</v>
      </c>
      <c r="CY1095">
        <v>0.94</v>
      </c>
      <c r="CZ1095">
        <v>4.516E-3</v>
      </c>
      <c r="DA1095">
        <v>15.314097</v>
      </c>
      <c r="DB1095">
        <v>17.400950000000002</v>
      </c>
      <c r="DC1095">
        <v>16.332519999999999</v>
      </c>
      <c r="DD1095">
        <v>7.9891730000000001</v>
      </c>
      <c r="DE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Q1095" t="s">
        <v>126</v>
      </c>
    </row>
    <row r="1096" spans="1:121" x14ac:dyDescent="0.15">
      <c r="A1096">
        <v>2018</v>
      </c>
      <c r="B1096" t="s">
        <v>195</v>
      </c>
      <c r="C1096" t="str">
        <f>"2060012"</f>
        <v>2060012</v>
      </c>
      <c r="D1096" t="s">
        <v>1239</v>
      </c>
      <c r="E1096" t="str">
        <f>"2060312"</f>
        <v>2060312</v>
      </c>
      <c r="F1096" t="s">
        <v>1230</v>
      </c>
      <c r="G1096" t="s">
        <v>329</v>
      </c>
      <c r="H1096">
        <v>6</v>
      </c>
      <c r="J1096" t="s">
        <v>331</v>
      </c>
      <c r="K1096">
        <v>235.47114099999999</v>
      </c>
      <c r="L1096">
        <v>350</v>
      </c>
      <c r="M1096">
        <v>67.277468999999996</v>
      </c>
      <c r="N1096">
        <v>3</v>
      </c>
      <c r="O1096">
        <v>0</v>
      </c>
      <c r="P1096">
        <v>77.281816000000006</v>
      </c>
      <c r="Q1096">
        <v>50</v>
      </c>
      <c r="R1096">
        <v>50</v>
      </c>
      <c r="S1096" t="s">
        <v>125</v>
      </c>
      <c r="T1096">
        <v>75</v>
      </c>
      <c r="U1096" t="s">
        <v>125</v>
      </c>
      <c r="V1096" t="s">
        <v>125</v>
      </c>
      <c r="W1096">
        <v>69.585083999999995</v>
      </c>
      <c r="X1096">
        <v>46.390056000000001</v>
      </c>
      <c r="Y1096">
        <v>50</v>
      </c>
      <c r="Z1096">
        <v>73.792242000000002</v>
      </c>
      <c r="AA1096" t="s">
        <v>125</v>
      </c>
      <c r="AB1096" t="s">
        <v>125</v>
      </c>
      <c r="AC1096" t="s">
        <v>125</v>
      </c>
      <c r="AD1096" t="s">
        <v>125</v>
      </c>
      <c r="AE1096" t="s">
        <v>125</v>
      </c>
      <c r="AF1096" t="s">
        <v>125</v>
      </c>
      <c r="AG1096" t="s">
        <v>125</v>
      </c>
      <c r="AH1096" t="s">
        <v>125</v>
      </c>
      <c r="AI1096" t="s">
        <v>125</v>
      </c>
      <c r="AJ1096" t="s">
        <v>125</v>
      </c>
      <c r="AK1096" t="s">
        <v>125</v>
      </c>
      <c r="AL1096" t="s">
        <v>125</v>
      </c>
      <c r="AM1096" t="s">
        <v>125</v>
      </c>
      <c r="AN1096">
        <v>0.510791</v>
      </c>
      <c r="AO1096">
        <v>51.07911</v>
      </c>
      <c r="AP1096">
        <v>100</v>
      </c>
      <c r="AQ1096">
        <v>0.45393299999999998</v>
      </c>
      <c r="AR1096">
        <v>45.393279</v>
      </c>
      <c r="AS1096">
        <v>100</v>
      </c>
      <c r="AT1096" t="s">
        <v>125</v>
      </c>
      <c r="AU1096">
        <v>0.51239000000000001</v>
      </c>
      <c r="AV1096" t="s">
        <v>125</v>
      </c>
      <c r="AW1096" t="s">
        <v>125</v>
      </c>
      <c r="AX1096" t="s">
        <v>125</v>
      </c>
      <c r="AY1096">
        <v>0.51520999999999995</v>
      </c>
      <c r="AZ1096" t="s">
        <v>125</v>
      </c>
      <c r="BA1096" t="s">
        <v>125</v>
      </c>
      <c r="BB1096" t="s">
        <v>125</v>
      </c>
      <c r="BC1096" t="s">
        <v>125</v>
      </c>
      <c r="BD1096" t="s">
        <v>125</v>
      </c>
      <c r="BE1096" t="s">
        <v>125</v>
      </c>
      <c r="BF1096" t="s">
        <v>125</v>
      </c>
      <c r="BG1096" t="s">
        <v>125</v>
      </c>
      <c r="BH1096">
        <v>0</v>
      </c>
      <c r="BI1096">
        <v>1</v>
      </c>
      <c r="BJ1096" t="s">
        <v>125</v>
      </c>
      <c r="BK1096">
        <v>1</v>
      </c>
      <c r="BL1096">
        <v>1</v>
      </c>
      <c r="BM1096" t="s">
        <v>125</v>
      </c>
      <c r="BN1096">
        <v>1</v>
      </c>
      <c r="BO1096" t="s">
        <v>125</v>
      </c>
      <c r="BP1096" t="s">
        <v>125</v>
      </c>
      <c r="BQ1096" t="s">
        <v>125</v>
      </c>
      <c r="BR1096">
        <v>8.6957000000000007E-2</v>
      </c>
      <c r="BS1096">
        <v>42.608696000000002</v>
      </c>
      <c r="BT1096">
        <v>50</v>
      </c>
      <c r="BU1096" t="s">
        <v>125</v>
      </c>
      <c r="BV1096" t="s">
        <v>125</v>
      </c>
      <c r="BW1096" t="s">
        <v>125</v>
      </c>
      <c r="BX1096" t="s">
        <v>125</v>
      </c>
      <c r="BY1096" t="s">
        <v>125</v>
      </c>
      <c r="BZ1096" t="s">
        <v>125</v>
      </c>
      <c r="CA1096" t="s">
        <v>125</v>
      </c>
      <c r="CB1096" t="s">
        <v>125</v>
      </c>
      <c r="CC1096" t="s">
        <v>125</v>
      </c>
      <c r="CD1096" t="s">
        <v>125</v>
      </c>
      <c r="CE1096" t="s">
        <v>125</v>
      </c>
      <c r="CF1096" t="s">
        <v>125</v>
      </c>
      <c r="CG1096" t="s">
        <v>125</v>
      </c>
      <c r="CH1096" t="s">
        <v>125</v>
      </c>
      <c r="CI1096" t="s">
        <v>125</v>
      </c>
      <c r="CJ1096" t="s">
        <v>125</v>
      </c>
      <c r="CK1096" t="s">
        <v>125</v>
      </c>
      <c r="CL1096" t="s">
        <v>125</v>
      </c>
      <c r="CM1096" t="s">
        <v>125</v>
      </c>
      <c r="CN1096" t="s">
        <v>125</v>
      </c>
      <c r="CO1096" t="s">
        <v>125</v>
      </c>
      <c r="CP1096" t="s">
        <v>125</v>
      </c>
      <c r="CQ1096" t="s">
        <v>125</v>
      </c>
      <c r="CR1096" t="s">
        <v>125</v>
      </c>
      <c r="CS1096" t="s">
        <v>125</v>
      </c>
      <c r="CT1096" t="s">
        <v>125</v>
      </c>
      <c r="CU1096" t="s">
        <v>125</v>
      </c>
      <c r="CV1096" t="s">
        <v>125</v>
      </c>
      <c r="CW1096" t="s">
        <v>125</v>
      </c>
      <c r="CX1096" t="s">
        <v>125</v>
      </c>
      <c r="CY1096" t="s">
        <v>125</v>
      </c>
      <c r="CZ1096" t="s">
        <v>125</v>
      </c>
      <c r="DA1096">
        <v>15.314097</v>
      </c>
      <c r="DB1096">
        <v>17.400950000000002</v>
      </c>
      <c r="DC1096">
        <v>16.332519999999999</v>
      </c>
      <c r="DD1096" t="s">
        <v>125</v>
      </c>
      <c r="DE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Q1096" t="s">
        <v>126</v>
      </c>
    </row>
    <row r="1097" spans="1:121" x14ac:dyDescent="0.15">
      <c r="A1097">
        <v>2018</v>
      </c>
      <c r="B1097" t="s">
        <v>178</v>
      </c>
      <c r="C1097" t="str">
        <f>"2070012"</f>
        <v>2070012</v>
      </c>
      <c r="D1097" t="s">
        <v>1240</v>
      </c>
      <c r="E1097" t="str">
        <f>"2076112"</f>
        <v>2076112</v>
      </c>
      <c r="F1097" t="s">
        <v>1230</v>
      </c>
      <c r="G1097">
        <v>9</v>
      </c>
      <c r="H1097">
        <v>12</v>
      </c>
      <c r="I1097" t="s">
        <v>330</v>
      </c>
      <c r="J1097" t="s">
        <v>331</v>
      </c>
      <c r="K1097">
        <v>1317.44372</v>
      </c>
      <c r="L1097">
        <v>1450</v>
      </c>
      <c r="M1097">
        <v>90.858187999999998</v>
      </c>
      <c r="N1097">
        <v>1</v>
      </c>
      <c r="O1097">
        <v>0</v>
      </c>
      <c r="P1097">
        <v>65.417219000000003</v>
      </c>
      <c r="Q1097">
        <v>130.83443700000001</v>
      </c>
      <c r="R1097">
        <v>150</v>
      </c>
      <c r="S1097">
        <v>59.794871999999998</v>
      </c>
      <c r="T1097">
        <v>66.586667000000006</v>
      </c>
      <c r="U1097">
        <v>119.589744</v>
      </c>
      <c r="V1097">
        <v>150</v>
      </c>
      <c r="W1097">
        <v>67.469094999999996</v>
      </c>
      <c r="X1097">
        <v>134.93818999999999</v>
      </c>
      <c r="Y1097">
        <v>150</v>
      </c>
      <c r="Z1097">
        <v>69.182666999999995</v>
      </c>
      <c r="AA1097">
        <v>59.230769000000002</v>
      </c>
      <c r="AB1097">
        <v>118.461538</v>
      </c>
      <c r="AC1097">
        <v>150</v>
      </c>
      <c r="AD1097">
        <v>66.626154</v>
      </c>
      <c r="AE1097">
        <v>88.834872000000004</v>
      </c>
      <c r="AF1097">
        <v>100</v>
      </c>
      <c r="AG1097">
        <v>64.991123999999999</v>
      </c>
      <c r="AH1097">
        <v>66.968982999999994</v>
      </c>
      <c r="AI1097">
        <v>86.654831999999999</v>
      </c>
      <c r="AJ1097">
        <v>100</v>
      </c>
      <c r="AK1097">
        <v>6.79</v>
      </c>
      <c r="AL1097">
        <v>9.9499999999999993</v>
      </c>
      <c r="AM1097">
        <v>1.97</v>
      </c>
      <c r="AN1097" t="s">
        <v>125</v>
      </c>
      <c r="AO1097" t="s">
        <v>125</v>
      </c>
      <c r="AP1097" t="s">
        <v>125</v>
      </c>
      <c r="AQ1097" t="s">
        <v>125</v>
      </c>
      <c r="AR1097" t="s">
        <v>125</v>
      </c>
      <c r="AS1097" t="s">
        <v>125</v>
      </c>
      <c r="AT1097" t="s">
        <v>125</v>
      </c>
      <c r="AU1097" t="s">
        <v>125</v>
      </c>
      <c r="AV1097" t="s">
        <v>125</v>
      </c>
      <c r="AW1097" t="s">
        <v>125</v>
      </c>
      <c r="AX1097" t="s">
        <v>125</v>
      </c>
      <c r="AY1097" t="s">
        <v>125</v>
      </c>
      <c r="AZ1097" t="s">
        <v>125</v>
      </c>
      <c r="BA1097" t="s">
        <v>125</v>
      </c>
      <c r="BB1097" t="s">
        <v>125</v>
      </c>
      <c r="BC1097" t="s">
        <v>125</v>
      </c>
      <c r="BD1097" t="s">
        <v>125</v>
      </c>
      <c r="BE1097" t="s">
        <v>125</v>
      </c>
      <c r="BF1097" t="s">
        <v>125</v>
      </c>
      <c r="BG1097" t="s">
        <v>125</v>
      </c>
      <c r="BH1097">
        <v>0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0.99337699999999995</v>
      </c>
      <c r="BP1097">
        <v>1</v>
      </c>
      <c r="BQ1097">
        <v>0.99199999999999999</v>
      </c>
      <c r="BR1097">
        <v>5.4733999999999998E-2</v>
      </c>
      <c r="BS1097">
        <v>49.053254000000003</v>
      </c>
      <c r="BT1097">
        <v>50</v>
      </c>
      <c r="BU1097">
        <v>8.9552000000000007E-2</v>
      </c>
      <c r="BV1097">
        <v>42.089551999999998</v>
      </c>
      <c r="BW1097">
        <v>50</v>
      </c>
      <c r="BX1097">
        <v>0.99085400000000001</v>
      </c>
      <c r="BY1097">
        <v>50</v>
      </c>
      <c r="BZ1097">
        <v>50</v>
      </c>
      <c r="CA1097">
        <v>0.72256100000000001</v>
      </c>
      <c r="CB1097">
        <v>48.170732000000001</v>
      </c>
      <c r="CC1097">
        <v>50</v>
      </c>
      <c r="CD1097">
        <v>0.99401200000000001</v>
      </c>
      <c r="CE1097">
        <v>50</v>
      </c>
      <c r="CF1097">
        <v>50</v>
      </c>
      <c r="CG1097">
        <v>1</v>
      </c>
      <c r="CH1097">
        <v>100</v>
      </c>
      <c r="CI1097">
        <v>100</v>
      </c>
      <c r="CJ1097">
        <v>0</v>
      </c>
      <c r="CK1097">
        <v>0.97142899999999999</v>
      </c>
      <c r="CL1097">
        <v>100</v>
      </c>
      <c r="CM1097">
        <v>100</v>
      </c>
      <c r="CN1097">
        <v>0.82608700000000002</v>
      </c>
      <c r="CO1097">
        <v>100</v>
      </c>
      <c r="CP1097">
        <v>100</v>
      </c>
      <c r="CQ1097">
        <v>0.776536</v>
      </c>
      <c r="CR1097">
        <v>0.98895</v>
      </c>
      <c r="CS1097">
        <v>50</v>
      </c>
      <c r="CT1097">
        <v>50</v>
      </c>
      <c r="CU1097">
        <v>0.58579899999999996</v>
      </c>
      <c r="CV1097">
        <v>48.816567999999997</v>
      </c>
      <c r="CW1097">
        <v>50</v>
      </c>
      <c r="CX1097">
        <v>0.97142899999999999</v>
      </c>
      <c r="CY1097">
        <v>0.94</v>
      </c>
      <c r="CZ1097">
        <v>-3.1428999999999999E-2</v>
      </c>
      <c r="DA1097">
        <v>15.314097</v>
      </c>
      <c r="DB1097">
        <v>17.400950000000002</v>
      </c>
      <c r="DC1097">
        <v>16.332519999999999</v>
      </c>
      <c r="DD1097">
        <v>7.9891730000000001</v>
      </c>
      <c r="DE1097">
        <v>0</v>
      </c>
      <c r="DH1097" t="s">
        <v>332</v>
      </c>
      <c r="DI1097" t="s">
        <v>333</v>
      </c>
      <c r="DJ1097">
        <v>1</v>
      </c>
      <c r="DK1097">
        <v>0</v>
      </c>
      <c r="DL1097">
        <v>0</v>
      </c>
      <c r="DM1097">
        <v>0</v>
      </c>
      <c r="DN1097">
        <v>0</v>
      </c>
      <c r="DO1097">
        <v>0</v>
      </c>
      <c r="DQ1097" t="s">
        <v>126</v>
      </c>
    </row>
    <row r="1098" spans="1:121" x14ac:dyDescent="0.15">
      <c r="A1098">
        <v>2018</v>
      </c>
      <c r="B1098" t="s">
        <v>178</v>
      </c>
      <c r="C1098" t="str">
        <f>"2070012"</f>
        <v>2070012</v>
      </c>
      <c r="D1098" t="s">
        <v>1241</v>
      </c>
      <c r="E1098" t="str">
        <f>"2075112"</f>
        <v>2075112</v>
      </c>
      <c r="F1098" t="s">
        <v>1230</v>
      </c>
      <c r="G1098">
        <v>7</v>
      </c>
      <c r="H1098">
        <v>8</v>
      </c>
      <c r="I1098" t="s">
        <v>330</v>
      </c>
      <c r="J1098" t="s">
        <v>331</v>
      </c>
      <c r="K1098">
        <v>677.53447800000004</v>
      </c>
      <c r="L1098">
        <v>900</v>
      </c>
      <c r="M1098">
        <v>75.281609000000003</v>
      </c>
      <c r="N1098">
        <v>3</v>
      </c>
      <c r="O1098">
        <v>1</v>
      </c>
      <c r="P1098">
        <v>76.444177999999994</v>
      </c>
      <c r="Q1098">
        <v>50</v>
      </c>
      <c r="R1098">
        <v>50</v>
      </c>
      <c r="S1098">
        <v>62.994891000000003</v>
      </c>
      <c r="T1098">
        <v>75</v>
      </c>
      <c r="U1098">
        <v>41.996594000000002</v>
      </c>
      <c r="V1098">
        <v>50</v>
      </c>
      <c r="W1098">
        <v>63.721628000000003</v>
      </c>
      <c r="X1098">
        <v>42.481085</v>
      </c>
      <c r="Y1098">
        <v>50</v>
      </c>
      <c r="Z1098">
        <v>69.783742000000004</v>
      </c>
      <c r="AA1098">
        <v>48.920620999999997</v>
      </c>
      <c r="AB1098">
        <v>32.613746999999996</v>
      </c>
      <c r="AC1098">
        <v>50</v>
      </c>
      <c r="AD1098">
        <v>70.969260000000006</v>
      </c>
      <c r="AE1098">
        <v>47.312840000000001</v>
      </c>
      <c r="AF1098">
        <v>50</v>
      </c>
      <c r="AG1098">
        <v>62.727094000000001</v>
      </c>
      <c r="AH1098">
        <v>74.038150999999999</v>
      </c>
      <c r="AI1098">
        <v>41.818061999999998</v>
      </c>
      <c r="AJ1098">
        <v>50</v>
      </c>
      <c r="AK1098">
        <v>12</v>
      </c>
      <c r="AL1098">
        <v>20.86</v>
      </c>
      <c r="AM1098">
        <v>11.31</v>
      </c>
      <c r="AN1098">
        <v>0.66689500000000002</v>
      </c>
      <c r="AO1098">
        <v>66.689537999999999</v>
      </c>
      <c r="AP1098">
        <v>100</v>
      </c>
      <c r="AQ1098">
        <v>0.56581199999999998</v>
      </c>
      <c r="AR1098">
        <v>56.581176999999997</v>
      </c>
      <c r="AS1098">
        <v>100</v>
      </c>
      <c r="AT1098">
        <v>0.61225399999999996</v>
      </c>
      <c r="AU1098">
        <v>0.68786599999999998</v>
      </c>
      <c r="AV1098">
        <v>61.225397999999998</v>
      </c>
      <c r="AW1098">
        <v>100</v>
      </c>
      <c r="AX1098">
        <v>0.41273900000000002</v>
      </c>
      <c r="AY1098">
        <v>0.62404599999999999</v>
      </c>
      <c r="AZ1098">
        <v>41.273867000000003</v>
      </c>
      <c r="BA1098">
        <v>100</v>
      </c>
      <c r="BB1098" t="s">
        <v>125</v>
      </c>
      <c r="BC1098" t="s">
        <v>125</v>
      </c>
      <c r="BD1098" t="s">
        <v>125</v>
      </c>
      <c r="BE1098" t="s">
        <v>125</v>
      </c>
      <c r="BF1098" t="s">
        <v>125</v>
      </c>
      <c r="BG1098" t="s">
        <v>125</v>
      </c>
      <c r="BH1098">
        <v>1</v>
      </c>
      <c r="BI1098">
        <v>0.95035499999999995</v>
      </c>
      <c r="BJ1098">
        <v>0.93902399999999997</v>
      </c>
      <c r="BK1098">
        <v>0.95499999999999996</v>
      </c>
      <c r="BL1098">
        <v>0.94680900000000001</v>
      </c>
      <c r="BM1098">
        <v>0.93902399999999997</v>
      </c>
      <c r="BN1098">
        <v>0.95</v>
      </c>
      <c r="BO1098">
        <v>0.93525199999999997</v>
      </c>
      <c r="BP1098">
        <v>0.89743600000000001</v>
      </c>
      <c r="BQ1098">
        <v>0.95</v>
      </c>
      <c r="BR1098">
        <v>4.2553000000000001E-2</v>
      </c>
      <c r="BS1098">
        <v>50</v>
      </c>
      <c r="BT1098">
        <v>50</v>
      </c>
      <c r="BU1098">
        <v>7.2289000000000006E-2</v>
      </c>
      <c r="BV1098">
        <v>45.542169000000001</v>
      </c>
      <c r="BW1098">
        <v>50</v>
      </c>
      <c r="BX1098" t="s">
        <v>125</v>
      </c>
      <c r="BY1098" t="s">
        <v>125</v>
      </c>
      <c r="BZ1098" t="s">
        <v>125</v>
      </c>
      <c r="CA1098" t="s">
        <v>125</v>
      </c>
      <c r="CB1098" t="s">
        <v>125</v>
      </c>
      <c r="CC1098" t="s">
        <v>125</v>
      </c>
      <c r="CD1098">
        <v>0.980263</v>
      </c>
      <c r="CE1098">
        <v>50</v>
      </c>
      <c r="CF1098">
        <v>50</v>
      </c>
      <c r="CG1098" t="s">
        <v>125</v>
      </c>
      <c r="CH1098" t="s">
        <v>125</v>
      </c>
      <c r="CI1098" t="s">
        <v>125</v>
      </c>
      <c r="CJ1098" t="s">
        <v>125</v>
      </c>
      <c r="CK1098" t="s">
        <v>125</v>
      </c>
      <c r="CL1098" t="s">
        <v>125</v>
      </c>
      <c r="CM1098" t="s">
        <v>125</v>
      </c>
      <c r="CN1098" t="s">
        <v>125</v>
      </c>
      <c r="CO1098" t="s">
        <v>125</v>
      </c>
      <c r="CP1098" t="s">
        <v>125</v>
      </c>
      <c r="CQ1098">
        <v>0.80555600000000005</v>
      </c>
      <c r="CR1098">
        <v>1.035971</v>
      </c>
      <c r="CS1098">
        <v>50</v>
      </c>
      <c r="CT1098">
        <v>50</v>
      </c>
      <c r="CU1098" t="s">
        <v>125</v>
      </c>
      <c r="CV1098" t="s">
        <v>125</v>
      </c>
      <c r="CW1098" t="s">
        <v>125</v>
      </c>
      <c r="CX1098" t="s">
        <v>125</v>
      </c>
      <c r="CY1098" t="s">
        <v>125</v>
      </c>
      <c r="CZ1098" t="s">
        <v>125</v>
      </c>
      <c r="DA1098">
        <v>15.314097</v>
      </c>
      <c r="DB1098">
        <v>17.400950000000002</v>
      </c>
      <c r="DC1098">
        <v>16.332519999999999</v>
      </c>
      <c r="DD1098" t="s">
        <v>125</v>
      </c>
      <c r="DE1098">
        <v>1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Q1098" t="s">
        <v>126</v>
      </c>
    </row>
    <row r="1099" spans="1:121" x14ac:dyDescent="0.15">
      <c r="A1099">
        <v>2018</v>
      </c>
      <c r="B1099" t="s">
        <v>179</v>
      </c>
      <c r="C1099" t="str">
        <f>"2080012"</f>
        <v>2080012</v>
      </c>
      <c r="D1099" t="s">
        <v>1242</v>
      </c>
      <c r="E1099" t="str">
        <f>"2086112"</f>
        <v>2086112</v>
      </c>
      <c r="F1099" t="s">
        <v>1230</v>
      </c>
      <c r="G1099">
        <v>9</v>
      </c>
      <c r="H1099">
        <v>12</v>
      </c>
      <c r="J1099" t="s">
        <v>331</v>
      </c>
      <c r="K1099">
        <v>1244.493422</v>
      </c>
      <c r="L1099">
        <v>1450</v>
      </c>
      <c r="M1099">
        <v>85.827133000000003</v>
      </c>
      <c r="N1099">
        <v>1</v>
      </c>
      <c r="O1099">
        <v>0</v>
      </c>
      <c r="P1099">
        <v>67.111568000000005</v>
      </c>
      <c r="Q1099">
        <v>134.22313700000001</v>
      </c>
      <c r="R1099">
        <v>150</v>
      </c>
      <c r="S1099">
        <v>54.936343000000001</v>
      </c>
      <c r="T1099">
        <v>70.108547000000002</v>
      </c>
      <c r="U1099">
        <v>109.872685</v>
      </c>
      <c r="V1099">
        <v>150</v>
      </c>
      <c r="W1099">
        <v>68.482167000000004</v>
      </c>
      <c r="X1099">
        <v>136.96433500000001</v>
      </c>
      <c r="Y1099">
        <v>150</v>
      </c>
      <c r="Z1099">
        <v>71.744444000000001</v>
      </c>
      <c r="AA1099">
        <v>55.229166999999997</v>
      </c>
      <c r="AB1099">
        <v>110.458333</v>
      </c>
      <c r="AC1099">
        <v>150</v>
      </c>
      <c r="AD1099">
        <v>71.154178999999999</v>
      </c>
      <c r="AE1099">
        <v>94.872238999999993</v>
      </c>
      <c r="AF1099">
        <v>100</v>
      </c>
      <c r="AG1099">
        <v>59.655524999999997</v>
      </c>
      <c r="AH1099">
        <v>73.999206999999998</v>
      </c>
      <c r="AI1099">
        <v>79.540700000000001</v>
      </c>
      <c r="AJ1099">
        <v>100</v>
      </c>
      <c r="AK1099">
        <v>15.17</v>
      </c>
      <c r="AL1099">
        <v>16.510000000000002</v>
      </c>
      <c r="AM1099">
        <v>14.34</v>
      </c>
      <c r="AN1099" t="s">
        <v>125</v>
      </c>
      <c r="AO1099" t="s">
        <v>125</v>
      </c>
      <c r="AP1099" t="s">
        <v>125</v>
      </c>
      <c r="AQ1099" t="s">
        <v>125</v>
      </c>
      <c r="AR1099" t="s">
        <v>125</v>
      </c>
      <c r="AS1099" t="s">
        <v>125</v>
      </c>
      <c r="AT1099" t="s">
        <v>125</v>
      </c>
      <c r="AU1099" t="s">
        <v>125</v>
      </c>
      <c r="AV1099" t="s">
        <v>125</v>
      </c>
      <c r="AW1099" t="s">
        <v>125</v>
      </c>
      <c r="AX1099" t="s">
        <v>125</v>
      </c>
      <c r="AY1099" t="s">
        <v>125</v>
      </c>
      <c r="AZ1099" t="s">
        <v>125</v>
      </c>
      <c r="BA1099" t="s">
        <v>125</v>
      </c>
      <c r="BB1099" t="s">
        <v>125</v>
      </c>
      <c r="BC1099" t="s">
        <v>125</v>
      </c>
      <c r="BD1099" t="s">
        <v>125</v>
      </c>
      <c r="BE1099" t="s">
        <v>125</v>
      </c>
      <c r="BF1099" t="s">
        <v>125</v>
      </c>
      <c r="BG1099" t="s">
        <v>125</v>
      </c>
      <c r="BH1099">
        <v>0</v>
      </c>
      <c r="BI1099">
        <v>0.98</v>
      </c>
      <c r="BJ1099">
        <v>0.98039200000000004</v>
      </c>
      <c r="BK1099">
        <v>0.97989899999999996</v>
      </c>
      <c r="BL1099">
        <v>0.98</v>
      </c>
      <c r="BM1099">
        <v>0.98039200000000004</v>
      </c>
      <c r="BN1099">
        <v>0.97989899999999996</v>
      </c>
      <c r="BO1099">
        <v>0.97599999999999998</v>
      </c>
      <c r="BP1099">
        <v>0.961538</v>
      </c>
      <c r="BQ1099">
        <v>0.97979799999999995</v>
      </c>
      <c r="BR1099">
        <v>6.7724999999999994E-2</v>
      </c>
      <c r="BS1099">
        <v>46.455025999999997</v>
      </c>
      <c r="BT1099">
        <v>50</v>
      </c>
      <c r="BU1099">
        <v>0.215054</v>
      </c>
      <c r="BV1099">
        <v>16.989246999999999</v>
      </c>
      <c r="BW1099">
        <v>50</v>
      </c>
      <c r="BX1099">
        <v>0.86335399999999995</v>
      </c>
      <c r="BY1099">
        <v>50</v>
      </c>
      <c r="BZ1099">
        <v>50</v>
      </c>
      <c r="CA1099">
        <v>0.68944099999999997</v>
      </c>
      <c r="CB1099">
        <v>45.962733</v>
      </c>
      <c r="CC1099">
        <v>50</v>
      </c>
      <c r="CD1099">
        <v>0.9375</v>
      </c>
      <c r="CE1099">
        <v>49.867021000000001</v>
      </c>
      <c r="CF1099">
        <v>50</v>
      </c>
      <c r="CG1099">
        <v>0.95185200000000003</v>
      </c>
      <c r="CH1099">
        <v>100</v>
      </c>
      <c r="CI1099">
        <v>100</v>
      </c>
      <c r="CJ1099">
        <v>0</v>
      </c>
      <c r="CK1099">
        <v>0.90196100000000001</v>
      </c>
      <c r="CL1099">
        <v>95.953275000000005</v>
      </c>
      <c r="CM1099">
        <v>100</v>
      </c>
      <c r="CN1099">
        <v>0.84732799999999997</v>
      </c>
      <c r="CO1099">
        <v>100</v>
      </c>
      <c r="CP1099">
        <v>100</v>
      </c>
      <c r="CQ1099">
        <v>0.58547000000000005</v>
      </c>
      <c r="CR1099">
        <v>0.90697700000000003</v>
      </c>
      <c r="CS1099">
        <v>39.031339000000003</v>
      </c>
      <c r="CT1099">
        <v>50</v>
      </c>
      <c r="CU1099">
        <v>0.41164000000000001</v>
      </c>
      <c r="CV1099">
        <v>34.303350999999999</v>
      </c>
      <c r="CW1099">
        <v>50</v>
      </c>
      <c r="CX1099">
        <v>0.90196100000000001</v>
      </c>
      <c r="CY1099">
        <v>0.94</v>
      </c>
      <c r="CZ1099">
        <v>3.8039000000000003E-2</v>
      </c>
      <c r="DA1099">
        <v>15.314097</v>
      </c>
      <c r="DB1099">
        <v>17.400950000000002</v>
      </c>
      <c r="DC1099">
        <v>16.332519999999999</v>
      </c>
      <c r="DD1099">
        <v>7.9891730000000001</v>
      </c>
      <c r="DE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Q1099" t="s">
        <v>126</v>
      </c>
    </row>
    <row r="1100" spans="1:121" x14ac:dyDescent="0.15">
      <c r="A1100">
        <v>2018</v>
      </c>
      <c r="B1100" t="s">
        <v>179</v>
      </c>
      <c r="C1100" t="str">
        <f>"2080012"</f>
        <v>2080012</v>
      </c>
      <c r="D1100" t="s">
        <v>1243</v>
      </c>
      <c r="E1100" t="str">
        <f>"2085112"</f>
        <v>2085112</v>
      </c>
      <c r="F1100" t="s">
        <v>1230</v>
      </c>
      <c r="G1100">
        <v>7</v>
      </c>
      <c r="H1100">
        <v>8</v>
      </c>
      <c r="I1100" t="s">
        <v>330</v>
      </c>
      <c r="J1100" t="s">
        <v>331</v>
      </c>
      <c r="K1100">
        <v>613.60478000000001</v>
      </c>
      <c r="L1100">
        <v>900</v>
      </c>
      <c r="M1100">
        <v>68.178308999999999</v>
      </c>
      <c r="N1100">
        <v>3</v>
      </c>
      <c r="O1100">
        <v>1</v>
      </c>
      <c r="P1100">
        <v>72.760007000000002</v>
      </c>
      <c r="Q1100">
        <v>48.506672000000002</v>
      </c>
      <c r="R1100">
        <v>50</v>
      </c>
      <c r="S1100">
        <v>57.583727000000003</v>
      </c>
      <c r="T1100">
        <v>75</v>
      </c>
      <c r="U1100">
        <v>38.389150999999998</v>
      </c>
      <c r="V1100">
        <v>50</v>
      </c>
      <c r="W1100">
        <v>68.512156000000004</v>
      </c>
      <c r="X1100">
        <v>45.674771</v>
      </c>
      <c r="Y1100">
        <v>50</v>
      </c>
      <c r="Z1100">
        <v>74.553803000000002</v>
      </c>
      <c r="AA1100">
        <v>52.039228999999999</v>
      </c>
      <c r="AB1100">
        <v>34.692819</v>
      </c>
      <c r="AC1100">
        <v>50</v>
      </c>
      <c r="AD1100">
        <v>68.724577999999994</v>
      </c>
      <c r="AE1100">
        <v>45.816384999999997</v>
      </c>
      <c r="AF1100">
        <v>50</v>
      </c>
      <c r="AG1100">
        <v>55.533405000000002</v>
      </c>
      <c r="AH1100">
        <v>73.661625000000001</v>
      </c>
      <c r="AI1100">
        <v>37.022269999999999</v>
      </c>
      <c r="AJ1100">
        <v>50</v>
      </c>
      <c r="AK1100">
        <v>17.41</v>
      </c>
      <c r="AL1100">
        <v>22.51</v>
      </c>
      <c r="AM1100">
        <v>18.12</v>
      </c>
      <c r="AN1100">
        <v>0.51439299999999999</v>
      </c>
      <c r="AO1100">
        <v>51.439258000000002</v>
      </c>
      <c r="AP1100">
        <v>100</v>
      </c>
      <c r="AQ1100">
        <v>0.54697799999999996</v>
      </c>
      <c r="AR1100">
        <v>54.697769000000001</v>
      </c>
      <c r="AS1100">
        <v>100</v>
      </c>
      <c r="AT1100">
        <v>0.40176899999999999</v>
      </c>
      <c r="AU1100">
        <v>0.55408500000000005</v>
      </c>
      <c r="AV1100">
        <v>40.176878000000002</v>
      </c>
      <c r="AW1100">
        <v>100</v>
      </c>
      <c r="AX1100">
        <v>0.40637899999999999</v>
      </c>
      <c r="AY1100">
        <v>0.59653</v>
      </c>
      <c r="AZ1100">
        <v>40.63794</v>
      </c>
      <c r="BA1100">
        <v>100</v>
      </c>
      <c r="BB1100" t="s">
        <v>125</v>
      </c>
      <c r="BC1100" t="s">
        <v>125</v>
      </c>
      <c r="BD1100" t="s">
        <v>125</v>
      </c>
      <c r="BE1100" t="s">
        <v>125</v>
      </c>
      <c r="BF1100" t="s">
        <v>125</v>
      </c>
      <c r="BG1100" t="s">
        <v>125</v>
      </c>
      <c r="BH1100">
        <v>0</v>
      </c>
      <c r="BI1100">
        <v>0.99589300000000003</v>
      </c>
      <c r="BJ1100">
        <v>1</v>
      </c>
      <c r="BK1100">
        <v>0.99434999999999996</v>
      </c>
      <c r="BL1100">
        <v>0.99589300000000003</v>
      </c>
      <c r="BM1100">
        <v>1</v>
      </c>
      <c r="BN1100">
        <v>0.99434999999999996</v>
      </c>
      <c r="BO1100">
        <v>0.99579799999999996</v>
      </c>
      <c r="BP1100">
        <v>1</v>
      </c>
      <c r="BQ1100">
        <v>0.99421999999999999</v>
      </c>
      <c r="BR1100">
        <v>6.9958999999999993E-2</v>
      </c>
      <c r="BS1100">
        <v>46.008229999999998</v>
      </c>
      <c r="BT1100">
        <v>50</v>
      </c>
      <c r="BU1100">
        <v>0.147287</v>
      </c>
      <c r="BV1100">
        <v>30.542636000000002</v>
      </c>
      <c r="BW1100">
        <v>50</v>
      </c>
      <c r="BX1100" t="s">
        <v>125</v>
      </c>
      <c r="BY1100" t="s">
        <v>125</v>
      </c>
      <c r="BZ1100" t="s">
        <v>125</v>
      </c>
      <c r="CA1100" t="s">
        <v>125</v>
      </c>
      <c r="CB1100" t="s">
        <v>125</v>
      </c>
      <c r="CC1100" t="s">
        <v>125</v>
      </c>
      <c r="CD1100">
        <v>0.971831</v>
      </c>
      <c r="CE1100">
        <v>50</v>
      </c>
      <c r="CF1100">
        <v>50</v>
      </c>
      <c r="CG1100" t="s">
        <v>125</v>
      </c>
      <c r="CH1100" t="s">
        <v>125</v>
      </c>
      <c r="CI1100" t="s">
        <v>125</v>
      </c>
      <c r="CJ1100" t="s">
        <v>125</v>
      </c>
      <c r="CK1100" t="s">
        <v>125</v>
      </c>
      <c r="CL1100" t="s">
        <v>125</v>
      </c>
      <c r="CM1100" t="s">
        <v>125</v>
      </c>
      <c r="CN1100" t="s">
        <v>125</v>
      </c>
      <c r="CO1100" t="s">
        <v>125</v>
      </c>
      <c r="CP1100" t="s">
        <v>125</v>
      </c>
      <c r="CQ1100">
        <v>0.77333300000000005</v>
      </c>
      <c r="CR1100">
        <v>0.94537800000000005</v>
      </c>
      <c r="CS1100">
        <v>50</v>
      </c>
      <c r="CT1100">
        <v>50</v>
      </c>
      <c r="CU1100" t="s">
        <v>125</v>
      </c>
      <c r="CV1100" t="s">
        <v>125</v>
      </c>
      <c r="CW1100" t="s">
        <v>125</v>
      </c>
      <c r="CX1100" t="s">
        <v>125</v>
      </c>
      <c r="CY1100" t="s">
        <v>125</v>
      </c>
      <c r="CZ1100" t="s">
        <v>125</v>
      </c>
      <c r="DA1100">
        <v>15.314097</v>
      </c>
      <c r="DB1100">
        <v>17.400950000000002</v>
      </c>
      <c r="DC1100">
        <v>16.332519999999999</v>
      </c>
      <c r="DD1100" t="s">
        <v>125</v>
      </c>
      <c r="DE1100">
        <v>1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Q1100" t="s">
        <v>126</v>
      </c>
    </row>
    <row r="1101" spans="1:121" x14ac:dyDescent="0.15">
      <c r="A1101">
        <v>2018</v>
      </c>
      <c r="B1101" t="s">
        <v>156</v>
      </c>
      <c r="C1101" t="str">
        <f>"2090012"</f>
        <v>2090012</v>
      </c>
      <c r="D1101" t="s">
        <v>1244</v>
      </c>
      <c r="E1101" t="str">
        <f>"2096112"</f>
        <v>2096112</v>
      </c>
      <c r="F1101" t="s">
        <v>1230</v>
      </c>
      <c r="G1101">
        <v>9</v>
      </c>
      <c r="H1101">
        <v>12</v>
      </c>
      <c r="I1101" t="s">
        <v>330</v>
      </c>
      <c r="J1101" t="s">
        <v>331</v>
      </c>
      <c r="K1101">
        <v>1284.3623889999999</v>
      </c>
      <c r="L1101">
        <v>1450</v>
      </c>
      <c r="M1101">
        <v>88.576716000000005</v>
      </c>
      <c r="N1101">
        <v>2</v>
      </c>
      <c r="O1101">
        <v>1</v>
      </c>
      <c r="P1101">
        <v>70.836004000000003</v>
      </c>
      <c r="Q1101">
        <v>141.672009</v>
      </c>
      <c r="R1101">
        <v>150</v>
      </c>
      <c r="S1101">
        <v>56.268056000000001</v>
      </c>
      <c r="T1101">
        <v>74.304563000000002</v>
      </c>
      <c r="U1101">
        <v>112.53611100000001</v>
      </c>
      <c r="V1101">
        <v>150</v>
      </c>
      <c r="W1101">
        <v>70.592146999999997</v>
      </c>
      <c r="X1101">
        <v>141.18429499999999</v>
      </c>
      <c r="Y1101">
        <v>150</v>
      </c>
      <c r="Z1101">
        <v>74.544642999999994</v>
      </c>
      <c r="AA1101">
        <v>53.991667</v>
      </c>
      <c r="AB1101">
        <v>107.983333</v>
      </c>
      <c r="AC1101">
        <v>150</v>
      </c>
      <c r="AD1101">
        <v>74.700816000000003</v>
      </c>
      <c r="AE1101">
        <v>99.601087000000007</v>
      </c>
      <c r="AF1101">
        <v>100</v>
      </c>
      <c r="AG1101">
        <v>59.079943</v>
      </c>
      <c r="AH1101">
        <v>75</v>
      </c>
      <c r="AI1101">
        <v>78.773257000000001</v>
      </c>
      <c r="AJ1101">
        <v>100</v>
      </c>
      <c r="AK1101">
        <v>18.03</v>
      </c>
      <c r="AL1101">
        <v>20.55</v>
      </c>
      <c r="AM1101">
        <v>15.92</v>
      </c>
      <c r="AN1101" t="s">
        <v>125</v>
      </c>
      <c r="AO1101" t="s">
        <v>125</v>
      </c>
      <c r="AP1101" t="s">
        <v>125</v>
      </c>
      <c r="AQ1101" t="s">
        <v>125</v>
      </c>
      <c r="AR1101" t="s">
        <v>125</v>
      </c>
      <c r="AS1101" t="s">
        <v>125</v>
      </c>
      <c r="AT1101" t="s">
        <v>125</v>
      </c>
      <c r="AU1101" t="s">
        <v>125</v>
      </c>
      <c r="AV1101" t="s">
        <v>125</v>
      </c>
      <c r="AW1101" t="s">
        <v>125</v>
      </c>
      <c r="AX1101" t="s">
        <v>125</v>
      </c>
      <c r="AY1101" t="s">
        <v>125</v>
      </c>
      <c r="AZ1101" t="s">
        <v>125</v>
      </c>
      <c r="BA1101" t="s">
        <v>125</v>
      </c>
      <c r="BB1101" t="s">
        <v>125</v>
      </c>
      <c r="BC1101" t="s">
        <v>125</v>
      </c>
      <c r="BD1101" t="s">
        <v>125</v>
      </c>
      <c r="BE1101" t="s">
        <v>125</v>
      </c>
      <c r="BF1101" t="s">
        <v>125</v>
      </c>
      <c r="BG1101" t="s">
        <v>125</v>
      </c>
      <c r="BH1101">
        <v>1</v>
      </c>
      <c r="BI1101">
        <v>0.99052099999999998</v>
      </c>
      <c r="BJ1101">
        <v>0.97619</v>
      </c>
      <c r="BK1101">
        <v>0.99408300000000005</v>
      </c>
      <c r="BL1101">
        <v>0.99052099999999998</v>
      </c>
      <c r="BM1101">
        <v>0.97619</v>
      </c>
      <c r="BN1101">
        <v>0.99408300000000005</v>
      </c>
      <c r="BO1101">
        <v>0.96698099999999998</v>
      </c>
      <c r="BP1101">
        <v>0.90476199999999996</v>
      </c>
      <c r="BQ1101">
        <v>0.98235300000000003</v>
      </c>
      <c r="BR1101">
        <v>8.7599999999999997E-2</v>
      </c>
      <c r="BS1101">
        <v>42.480091000000002</v>
      </c>
      <c r="BT1101">
        <v>50</v>
      </c>
      <c r="BU1101">
        <v>0.16564400000000001</v>
      </c>
      <c r="BV1101">
        <v>26.871165999999999</v>
      </c>
      <c r="BW1101">
        <v>50</v>
      </c>
      <c r="BX1101">
        <v>0.59775299999999998</v>
      </c>
      <c r="BY1101">
        <v>39.850186999999998</v>
      </c>
      <c r="BZ1101">
        <v>50</v>
      </c>
      <c r="CA1101">
        <v>0.75280899999999995</v>
      </c>
      <c r="CB1101">
        <v>50</v>
      </c>
      <c r="CC1101">
        <v>50</v>
      </c>
      <c r="CD1101">
        <v>0.99541299999999999</v>
      </c>
      <c r="CE1101">
        <v>50</v>
      </c>
      <c r="CF1101">
        <v>50</v>
      </c>
      <c r="CG1101">
        <v>0.96995699999999996</v>
      </c>
      <c r="CH1101">
        <v>100</v>
      </c>
      <c r="CI1101">
        <v>100</v>
      </c>
      <c r="CJ1101">
        <v>0</v>
      </c>
      <c r="CK1101">
        <v>0.97368399999999999</v>
      </c>
      <c r="CL1101">
        <v>100</v>
      </c>
      <c r="CM1101">
        <v>100</v>
      </c>
      <c r="CN1101">
        <v>0.81304299999999996</v>
      </c>
      <c r="CO1101">
        <v>100</v>
      </c>
      <c r="CP1101">
        <v>100</v>
      </c>
      <c r="CQ1101">
        <v>0.65116300000000005</v>
      </c>
      <c r="CR1101">
        <v>0.99536999999999998</v>
      </c>
      <c r="CS1101">
        <v>43.410853000000003</v>
      </c>
      <c r="CT1101">
        <v>50</v>
      </c>
      <c r="CU1101">
        <v>0.72809999999999997</v>
      </c>
      <c r="CV1101">
        <v>50</v>
      </c>
      <c r="CW1101">
        <v>50</v>
      </c>
      <c r="CX1101">
        <v>0.97368399999999999</v>
      </c>
      <c r="CY1101">
        <v>0.94</v>
      </c>
      <c r="CZ1101">
        <v>-3.3683999999999999E-2</v>
      </c>
      <c r="DA1101">
        <v>15.314097</v>
      </c>
      <c r="DB1101">
        <v>17.400950000000002</v>
      </c>
      <c r="DC1101">
        <v>16.332519999999999</v>
      </c>
      <c r="DD1101">
        <v>7.9891730000000001</v>
      </c>
      <c r="DE1101">
        <v>1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Q1101" t="s">
        <v>126</v>
      </c>
    </row>
    <row r="1102" spans="1:121" x14ac:dyDescent="0.15">
      <c r="A1102">
        <v>2018</v>
      </c>
      <c r="B1102" t="s">
        <v>157</v>
      </c>
      <c r="C1102" t="str">
        <f>"2100012"</f>
        <v>2100012</v>
      </c>
      <c r="D1102" t="s">
        <v>1245</v>
      </c>
      <c r="E1102" t="str">
        <f>"2105112"</f>
        <v>2105112</v>
      </c>
      <c r="F1102" t="s">
        <v>1230</v>
      </c>
      <c r="G1102">
        <v>5</v>
      </c>
      <c r="H1102">
        <v>8</v>
      </c>
      <c r="I1102" t="s">
        <v>330</v>
      </c>
      <c r="J1102" t="s">
        <v>331</v>
      </c>
      <c r="K1102">
        <v>688.40205600000002</v>
      </c>
      <c r="L1102">
        <v>900</v>
      </c>
      <c r="M1102">
        <v>76.489116999999993</v>
      </c>
      <c r="N1102">
        <v>2</v>
      </c>
      <c r="O1102">
        <v>0</v>
      </c>
      <c r="P1102">
        <v>75.918875</v>
      </c>
      <c r="Q1102">
        <v>50</v>
      </c>
      <c r="R1102">
        <v>50</v>
      </c>
      <c r="S1102">
        <v>63.667262000000001</v>
      </c>
      <c r="T1102">
        <v>75</v>
      </c>
      <c r="U1102">
        <v>42.444840999999997</v>
      </c>
      <c r="V1102">
        <v>50</v>
      </c>
      <c r="W1102">
        <v>73.123714000000007</v>
      </c>
      <c r="X1102">
        <v>48.749142999999997</v>
      </c>
      <c r="Y1102">
        <v>50</v>
      </c>
      <c r="Z1102">
        <v>75</v>
      </c>
      <c r="AA1102">
        <v>62.025680000000001</v>
      </c>
      <c r="AB1102">
        <v>41.350453000000002</v>
      </c>
      <c r="AC1102">
        <v>50</v>
      </c>
      <c r="AD1102">
        <v>73.426428000000001</v>
      </c>
      <c r="AE1102">
        <v>48.950952000000001</v>
      </c>
      <c r="AF1102">
        <v>50</v>
      </c>
      <c r="AG1102">
        <v>65.386989</v>
      </c>
      <c r="AH1102">
        <v>75</v>
      </c>
      <c r="AI1102">
        <v>43.591326000000002</v>
      </c>
      <c r="AJ1102">
        <v>50</v>
      </c>
      <c r="AK1102">
        <v>11.33</v>
      </c>
      <c r="AL1102">
        <v>12.97</v>
      </c>
      <c r="AM1102">
        <v>9.61</v>
      </c>
      <c r="AN1102">
        <v>0.53805000000000003</v>
      </c>
      <c r="AO1102">
        <v>53.805036000000001</v>
      </c>
      <c r="AP1102">
        <v>100</v>
      </c>
      <c r="AQ1102">
        <v>0.63994600000000001</v>
      </c>
      <c r="AR1102">
        <v>63.994644000000001</v>
      </c>
      <c r="AS1102">
        <v>100</v>
      </c>
      <c r="AT1102">
        <v>0.50253300000000001</v>
      </c>
      <c r="AU1102">
        <v>0.54724899999999999</v>
      </c>
      <c r="AV1102">
        <v>50.253312000000001</v>
      </c>
      <c r="AW1102">
        <v>100</v>
      </c>
      <c r="AX1102">
        <v>0.59357599999999999</v>
      </c>
      <c r="AY1102">
        <v>0.65187300000000004</v>
      </c>
      <c r="AZ1102">
        <v>59.357585999999998</v>
      </c>
      <c r="BA1102">
        <v>100</v>
      </c>
      <c r="BB1102" t="s">
        <v>125</v>
      </c>
      <c r="BC1102" t="s">
        <v>125</v>
      </c>
      <c r="BD1102" t="s">
        <v>125</v>
      </c>
      <c r="BE1102" t="s">
        <v>125</v>
      </c>
      <c r="BF1102" t="s">
        <v>125</v>
      </c>
      <c r="BG1102" t="s">
        <v>125</v>
      </c>
      <c r="BH1102">
        <v>0</v>
      </c>
      <c r="BI1102">
        <v>0.99181399999999997</v>
      </c>
      <c r="BJ1102">
        <v>0.97237600000000002</v>
      </c>
      <c r="BK1102">
        <v>0.99818799999999996</v>
      </c>
      <c r="BL1102">
        <v>0.99180299999999999</v>
      </c>
      <c r="BM1102">
        <v>0.97222200000000003</v>
      </c>
      <c r="BN1102">
        <v>0.99818799999999996</v>
      </c>
      <c r="BO1102">
        <v>0.99453599999999998</v>
      </c>
      <c r="BP1102">
        <v>0.97872300000000001</v>
      </c>
      <c r="BQ1102">
        <v>1</v>
      </c>
      <c r="BR1102">
        <v>3.2786999999999997E-2</v>
      </c>
      <c r="BS1102">
        <v>50</v>
      </c>
      <c r="BT1102">
        <v>50</v>
      </c>
      <c r="BU1102">
        <v>7.4286000000000005E-2</v>
      </c>
      <c r="BV1102">
        <v>45.142856999999999</v>
      </c>
      <c r="BW1102">
        <v>50</v>
      </c>
      <c r="BX1102" t="s">
        <v>125</v>
      </c>
      <c r="BY1102" t="s">
        <v>125</v>
      </c>
      <c r="BZ1102" t="s">
        <v>125</v>
      </c>
      <c r="CA1102" t="s">
        <v>125</v>
      </c>
      <c r="CB1102" t="s">
        <v>125</v>
      </c>
      <c r="CC1102" t="s">
        <v>125</v>
      </c>
      <c r="CD1102">
        <v>0.97014900000000004</v>
      </c>
      <c r="CE1102">
        <v>50</v>
      </c>
      <c r="CF1102">
        <v>50</v>
      </c>
      <c r="CG1102" t="s">
        <v>125</v>
      </c>
      <c r="CH1102" t="s">
        <v>125</v>
      </c>
      <c r="CI1102" t="s">
        <v>125</v>
      </c>
      <c r="CJ1102" t="s">
        <v>125</v>
      </c>
      <c r="CK1102" t="s">
        <v>125</v>
      </c>
      <c r="CL1102" t="s">
        <v>125</v>
      </c>
      <c r="CM1102" t="s">
        <v>125</v>
      </c>
      <c r="CN1102" t="s">
        <v>125</v>
      </c>
      <c r="CO1102" t="s">
        <v>125</v>
      </c>
      <c r="CP1102" t="s">
        <v>125</v>
      </c>
      <c r="CQ1102">
        <v>0.611429</v>
      </c>
      <c r="CR1102">
        <v>0.95367800000000003</v>
      </c>
      <c r="CS1102">
        <v>40.761904999999999</v>
      </c>
      <c r="CT1102">
        <v>50</v>
      </c>
      <c r="CU1102" t="s">
        <v>125</v>
      </c>
      <c r="CV1102" t="s">
        <v>125</v>
      </c>
      <c r="CW1102" t="s">
        <v>125</v>
      </c>
      <c r="CX1102" t="s">
        <v>125</v>
      </c>
      <c r="CY1102" t="s">
        <v>125</v>
      </c>
      <c r="CZ1102" t="s">
        <v>125</v>
      </c>
      <c r="DA1102">
        <v>15.314097</v>
      </c>
      <c r="DB1102">
        <v>17.400950000000002</v>
      </c>
      <c r="DC1102">
        <v>16.332519999999999</v>
      </c>
      <c r="DD1102" t="s">
        <v>125</v>
      </c>
      <c r="DE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Q1102" t="s">
        <v>126</v>
      </c>
    </row>
    <row r="1103" spans="1:121" x14ac:dyDescent="0.15">
      <c r="A1103">
        <v>2018</v>
      </c>
      <c r="B1103" t="s">
        <v>157</v>
      </c>
      <c r="C1103" t="str">
        <f>"2100012"</f>
        <v>2100012</v>
      </c>
      <c r="D1103" t="s">
        <v>1246</v>
      </c>
      <c r="E1103" t="str">
        <f>"2100312"</f>
        <v>2100312</v>
      </c>
      <c r="F1103" t="s">
        <v>1230</v>
      </c>
      <c r="G1103" t="s">
        <v>329</v>
      </c>
      <c r="H1103">
        <v>4</v>
      </c>
      <c r="I1103" t="s">
        <v>330</v>
      </c>
      <c r="J1103" t="s">
        <v>331</v>
      </c>
      <c r="K1103">
        <v>462.20734399999998</v>
      </c>
      <c r="L1103">
        <v>550</v>
      </c>
      <c r="M1103">
        <v>84.037699000000003</v>
      </c>
      <c r="N1103">
        <v>2</v>
      </c>
      <c r="O1103">
        <v>0</v>
      </c>
      <c r="P1103">
        <v>79.043349000000006</v>
      </c>
      <c r="Q1103">
        <v>50</v>
      </c>
      <c r="R1103">
        <v>50</v>
      </c>
      <c r="S1103">
        <v>62.429461000000003</v>
      </c>
      <c r="T1103">
        <v>75</v>
      </c>
      <c r="U1103">
        <v>41.619641000000001</v>
      </c>
      <c r="V1103">
        <v>50</v>
      </c>
      <c r="W1103">
        <v>80.678645000000003</v>
      </c>
      <c r="X1103">
        <v>50</v>
      </c>
      <c r="Y1103">
        <v>50</v>
      </c>
      <c r="Z1103">
        <v>75</v>
      </c>
      <c r="AA1103">
        <v>60.106467000000002</v>
      </c>
      <c r="AB1103">
        <v>40.070977999999997</v>
      </c>
      <c r="AC1103">
        <v>50</v>
      </c>
      <c r="AD1103" t="s">
        <v>125</v>
      </c>
      <c r="AE1103" t="s">
        <v>125</v>
      </c>
      <c r="AF1103" t="s">
        <v>125</v>
      </c>
      <c r="AG1103" t="s">
        <v>125</v>
      </c>
      <c r="AH1103" t="s">
        <v>125</v>
      </c>
      <c r="AI1103" t="s">
        <v>125</v>
      </c>
      <c r="AJ1103" t="s">
        <v>125</v>
      </c>
      <c r="AK1103">
        <v>12.57</v>
      </c>
      <c r="AL1103">
        <v>14.89</v>
      </c>
      <c r="AM1103" t="s">
        <v>125</v>
      </c>
      <c r="AN1103">
        <v>0.73337699999999995</v>
      </c>
      <c r="AO1103">
        <v>73.337745999999996</v>
      </c>
      <c r="AP1103">
        <v>100</v>
      </c>
      <c r="AQ1103">
        <v>0.91430400000000001</v>
      </c>
      <c r="AR1103">
        <v>91.430391</v>
      </c>
      <c r="AS1103">
        <v>100</v>
      </c>
      <c r="AT1103" t="s">
        <v>125</v>
      </c>
      <c r="AU1103">
        <v>0.77445399999999998</v>
      </c>
      <c r="AV1103" t="s">
        <v>125</v>
      </c>
      <c r="AW1103" t="s">
        <v>125</v>
      </c>
      <c r="AX1103" t="s">
        <v>125</v>
      </c>
      <c r="AY1103">
        <v>0.98609400000000003</v>
      </c>
      <c r="AZ1103" t="s">
        <v>125</v>
      </c>
      <c r="BA1103" t="s">
        <v>125</v>
      </c>
      <c r="BB1103" t="s">
        <v>125</v>
      </c>
      <c r="BC1103" t="s">
        <v>125</v>
      </c>
      <c r="BD1103" t="s">
        <v>125</v>
      </c>
      <c r="BE1103" t="s">
        <v>125</v>
      </c>
      <c r="BF1103" t="s">
        <v>125</v>
      </c>
      <c r="BG1103" t="s">
        <v>125</v>
      </c>
      <c r="BH1103">
        <v>0</v>
      </c>
      <c r="BI1103">
        <v>0.98373999999999995</v>
      </c>
      <c r="BJ1103">
        <v>0.96666700000000005</v>
      </c>
      <c r="BK1103">
        <v>0.98924699999999999</v>
      </c>
      <c r="BL1103">
        <v>0.98373999999999995</v>
      </c>
      <c r="BM1103">
        <v>0.96666700000000005</v>
      </c>
      <c r="BN1103">
        <v>0.98924699999999999</v>
      </c>
      <c r="BO1103" t="s">
        <v>125</v>
      </c>
      <c r="BP1103" t="s">
        <v>125</v>
      </c>
      <c r="BQ1103" t="s">
        <v>125</v>
      </c>
      <c r="BR1103">
        <v>4.8485E-2</v>
      </c>
      <c r="BS1103">
        <v>50</v>
      </c>
      <c r="BT1103">
        <v>50</v>
      </c>
      <c r="BU1103">
        <v>0.1125</v>
      </c>
      <c r="BV1103">
        <v>37.5</v>
      </c>
      <c r="BW1103">
        <v>50</v>
      </c>
      <c r="BX1103" t="s">
        <v>125</v>
      </c>
      <c r="BY1103" t="s">
        <v>125</v>
      </c>
      <c r="BZ1103" t="s">
        <v>125</v>
      </c>
      <c r="CA1103" t="s">
        <v>125</v>
      </c>
      <c r="CB1103" t="s">
        <v>125</v>
      </c>
      <c r="CC1103" t="s">
        <v>125</v>
      </c>
      <c r="CD1103" t="s">
        <v>125</v>
      </c>
      <c r="CE1103" t="s">
        <v>125</v>
      </c>
      <c r="CF1103" t="s">
        <v>125</v>
      </c>
      <c r="CG1103" t="s">
        <v>125</v>
      </c>
      <c r="CH1103" t="s">
        <v>125</v>
      </c>
      <c r="CI1103" t="s">
        <v>125</v>
      </c>
      <c r="CJ1103" t="s">
        <v>125</v>
      </c>
      <c r="CK1103" t="s">
        <v>125</v>
      </c>
      <c r="CL1103" t="s">
        <v>125</v>
      </c>
      <c r="CM1103" t="s">
        <v>125</v>
      </c>
      <c r="CN1103" t="s">
        <v>125</v>
      </c>
      <c r="CO1103" t="s">
        <v>125</v>
      </c>
      <c r="CP1103" t="s">
        <v>125</v>
      </c>
      <c r="CQ1103">
        <v>0.42372900000000002</v>
      </c>
      <c r="CR1103">
        <v>0.95161300000000004</v>
      </c>
      <c r="CS1103">
        <v>28.248588000000002</v>
      </c>
      <c r="CT1103">
        <v>50</v>
      </c>
      <c r="CU1103" t="s">
        <v>125</v>
      </c>
      <c r="CV1103" t="s">
        <v>125</v>
      </c>
      <c r="CW1103" t="s">
        <v>125</v>
      </c>
      <c r="CX1103" t="s">
        <v>125</v>
      </c>
      <c r="CY1103" t="s">
        <v>125</v>
      </c>
      <c r="CZ1103" t="s">
        <v>125</v>
      </c>
      <c r="DA1103">
        <v>15.314097</v>
      </c>
      <c r="DB1103">
        <v>17.400950000000002</v>
      </c>
      <c r="DC1103">
        <v>16.332519999999999</v>
      </c>
      <c r="DD1103" t="s">
        <v>125</v>
      </c>
      <c r="DE1103">
        <v>0</v>
      </c>
      <c r="DH1103" t="s">
        <v>332</v>
      </c>
      <c r="DI1103" t="s">
        <v>591</v>
      </c>
      <c r="DJ1103">
        <v>0</v>
      </c>
      <c r="DK1103">
        <v>0</v>
      </c>
      <c r="DL1103">
        <v>1</v>
      </c>
      <c r="DM1103">
        <v>0</v>
      </c>
      <c r="DN1103">
        <v>0</v>
      </c>
      <c r="DO1103">
        <v>0</v>
      </c>
      <c r="DQ1103" t="s">
        <v>126</v>
      </c>
    </row>
    <row r="1104" spans="1:121" x14ac:dyDescent="0.15">
      <c r="A1104">
        <v>2018</v>
      </c>
      <c r="B1104" t="s">
        <v>157</v>
      </c>
      <c r="C1104" t="str">
        <f>"2100012"</f>
        <v>2100012</v>
      </c>
      <c r="D1104" t="s">
        <v>1247</v>
      </c>
      <c r="E1104" t="str">
        <f>"2100212"</f>
        <v>2100212</v>
      </c>
      <c r="F1104" t="s">
        <v>1230</v>
      </c>
      <c r="G1104" t="s">
        <v>329</v>
      </c>
      <c r="H1104">
        <v>4</v>
      </c>
      <c r="J1104" t="s">
        <v>331</v>
      </c>
      <c r="K1104">
        <v>462.36052899999999</v>
      </c>
      <c r="L1104">
        <v>550</v>
      </c>
      <c r="M1104">
        <v>84.065550999999999</v>
      </c>
      <c r="N1104">
        <v>2</v>
      </c>
      <c r="O1104">
        <v>0</v>
      </c>
      <c r="P1104">
        <v>78.053741000000002</v>
      </c>
      <c r="Q1104">
        <v>50</v>
      </c>
      <c r="R1104">
        <v>50</v>
      </c>
      <c r="S1104">
        <v>70.883707000000001</v>
      </c>
      <c r="T1104">
        <v>75</v>
      </c>
      <c r="U1104">
        <v>47.255803999999998</v>
      </c>
      <c r="V1104">
        <v>50</v>
      </c>
      <c r="W1104">
        <v>77.059725999999998</v>
      </c>
      <c r="X1104">
        <v>50</v>
      </c>
      <c r="Y1104">
        <v>50</v>
      </c>
      <c r="Z1104">
        <v>75</v>
      </c>
      <c r="AA1104">
        <v>67.211173000000002</v>
      </c>
      <c r="AB1104">
        <v>44.807448999999998</v>
      </c>
      <c r="AC1104">
        <v>50</v>
      </c>
      <c r="AD1104" t="s">
        <v>125</v>
      </c>
      <c r="AE1104" t="s">
        <v>125</v>
      </c>
      <c r="AF1104" t="s">
        <v>125</v>
      </c>
      <c r="AG1104" t="s">
        <v>125</v>
      </c>
      <c r="AH1104" t="s">
        <v>125</v>
      </c>
      <c r="AI1104" t="s">
        <v>125</v>
      </c>
      <c r="AJ1104" t="s">
        <v>125</v>
      </c>
      <c r="AK1104">
        <v>4.1100000000000003</v>
      </c>
      <c r="AL1104">
        <v>7.78</v>
      </c>
      <c r="AM1104" t="s">
        <v>125</v>
      </c>
      <c r="AN1104">
        <v>0.69046399999999997</v>
      </c>
      <c r="AO1104">
        <v>69.046387999999993</v>
      </c>
      <c r="AP1104">
        <v>100</v>
      </c>
      <c r="AQ1104">
        <v>0.76500999999999997</v>
      </c>
      <c r="AR1104">
        <v>76.500979000000001</v>
      </c>
      <c r="AS1104">
        <v>100</v>
      </c>
      <c r="AT1104" t="s">
        <v>125</v>
      </c>
      <c r="AU1104">
        <v>0.70733800000000002</v>
      </c>
      <c r="AV1104" t="s">
        <v>125</v>
      </c>
      <c r="AW1104" t="s">
        <v>125</v>
      </c>
      <c r="AX1104" t="s">
        <v>125</v>
      </c>
      <c r="AY1104">
        <v>0.78714300000000004</v>
      </c>
      <c r="AZ1104" t="s">
        <v>125</v>
      </c>
      <c r="BA1104" t="s">
        <v>125</v>
      </c>
      <c r="BB1104" t="s">
        <v>125</v>
      </c>
      <c r="BC1104" t="s">
        <v>125</v>
      </c>
      <c r="BD1104" t="s">
        <v>125</v>
      </c>
      <c r="BE1104" t="s">
        <v>125</v>
      </c>
      <c r="BF1104" t="s">
        <v>125</v>
      </c>
      <c r="BG1104" t="s">
        <v>125</v>
      </c>
      <c r="BH1104">
        <v>0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 t="s">
        <v>125</v>
      </c>
      <c r="BP1104" t="s">
        <v>125</v>
      </c>
      <c r="BQ1104" t="s">
        <v>125</v>
      </c>
      <c r="BR1104">
        <v>3.5443000000000002E-2</v>
      </c>
      <c r="BS1104">
        <v>50</v>
      </c>
      <c r="BT1104">
        <v>50</v>
      </c>
      <c r="BU1104">
        <v>9.0909000000000004E-2</v>
      </c>
      <c r="BV1104">
        <v>41.818182</v>
      </c>
      <c r="BW1104">
        <v>50</v>
      </c>
      <c r="BX1104" t="s">
        <v>125</v>
      </c>
      <c r="BY1104" t="s">
        <v>125</v>
      </c>
      <c r="BZ1104" t="s">
        <v>125</v>
      </c>
      <c r="CA1104" t="s">
        <v>125</v>
      </c>
      <c r="CB1104" t="s">
        <v>125</v>
      </c>
      <c r="CC1104" t="s">
        <v>125</v>
      </c>
      <c r="CD1104" t="s">
        <v>125</v>
      </c>
      <c r="CE1104" t="s">
        <v>125</v>
      </c>
      <c r="CF1104" t="s">
        <v>125</v>
      </c>
      <c r="CG1104" t="s">
        <v>125</v>
      </c>
      <c r="CH1104" t="s">
        <v>125</v>
      </c>
      <c r="CI1104" t="s">
        <v>125</v>
      </c>
      <c r="CJ1104" t="s">
        <v>125</v>
      </c>
      <c r="CK1104" t="s">
        <v>125</v>
      </c>
      <c r="CL1104" t="s">
        <v>125</v>
      </c>
      <c r="CM1104" t="s">
        <v>125</v>
      </c>
      <c r="CN1104" t="s">
        <v>125</v>
      </c>
      <c r="CO1104" t="s">
        <v>125</v>
      </c>
      <c r="CP1104" t="s">
        <v>125</v>
      </c>
      <c r="CQ1104">
        <v>0.49397600000000003</v>
      </c>
      <c r="CR1104">
        <v>0.98809499999999995</v>
      </c>
      <c r="CS1104">
        <v>32.931727000000002</v>
      </c>
      <c r="CT1104">
        <v>50</v>
      </c>
      <c r="CU1104" t="s">
        <v>125</v>
      </c>
      <c r="CV1104" t="s">
        <v>125</v>
      </c>
      <c r="CW1104" t="s">
        <v>125</v>
      </c>
      <c r="CX1104" t="s">
        <v>125</v>
      </c>
      <c r="CY1104" t="s">
        <v>125</v>
      </c>
      <c r="CZ1104" t="s">
        <v>125</v>
      </c>
      <c r="DA1104">
        <v>15.314097</v>
      </c>
      <c r="DB1104">
        <v>17.400950000000002</v>
      </c>
      <c r="DC1104">
        <v>16.332519999999999</v>
      </c>
      <c r="DD1104" t="s">
        <v>125</v>
      </c>
      <c r="DE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Q1104" t="s">
        <v>126</v>
      </c>
    </row>
    <row r="1105" spans="1:121" x14ac:dyDescent="0.15">
      <c r="A1105">
        <v>2018</v>
      </c>
      <c r="B1105" t="s">
        <v>157</v>
      </c>
      <c r="C1105" t="str">
        <f>"2100012"</f>
        <v>2100012</v>
      </c>
      <c r="D1105" t="s">
        <v>1248</v>
      </c>
      <c r="E1105" t="str">
        <f>"2106112"</f>
        <v>2106112</v>
      </c>
      <c r="F1105" t="s">
        <v>1230</v>
      </c>
      <c r="G1105">
        <v>9</v>
      </c>
      <c r="H1105">
        <v>12</v>
      </c>
      <c r="I1105" t="s">
        <v>330</v>
      </c>
      <c r="J1105" t="s">
        <v>331</v>
      </c>
      <c r="K1105">
        <v>1198.7123630000001</v>
      </c>
      <c r="L1105">
        <v>1450</v>
      </c>
      <c r="M1105">
        <v>82.669818000000006</v>
      </c>
      <c r="N1105">
        <v>3</v>
      </c>
      <c r="O1105">
        <v>1</v>
      </c>
      <c r="P1105">
        <v>64.721491</v>
      </c>
      <c r="Q1105">
        <v>129.442982</v>
      </c>
      <c r="R1105">
        <v>150</v>
      </c>
      <c r="S1105">
        <v>54.435896999999997</v>
      </c>
      <c r="T1105">
        <v>66.843914999999996</v>
      </c>
      <c r="U1105">
        <v>108.87179500000001</v>
      </c>
      <c r="V1105">
        <v>150</v>
      </c>
      <c r="W1105">
        <v>59.675803999999999</v>
      </c>
      <c r="X1105">
        <v>119.351608</v>
      </c>
      <c r="Y1105">
        <v>150</v>
      </c>
      <c r="Z1105">
        <v>62.711640000000003</v>
      </c>
      <c r="AA1105">
        <v>44.963675000000002</v>
      </c>
      <c r="AB1105">
        <v>89.927350000000004</v>
      </c>
      <c r="AC1105">
        <v>150</v>
      </c>
      <c r="AD1105">
        <v>66.699517999999998</v>
      </c>
      <c r="AE1105">
        <v>88.932689999999994</v>
      </c>
      <c r="AF1105">
        <v>100</v>
      </c>
      <c r="AG1105">
        <v>56.360236999999998</v>
      </c>
      <c r="AH1105">
        <v>69.023852000000005</v>
      </c>
      <c r="AI1105">
        <v>75.146983000000006</v>
      </c>
      <c r="AJ1105">
        <v>100</v>
      </c>
      <c r="AK1105">
        <v>12.4</v>
      </c>
      <c r="AL1105">
        <v>17.739999999999998</v>
      </c>
      <c r="AM1105">
        <v>12.66</v>
      </c>
      <c r="AN1105" t="s">
        <v>125</v>
      </c>
      <c r="AO1105" t="s">
        <v>125</v>
      </c>
      <c r="AP1105" t="s">
        <v>125</v>
      </c>
      <c r="AQ1105" t="s">
        <v>125</v>
      </c>
      <c r="AR1105" t="s">
        <v>125</v>
      </c>
      <c r="AS1105" t="s">
        <v>125</v>
      </c>
      <c r="AT1105" t="s">
        <v>125</v>
      </c>
      <c r="AU1105" t="s">
        <v>125</v>
      </c>
      <c r="AV1105" t="s">
        <v>125</v>
      </c>
      <c r="AW1105" t="s">
        <v>125</v>
      </c>
      <c r="AX1105" t="s">
        <v>125</v>
      </c>
      <c r="AY1105" t="s">
        <v>125</v>
      </c>
      <c r="AZ1105" t="s">
        <v>125</v>
      </c>
      <c r="BA1105" t="s">
        <v>125</v>
      </c>
      <c r="BB1105" t="s">
        <v>125</v>
      </c>
      <c r="BC1105" t="s">
        <v>125</v>
      </c>
      <c r="BD1105" t="s">
        <v>125</v>
      </c>
      <c r="BE1105" t="s">
        <v>125</v>
      </c>
      <c r="BF1105" t="s">
        <v>125</v>
      </c>
      <c r="BG1105" t="s">
        <v>125</v>
      </c>
      <c r="BH1105">
        <v>1</v>
      </c>
      <c r="BI1105">
        <v>0.93902399999999997</v>
      </c>
      <c r="BJ1105">
        <v>0.84848500000000004</v>
      </c>
      <c r="BK1105">
        <v>0.96183200000000002</v>
      </c>
      <c r="BL1105">
        <v>0.93902399999999997</v>
      </c>
      <c r="BM1105">
        <v>0.84848500000000004</v>
      </c>
      <c r="BN1105">
        <v>0.96183200000000002</v>
      </c>
      <c r="BO1105">
        <v>0.96969700000000003</v>
      </c>
      <c r="BP1105">
        <v>0.93939399999999995</v>
      </c>
      <c r="BQ1105">
        <v>0.97727299999999995</v>
      </c>
      <c r="BR1105">
        <v>4.7682000000000002E-2</v>
      </c>
      <c r="BS1105">
        <v>50</v>
      </c>
      <c r="BT1105">
        <v>50</v>
      </c>
      <c r="BU1105">
        <v>0.2</v>
      </c>
      <c r="BV1105">
        <v>20</v>
      </c>
      <c r="BW1105">
        <v>50</v>
      </c>
      <c r="BX1105">
        <v>0.66481999999999997</v>
      </c>
      <c r="BY1105">
        <v>44.321330000000003</v>
      </c>
      <c r="BZ1105">
        <v>50</v>
      </c>
      <c r="CA1105">
        <v>0.60941800000000002</v>
      </c>
      <c r="CB1105">
        <v>40.627885999999997</v>
      </c>
      <c r="CC1105">
        <v>50</v>
      </c>
      <c r="CD1105">
        <v>0.97368399999999999</v>
      </c>
      <c r="CE1105">
        <v>50</v>
      </c>
      <c r="CF1105">
        <v>50</v>
      </c>
      <c r="CG1105">
        <v>0.964646</v>
      </c>
      <c r="CH1105">
        <v>100</v>
      </c>
      <c r="CI1105">
        <v>100</v>
      </c>
      <c r="CJ1105">
        <v>0</v>
      </c>
      <c r="CK1105">
        <v>0.89743600000000001</v>
      </c>
      <c r="CL1105">
        <v>95.471903999999995</v>
      </c>
      <c r="CM1105">
        <v>100</v>
      </c>
      <c r="CN1105">
        <v>0.82901599999999998</v>
      </c>
      <c r="CO1105">
        <v>100</v>
      </c>
      <c r="CP1105">
        <v>100</v>
      </c>
      <c r="CQ1105">
        <v>0.57575799999999999</v>
      </c>
      <c r="CR1105">
        <v>0.97058800000000001</v>
      </c>
      <c r="CS1105">
        <v>38.383837999999997</v>
      </c>
      <c r="CT1105">
        <v>50</v>
      </c>
      <c r="CU1105">
        <v>0.57880799999999999</v>
      </c>
      <c r="CV1105">
        <v>48.233995999999998</v>
      </c>
      <c r="CW1105">
        <v>50</v>
      </c>
      <c r="CX1105">
        <v>0.89743600000000001</v>
      </c>
      <c r="CY1105">
        <v>0.94</v>
      </c>
      <c r="CZ1105">
        <v>4.2563999999999998E-2</v>
      </c>
      <c r="DA1105">
        <v>15.314097</v>
      </c>
      <c r="DB1105">
        <v>17.400950000000002</v>
      </c>
      <c r="DC1105">
        <v>16.332519999999999</v>
      </c>
      <c r="DD1105">
        <v>7.9891730000000001</v>
      </c>
      <c r="DE1105">
        <v>1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Q1105" t="s">
        <v>126</v>
      </c>
    </row>
    <row r="1106" spans="1:121" x14ac:dyDescent="0.15">
      <c r="A1106">
        <v>2018</v>
      </c>
      <c r="B1106" t="s">
        <v>289</v>
      </c>
      <c r="C1106" t="str">
        <f>"2110012"</f>
        <v>2110012</v>
      </c>
      <c r="D1106" t="s">
        <v>1249</v>
      </c>
      <c r="E1106" t="str">
        <f>"2116112"</f>
        <v>2116112</v>
      </c>
      <c r="F1106" t="s">
        <v>1230</v>
      </c>
      <c r="G1106">
        <v>7</v>
      </c>
      <c r="H1106">
        <v>12</v>
      </c>
      <c r="I1106" t="s">
        <v>330</v>
      </c>
      <c r="J1106" t="s">
        <v>331</v>
      </c>
      <c r="K1106">
        <v>860.06986500000005</v>
      </c>
      <c r="L1106">
        <v>1250</v>
      </c>
      <c r="M1106">
        <v>68.805588999999998</v>
      </c>
      <c r="N1106">
        <v>4</v>
      </c>
      <c r="O1106">
        <v>1</v>
      </c>
      <c r="P1106">
        <v>67.785780000000003</v>
      </c>
      <c r="Q1106">
        <v>45.190519999999999</v>
      </c>
      <c r="R1106">
        <v>50</v>
      </c>
      <c r="S1106">
        <v>58.192709999999998</v>
      </c>
      <c r="T1106">
        <v>75</v>
      </c>
      <c r="U1106">
        <v>38.795140000000004</v>
      </c>
      <c r="V1106">
        <v>50</v>
      </c>
      <c r="W1106">
        <v>57.914122999999996</v>
      </c>
      <c r="X1106">
        <v>38.609414999999998</v>
      </c>
      <c r="Y1106">
        <v>50</v>
      </c>
      <c r="Z1106">
        <v>68.003724000000005</v>
      </c>
      <c r="AA1106">
        <v>46.682302</v>
      </c>
      <c r="AB1106">
        <v>31.121535000000002</v>
      </c>
      <c r="AC1106">
        <v>50</v>
      </c>
      <c r="AD1106">
        <v>66.828322999999997</v>
      </c>
      <c r="AE1106">
        <v>44.552214999999997</v>
      </c>
      <c r="AF1106">
        <v>50</v>
      </c>
      <c r="AG1106">
        <v>54.119667</v>
      </c>
      <c r="AH1106">
        <v>75</v>
      </c>
      <c r="AI1106">
        <v>36.079777999999997</v>
      </c>
      <c r="AJ1106">
        <v>50</v>
      </c>
      <c r="AK1106">
        <v>16.8</v>
      </c>
      <c r="AL1106">
        <v>21.32</v>
      </c>
      <c r="AM1106">
        <v>20.88</v>
      </c>
      <c r="AN1106">
        <v>0.40505799999999997</v>
      </c>
      <c r="AO1106">
        <v>40.505831999999998</v>
      </c>
      <c r="AP1106">
        <v>100</v>
      </c>
      <c r="AQ1106">
        <v>0.38202999999999998</v>
      </c>
      <c r="AR1106">
        <v>38.203048000000003</v>
      </c>
      <c r="AS1106">
        <v>100</v>
      </c>
      <c r="AT1106">
        <v>0.32396200000000003</v>
      </c>
      <c r="AU1106">
        <v>0.48813299999999998</v>
      </c>
      <c r="AV1106">
        <v>32.396158</v>
      </c>
      <c r="AW1106">
        <v>100</v>
      </c>
      <c r="AX1106">
        <v>0.280831</v>
      </c>
      <c r="AY1106">
        <v>0.48569800000000002</v>
      </c>
      <c r="AZ1106">
        <v>28.083102</v>
      </c>
      <c r="BA1106">
        <v>100</v>
      </c>
      <c r="BB1106" t="s">
        <v>125</v>
      </c>
      <c r="BC1106" t="s">
        <v>125</v>
      </c>
      <c r="BD1106" t="s">
        <v>125</v>
      </c>
      <c r="BE1106" t="s">
        <v>125</v>
      </c>
      <c r="BF1106" t="s">
        <v>125</v>
      </c>
      <c r="BG1106" t="s">
        <v>125</v>
      </c>
      <c r="BH1106">
        <v>0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6.4219999999999999E-2</v>
      </c>
      <c r="BS1106">
        <v>47.155963</v>
      </c>
      <c r="BT1106">
        <v>50</v>
      </c>
      <c r="BU1106">
        <v>8.6538000000000004E-2</v>
      </c>
      <c r="BV1106">
        <v>42.692307999999997</v>
      </c>
      <c r="BW1106">
        <v>50</v>
      </c>
      <c r="BX1106">
        <v>0.75384600000000002</v>
      </c>
      <c r="BY1106">
        <v>50</v>
      </c>
      <c r="BZ1106">
        <v>50</v>
      </c>
      <c r="CA1106">
        <v>0.43076900000000001</v>
      </c>
      <c r="CB1106">
        <v>28.717949000000001</v>
      </c>
      <c r="CC1106">
        <v>50</v>
      </c>
      <c r="CD1106">
        <v>1</v>
      </c>
      <c r="CE1106">
        <v>50</v>
      </c>
      <c r="CF1106">
        <v>50</v>
      </c>
      <c r="CG1106">
        <v>0.9</v>
      </c>
      <c r="CH1106">
        <v>95.744681</v>
      </c>
      <c r="CI1106">
        <v>100</v>
      </c>
      <c r="CJ1106">
        <v>0</v>
      </c>
      <c r="CK1106" t="s">
        <v>125</v>
      </c>
      <c r="CL1106" t="s">
        <v>125</v>
      </c>
      <c r="CM1106" t="s">
        <v>125</v>
      </c>
      <c r="CN1106">
        <v>0.65384600000000004</v>
      </c>
      <c r="CO1106">
        <v>87.179486999999995</v>
      </c>
      <c r="CP1106">
        <v>100</v>
      </c>
      <c r="CQ1106">
        <v>0.52564100000000002</v>
      </c>
      <c r="CR1106">
        <v>1</v>
      </c>
      <c r="CS1106">
        <v>35.042735</v>
      </c>
      <c r="CT1106">
        <v>50</v>
      </c>
      <c r="CU1106">
        <v>0.61832100000000001</v>
      </c>
      <c r="CV1106">
        <v>50</v>
      </c>
      <c r="CW1106">
        <v>50</v>
      </c>
      <c r="CX1106" t="s">
        <v>125</v>
      </c>
      <c r="CY1106" t="s">
        <v>125</v>
      </c>
      <c r="CZ1106" t="s">
        <v>125</v>
      </c>
      <c r="DA1106">
        <v>15.314097</v>
      </c>
      <c r="DB1106">
        <v>17.400950000000002</v>
      </c>
      <c r="DC1106">
        <v>16.332519999999999</v>
      </c>
      <c r="DD1106">
        <v>7.9891730000000001</v>
      </c>
      <c r="DE1106">
        <v>1</v>
      </c>
      <c r="DF1106" t="s">
        <v>385</v>
      </c>
      <c r="DG1106" t="s">
        <v>1250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Q1106" t="s">
        <v>126</v>
      </c>
    </row>
    <row r="1107" spans="1:121" x14ac:dyDescent="0.15">
      <c r="A1107">
        <v>2018</v>
      </c>
      <c r="B1107" t="s">
        <v>290</v>
      </c>
      <c r="C1107" t="str">
        <f>"2120012"</f>
        <v>2120012</v>
      </c>
      <c r="D1107" t="s">
        <v>1251</v>
      </c>
      <c r="E1107" t="str">
        <f>"2120212"</f>
        <v>2120212</v>
      </c>
      <c r="F1107" t="s">
        <v>1230</v>
      </c>
      <c r="G1107" t="s">
        <v>339</v>
      </c>
      <c r="H1107">
        <v>5</v>
      </c>
      <c r="J1107" t="s">
        <v>331</v>
      </c>
      <c r="K1107">
        <v>332.34828299999998</v>
      </c>
      <c r="L1107">
        <v>400</v>
      </c>
      <c r="M1107">
        <v>83.087070999999995</v>
      </c>
      <c r="N1107">
        <v>2</v>
      </c>
      <c r="O1107">
        <v>0</v>
      </c>
      <c r="P1107">
        <v>88.591465999999997</v>
      </c>
      <c r="Q1107">
        <v>50</v>
      </c>
      <c r="R1107">
        <v>50</v>
      </c>
      <c r="S1107" t="s">
        <v>125</v>
      </c>
      <c r="T1107">
        <v>75</v>
      </c>
      <c r="U1107" t="s">
        <v>125</v>
      </c>
      <c r="V1107" t="s">
        <v>125</v>
      </c>
      <c r="W1107">
        <v>82.972723999999999</v>
      </c>
      <c r="X1107">
        <v>50</v>
      </c>
      <c r="Y1107">
        <v>50</v>
      </c>
      <c r="Z1107">
        <v>75</v>
      </c>
      <c r="AA1107" t="s">
        <v>125</v>
      </c>
      <c r="AB1107" t="s">
        <v>125</v>
      </c>
      <c r="AC1107" t="s">
        <v>125</v>
      </c>
      <c r="AD1107" t="s">
        <v>125</v>
      </c>
      <c r="AE1107" t="s">
        <v>125</v>
      </c>
      <c r="AF1107" t="s">
        <v>125</v>
      </c>
      <c r="AG1107" t="s">
        <v>125</v>
      </c>
      <c r="AH1107" t="s">
        <v>125</v>
      </c>
      <c r="AI1107" t="s">
        <v>125</v>
      </c>
      <c r="AJ1107" t="s">
        <v>125</v>
      </c>
      <c r="AK1107" t="s">
        <v>125</v>
      </c>
      <c r="AL1107" t="s">
        <v>125</v>
      </c>
      <c r="AM1107" t="s">
        <v>125</v>
      </c>
      <c r="AN1107">
        <v>0.86556599999999995</v>
      </c>
      <c r="AO1107">
        <v>86.556607999999997</v>
      </c>
      <c r="AP1107">
        <v>100</v>
      </c>
      <c r="AQ1107">
        <v>0.76239800000000002</v>
      </c>
      <c r="AR1107">
        <v>76.239818</v>
      </c>
      <c r="AS1107">
        <v>100</v>
      </c>
      <c r="AT1107" t="s">
        <v>125</v>
      </c>
      <c r="AU1107" t="s">
        <v>125</v>
      </c>
      <c r="AV1107" t="s">
        <v>125</v>
      </c>
      <c r="AW1107" t="s">
        <v>125</v>
      </c>
      <c r="AX1107" t="s">
        <v>125</v>
      </c>
      <c r="AY1107" t="s">
        <v>125</v>
      </c>
      <c r="AZ1107" t="s">
        <v>125</v>
      </c>
      <c r="BA1107" t="s">
        <v>125</v>
      </c>
      <c r="BB1107" t="s">
        <v>125</v>
      </c>
      <c r="BC1107" t="s">
        <v>125</v>
      </c>
      <c r="BD1107" t="s">
        <v>125</v>
      </c>
      <c r="BE1107" t="s">
        <v>125</v>
      </c>
      <c r="BF1107" t="s">
        <v>125</v>
      </c>
      <c r="BG1107" t="s">
        <v>125</v>
      </c>
      <c r="BH1107">
        <v>0</v>
      </c>
      <c r="BI1107">
        <v>1</v>
      </c>
      <c r="BJ1107" t="s">
        <v>125</v>
      </c>
      <c r="BK1107">
        <v>1</v>
      </c>
      <c r="BL1107">
        <v>1</v>
      </c>
      <c r="BM1107" t="s">
        <v>125</v>
      </c>
      <c r="BN1107">
        <v>1</v>
      </c>
      <c r="BO1107" t="s">
        <v>125</v>
      </c>
      <c r="BP1107" t="s">
        <v>125</v>
      </c>
      <c r="BQ1107" t="s">
        <v>125</v>
      </c>
      <c r="BR1107">
        <v>7.0422999999999999E-2</v>
      </c>
      <c r="BS1107">
        <v>45.915492999999998</v>
      </c>
      <c r="BT1107">
        <v>50</v>
      </c>
      <c r="BU1107">
        <v>0.18181800000000001</v>
      </c>
      <c r="BV1107">
        <v>23.636364</v>
      </c>
      <c r="BW1107">
        <v>50</v>
      </c>
      <c r="BX1107" t="s">
        <v>125</v>
      </c>
      <c r="BY1107" t="s">
        <v>125</v>
      </c>
      <c r="BZ1107" t="s">
        <v>125</v>
      </c>
      <c r="CA1107" t="s">
        <v>125</v>
      </c>
      <c r="CB1107" t="s">
        <v>125</v>
      </c>
      <c r="CC1107" t="s">
        <v>125</v>
      </c>
      <c r="CD1107" t="s">
        <v>125</v>
      </c>
      <c r="CE1107" t="s">
        <v>125</v>
      </c>
      <c r="CF1107" t="s">
        <v>125</v>
      </c>
      <c r="CG1107" t="s">
        <v>125</v>
      </c>
      <c r="CH1107" t="s">
        <v>125</v>
      </c>
      <c r="CI1107" t="s">
        <v>125</v>
      </c>
      <c r="CJ1107" t="s">
        <v>125</v>
      </c>
      <c r="CK1107" t="s">
        <v>125</v>
      </c>
      <c r="CL1107" t="s">
        <v>125</v>
      </c>
      <c r="CM1107" t="s">
        <v>125</v>
      </c>
      <c r="CN1107" t="s">
        <v>125</v>
      </c>
      <c r="CO1107" t="s">
        <v>125</v>
      </c>
      <c r="CP1107" t="s">
        <v>125</v>
      </c>
      <c r="CQ1107" t="s">
        <v>125</v>
      </c>
      <c r="CR1107" t="s">
        <v>125</v>
      </c>
      <c r="CS1107" t="s">
        <v>125</v>
      </c>
      <c r="CT1107" t="s">
        <v>125</v>
      </c>
      <c r="CU1107" t="s">
        <v>125</v>
      </c>
      <c r="CV1107" t="s">
        <v>125</v>
      </c>
      <c r="CW1107" t="s">
        <v>125</v>
      </c>
      <c r="CX1107" t="s">
        <v>125</v>
      </c>
      <c r="CY1107" t="s">
        <v>125</v>
      </c>
      <c r="CZ1107" t="s">
        <v>125</v>
      </c>
      <c r="DA1107">
        <v>15.314097</v>
      </c>
      <c r="DB1107">
        <v>17.400950000000002</v>
      </c>
      <c r="DC1107">
        <v>16.332519999999999</v>
      </c>
      <c r="DD1107" t="s">
        <v>125</v>
      </c>
      <c r="DE1107">
        <v>0</v>
      </c>
      <c r="DH1107" t="s">
        <v>332</v>
      </c>
      <c r="DI1107" t="s">
        <v>501</v>
      </c>
      <c r="DJ1107">
        <v>0</v>
      </c>
      <c r="DK1107">
        <v>1</v>
      </c>
      <c r="DL1107">
        <v>0</v>
      </c>
      <c r="DM1107">
        <v>0</v>
      </c>
      <c r="DN1107">
        <v>0</v>
      </c>
      <c r="DO1107">
        <v>0</v>
      </c>
      <c r="DQ1107" t="s">
        <v>126</v>
      </c>
    </row>
    <row r="1108" spans="1:121" x14ac:dyDescent="0.15">
      <c r="A1108">
        <v>2018</v>
      </c>
      <c r="B1108" t="s">
        <v>290</v>
      </c>
      <c r="C1108" t="str">
        <f>"2120012"</f>
        <v>2120012</v>
      </c>
      <c r="D1108" t="s">
        <v>1252</v>
      </c>
      <c r="E1108" t="str">
        <f>"2120312"</f>
        <v>2120312</v>
      </c>
      <c r="F1108" t="s">
        <v>1230</v>
      </c>
      <c r="G1108">
        <v>6</v>
      </c>
      <c r="H1108">
        <v>12</v>
      </c>
      <c r="I1108" t="s">
        <v>330</v>
      </c>
      <c r="J1108" t="s">
        <v>331</v>
      </c>
      <c r="K1108">
        <v>962.37665000000004</v>
      </c>
      <c r="L1108">
        <v>1250</v>
      </c>
      <c r="M1108">
        <v>76.990132000000003</v>
      </c>
      <c r="N1108">
        <v>2</v>
      </c>
      <c r="O1108">
        <v>0</v>
      </c>
      <c r="P1108">
        <v>71.901820999999998</v>
      </c>
      <c r="Q1108">
        <v>47.934547000000002</v>
      </c>
      <c r="R1108">
        <v>50</v>
      </c>
      <c r="S1108">
        <v>63.638370999999999</v>
      </c>
      <c r="T1108">
        <v>75</v>
      </c>
      <c r="U1108">
        <v>42.425579999999997</v>
      </c>
      <c r="V1108">
        <v>50</v>
      </c>
      <c r="W1108">
        <v>67.744631999999996</v>
      </c>
      <c r="X1108">
        <v>45.163088000000002</v>
      </c>
      <c r="Y1108">
        <v>50</v>
      </c>
      <c r="Z1108">
        <v>73.831423000000001</v>
      </c>
      <c r="AA1108">
        <v>58.443468000000003</v>
      </c>
      <c r="AB1108">
        <v>38.962311999999997</v>
      </c>
      <c r="AC1108">
        <v>50</v>
      </c>
      <c r="AD1108">
        <v>68.014900999999995</v>
      </c>
      <c r="AE1108">
        <v>45.343266999999997</v>
      </c>
      <c r="AF1108">
        <v>50</v>
      </c>
      <c r="AG1108">
        <v>62.243519999999997</v>
      </c>
      <c r="AH1108">
        <v>71.602515999999994</v>
      </c>
      <c r="AI1108">
        <v>41.49568</v>
      </c>
      <c r="AJ1108">
        <v>50</v>
      </c>
      <c r="AK1108">
        <v>11.36</v>
      </c>
      <c r="AL1108">
        <v>15.38</v>
      </c>
      <c r="AM1108">
        <v>9.35</v>
      </c>
      <c r="AN1108">
        <v>0.55846700000000005</v>
      </c>
      <c r="AO1108">
        <v>55.846744000000001</v>
      </c>
      <c r="AP1108">
        <v>100</v>
      </c>
      <c r="AQ1108">
        <v>0.55197799999999997</v>
      </c>
      <c r="AR1108">
        <v>55.197797999999999</v>
      </c>
      <c r="AS1108">
        <v>100</v>
      </c>
      <c r="AT1108">
        <v>0.55092699999999994</v>
      </c>
      <c r="AU1108">
        <v>0.56346499999999999</v>
      </c>
      <c r="AV1108">
        <v>55.092744000000003</v>
      </c>
      <c r="AW1108">
        <v>100</v>
      </c>
      <c r="AX1108">
        <v>0.47008699999999998</v>
      </c>
      <c r="AY1108">
        <v>0.60530200000000001</v>
      </c>
      <c r="AZ1108">
        <v>47.008716</v>
      </c>
      <c r="BA1108">
        <v>100</v>
      </c>
      <c r="BB1108" t="s">
        <v>125</v>
      </c>
      <c r="BC1108" t="s">
        <v>125</v>
      </c>
      <c r="BD1108" t="s">
        <v>125</v>
      </c>
      <c r="BE1108" t="s">
        <v>125</v>
      </c>
      <c r="BF1108" t="s">
        <v>125</v>
      </c>
      <c r="BG1108" t="s">
        <v>125</v>
      </c>
      <c r="BH1108">
        <v>0</v>
      </c>
      <c r="BI1108">
        <v>0.99567099999999997</v>
      </c>
      <c r="BJ1108">
        <v>1</v>
      </c>
      <c r="BK1108">
        <v>0.99275400000000003</v>
      </c>
      <c r="BL1108">
        <v>0.99567099999999997</v>
      </c>
      <c r="BM1108">
        <v>1</v>
      </c>
      <c r="BN1108">
        <v>0.99275400000000003</v>
      </c>
      <c r="BO1108">
        <v>0.99199999999999999</v>
      </c>
      <c r="BP1108">
        <v>1</v>
      </c>
      <c r="BQ1108">
        <v>0.98666699999999996</v>
      </c>
      <c r="BR1108">
        <v>7.9518000000000005E-2</v>
      </c>
      <c r="BS1108">
        <v>44.096386000000003</v>
      </c>
      <c r="BT1108">
        <v>50</v>
      </c>
      <c r="BU1108">
        <v>0.122449</v>
      </c>
      <c r="BV1108">
        <v>35.510204000000002</v>
      </c>
      <c r="BW1108">
        <v>50</v>
      </c>
      <c r="BX1108">
        <v>0.72222200000000003</v>
      </c>
      <c r="BY1108">
        <v>48.148147999999999</v>
      </c>
      <c r="BZ1108">
        <v>50</v>
      </c>
      <c r="CA1108">
        <v>0.60416700000000001</v>
      </c>
      <c r="CB1108">
        <v>40.277777999999998</v>
      </c>
      <c r="CC1108">
        <v>50</v>
      </c>
      <c r="CD1108">
        <v>0.981132</v>
      </c>
      <c r="CE1108">
        <v>50</v>
      </c>
      <c r="CF1108">
        <v>50</v>
      </c>
      <c r="CG1108">
        <v>0.95238100000000003</v>
      </c>
      <c r="CH1108">
        <v>100</v>
      </c>
      <c r="CI1108">
        <v>100</v>
      </c>
      <c r="CJ1108">
        <v>0</v>
      </c>
      <c r="CK1108" t="s">
        <v>125</v>
      </c>
      <c r="CL1108" t="s">
        <v>125</v>
      </c>
      <c r="CM1108" t="s">
        <v>125</v>
      </c>
      <c r="CN1108">
        <v>0.73770500000000006</v>
      </c>
      <c r="CO1108">
        <v>98.360656000000006</v>
      </c>
      <c r="CP1108">
        <v>100</v>
      </c>
      <c r="CQ1108">
        <v>0.64539000000000002</v>
      </c>
      <c r="CR1108">
        <v>0.89808900000000003</v>
      </c>
      <c r="CS1108">
        <v>21.513002</v>
      </c>
      <c r="CT1108">
        <v>50</v>
      </c>
      <c r="CU1108">
        <v>0.75095800000000001</v>
      </c>
      <c r="CV1108">
        <v>50</v>
      </c>
      <c r="CW1108">
        <v>50</v>
      </c>
      <c r="CX1108" t="s">
        <v>125</v>
      </c>
      <c r="CY1108" t="s">
        <v>125</v>
      </c>
      <c r="CZ1108" t="s">
        <v>125</v>
      </c>
      <c r="DA1108">
        <v>15.314097</v>
      </c>
      <c r="DB1108">
        <v>17.400950000000002</v>
      </c>
      <c r="DC1108">
        <v>16.332519999999999</v>
      </c>
      <c r="DD1108">
        <v>7.9891730000000001</v>
      </c>
      <c r="DE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Q1108" t="s">
        <v>126</v>
      </c>
    </row>
    <row r="1109" spans="1:121" x14ac:dyDescent="0.15">
      <c r="A1109">
        <v>2018</v>
      </c>
      <c r="B1109" t="s">
        <v>290</v>
      </c>
      <c r="C1109" t="str">
        <f>"2120012"</f>
        <v>2120012</v>
      </c>
      <c r="D1109" t="s">
        <v>1253</v>
      </c>
      <c r="E1109" t="str">
        <f>"2120112"</f>
        <v>2120112</v>
      </c>
      <c r="F1109" t="s">
        <v>1230</v>
      </c>
      <c r="G1109" t="s">
        <v>339</v>
      </c>
      <c r="H1109">
        <v>5</v>
      </c>
      <c r="J1109" t="s">
        <v>331</v>
      </c>
      <c r="K1109">
        <v>250</v>
      </c>
      <c r="L1109">
        <v>250</v>
      </c>
      <c r="M1109">
        <v>100</v>
      </c>
      <c r="N1109">
        <v>1</v>
      </c>
      <c r="O1109">
        <v>0</v>
      </c>
      <c r="P1109">
        <v>91.679069999999996</v>
      </c>
      <c r="Q1109">
        <v>100</v>
      </c>
      <c r="R1109">
        <v>100</v>
      </c>
      <c r="S1109" t="s">
        <v>125</v>
      </c>
      <c r="T1109" t="s">
        <v>125</v>
      </c>
      <c r="U1109" t="s">
        <v>125</v>
      </c>
      <c r="V1109" t="s">
        <v>125</v>
      </c>
      <c r="W1109">
        <v>90.831243999999998</v>
      </c>
      <c r="X1109">
        <v>100</v>
      </c>
      <c r="Y1109">
        <v>100</v>
      </c>
      <c r="Z1109" t="s">
        <v>125</v>
      </c>
      <c r="AA1109" t="s">
        <v>125</v>
      </c>
      <c r="AB1109" t="s">
        <v>125</v>
      </c>
      <c r="AC1109" t="s">
        <v>125</v>
      </c>
      <c r="AD1109" t="s">
        <v>125</v>
      </c>
      <c r="AE1109" t="s">
        <v>125</v>
      </c>
      <c r="AF1109" t="s">
        <v>125</v>
      </c>
      <c r="AG1109" t="s">
        <v>125</v>
      </c>
      <c r="AH1109" t="s">
        <v>125</v>
      </c>
      <c r="AI1109" t="s">
        <v>125</v>
      </c>
      <c r="AJ1109" t="s">
        <v>125</v>
      </c>
      <c r="AK1109" t="s">
        <v>125</v>
      </c>
      <c r="AL1109" t="s">
        <v>125</v>
      </c>
      <c r="AM1109" t="s">
        <v>125</v>
      </c>
      <c r="AN1109" t="s">
        <v>125</v>
      </c>
      <c r="AO1109" t="s">
        <v>125</v>
      </c>
      <c r="AP1109" t="s">
        <v>125</v>
      </c>
      <c r="AQ1109" t="s">
        <v>125</v>
      </c>
      <c r="AR1109" t="s">
        <v>125</v>
      </c>
      <c r="AS1109" t="s">
        <v>125</v>
      </c>
      <c r="AT1109" t="s">
        <v>125</v>
      </c>
      <c r="AU1109" t="s">
        <v>125</v>
      </c>
      <c r="AV1109" t="s">
        <v>125</v>
      </c>
      <c r="AW1109" t="s">
        <v>125</v>
      </c>
      <c r="AX1109" t="s">
        <v>125</v>
      </c>
      <c r="AY1109" t="s">
        <v>125</v>
      </c>
      <c r="AZ1109" t="s">
        <v>125</v>
      </c>
      <c r="BA1109" t="s">
        <v>125</v>
      </c>
      <c r="BB1109" t="s">
        <v>125</v>
      </c>
      <c r="BC1109" t="s">
        <v>125</v>
      </c>
      <c r="BD1109" t="s">
        <v>125</v>
      </c>
      <c r="BE1109" t="s">
        <v>125</v>
      </c>
      <c r="BF1109" t="s">
        <v>125</v>
      </c>
      <c r="BG1109" t="s">
        <v>125</v>
      </c>
      <c r="BH1109">
        <v>0</v>
      </c>
      <c r="BI1109">
        <v>0.961538</v>
      </c>
      <c r="BJ1109" t="s">
        <v>125</v>
      </c>
      <c r="BK1109" t="s">
        <v>125</v>
      </c>
      <c r="BL1109">
        <v>0.961538</v>
      </c>
      <c r="BM1109" t="s">
        <v>125</v>
      </c>
      <c r="BN1109" t="s">
        <v>125</v>
      </c>
      <c r="BO1109" t="s">
        <v>125</v>
      </c>
      <c r="BP1109" t="s">
        <v>125</v>
      </c>
      <c r="BQ1109" t="s">
        <v>125</v>
      </c>
      <c r="BR1109">
        <v>3.8462000000000003E-2</v>
      </c>
      <c r="BS1109">
        <v>50</v>
      </c>
      <c r="BT1109">
        <v>50</v>
      </c>
      <c r="BU1109" t="s">
        <v>125</v>
      </c>
      <c r="BV1109" t="s">
        <v>125</v>
      </c>
      <c r="BW1109" t="s">
        <v>125</v>
      </c>
      <c r="BX1109" t="s">
        <v>125</v>
      </c>
      <c r="BY1109" t="s">
        <v>125</v>
      </c>
      <c r="BZ1109" t="s">
        <v>125</v>
      </c>
      <c r="CA1109" t="s">
        <v>125</v>
      </c>
      <c r="CB1109" t="s">
        <v>125</v>
      </c>
      <c r="CC1109" t="s">
        <v>125</v>
      </c>
      <c r="CD1109" t="s">
        <v>125</v>
      </c>
      <c r="CE1109" t="s">
        <v>125</v>
      </c>
      <c r="CF1109" t="s">
        <v>125</v>
      </c>
      <c r="CG1109" t="s">
        <v>125</v>
      </c>
      <c r="CH1109" t="s">
        <v>125</v>
      </c>
      <c r="CI1109" t="s">
        <v>125</v>
      </c>
      <c r="CJ1109" t="s">
        <v>125</v>
      </c>
      <c r="CK1109" t="s">
        <v>125</v>
      </c>
      <c r="CL1109" t="s">
        <v>125</v>
      </c>
      <c r="CM1109" t="s">
        <v>125</v>
      </c>
      <c r="CN1109" t="s">
        <v>125</v>
      </c>
      <c r="CO1109" t="s">
        <v>125</v>
      </c>
      <c r="CP1109" t="s">
        <v>125</v>
      </c>
      <c r="CQ1109" t="s">
        <v>125</v>
      </c>
      <c r="CR1109" t="s">
        <v>125</v>
      </c>
      <c r="CS1109" t="s">
        <v>125</v>
      </c>
      <c r="CT1109" t="s">
        <v>125</v>
      </c>
      <c r="CU1109" t="s">
        <v>125</v>
      </c>
      <c r="CV1109" t="s">
        <v>125</v>
      </c>
      <c r="CW1109" t="s">
        <v>125</v>
      </c>
      <c r="CX1109" t="s">
        <v>125</v>
      </c>
      <c r="CY1109" t="s">
        <v>125</v>
      </c>
      <c r="CZ1109" t="s">
        <v>125</v>
      </c>
      <c r="DA1109">
        <v>15.314097</v>
      </c>
      <c r="DB1109">
        <v>17.400950000000002</v>
      </c>
      <c r="DC1109">
        <v>16.332519999999999</v>
      </c>
      <c r="DD1109" t="s">
        <v>125</v>
      </c>
      <c r="DE1109">
        <v>0</v>
      </c>
      <c r="DH1109" t="s">
        <v>332</v>
      </c>
      <c r="DI1109" t="s">
        <v>333</v>
      </c>
      <c r="DJ1109">
        <v>1</v>
      </c>
      <c r="DK1109">
        <v>0</v>
      </c>
      <c r="DL1109">
        <v>0</v>
      </c>
      <c r="DM1109">
        <v>0</v>
      </c>
      <c r="DN1109">
        <v>0</v>
      </c>
      <c r="DO1109">
        <v>0</v>
      </c>
      <c r="DQ1109" t="s">
        <v>126</v>
      </c>
    </row>
    <row r="1110" spans="1:121" x14ac:dyDescent="0.15">
      <c r="A1110">
        <v>2018</v>
      </c>
      <c r="B1110" t="s">
        <v>290</v>
      </c>
      <c r="C1110" t="str">
        <f>"2120012"</f>
        <v>2120012</v>
      </c>
      <c r="D1110" t="s">
        <v>1254</v>
      </c>
      <c r="E1110" t="str">
        <f>"2120412"</f>
        <v>2120412</v>
      </c>
      <c r="F1110" t="s">
        <v>1230</v>
      </c>
      <c r="G1110" t="s">
        <v>329</v>
      </c>
      <c r="H1110">
        <v>5</v>
      </c>
      <c r="I1110" t="s">
        <v>330</v>
      </c>
      <c r="J1110" t="s">
        <v>331</v>
      </c>
      <c r="K1110">
        <v>397.46250400000002</v>
      </c>
      <c r="L1110">
        <v>450</v>
      </c>
      <c r="M1110">
        <v>88.325001</v>
      </c>
      <c r="N1110">
        <v>1</v>
      </c>
      <c r="O1110">
        <v>0</v>
      </c>
      <c r="P1110">
        <v>84.890968999999998</v>
      </c>
      <c r="Q1110">
        <v>50</v>
      </c>
      <c r="R1110">
        <v>50</v>
      </c>
      <c r="S1110" t="s">
        <v>125</v>
      </c>
      <c r="T1110">
        <v>75</v>
      </c>
      <c r="U1110" t="s">
        <v>125</v>
      </c>
      <c r="V1110" t="s">
        <v>125</v>
      </c>
      <c r="W1110">
        <v>83.653509999999997</v>
      </c>
      <c r="X1110">
        <v>50</v>
      </c>
      <c r="Y1110">
        <v>50</v>
      </c>
      <c r="Z1110">
        <v>75</v>
      </c>
      <c r="AA1110" t="s">
        <v>125</v>
      </c>
      <c r="AB1110" t="s">
        <v>125</v>
      </c>
      <c r="AC1110" t="s">
        <v>125</v>
      </c>
      <c r="AD1110">
        <v>82.193548000000007</v>
      </c>
      <c r="AE1110">
        <v>50</v>
      </c>
      <c r="AF1110">
        <v>50</v>
      </c>
      <c r="AG1110" t="s">
        <v>125</v>
      </c>
      <c r="AH1110" t="s">
        <v>125</v>
      </c>
      <c r="AI1110" t="s">
        <v>125</v>
      </c>
      <c r="AJ1110" t="s">
        <v>125</v>
      </c>
      <c r="AK1110" t="s">
        <v>125</v>
      </c>
      <c r="AL1110" t="s">
        <v>125</v>
      </c>
      <c r="AM1110" t="s">
        <v>125</v>
      </c>
      <c r="AN1110">
        <v>0.78619300000000003</v>
      </c>
      <c r="AO1110">
        <v>78.619304</v>
      </c>
      <c r="AP1110">
        <v>100</v>
      </c>
      <c r="AQ1110">
        <v>0.82866600000000001</v>
      </c>
      <c r="AR1110">
        <v>82.866602999999998</v>
      </c>
      <c r="AS1110">
        <v>100</v>
      </c>
      <c r="AT1110" t="s">
        <v>125</v>
      </c>
      <c r="AU1110">
        <v>0.82493799999999995</v>
      </c>
      <c r="AV1110" t="s">
        <v>125</v>
      </c>
      <c r="AW1110" t="s">
        <v>125</v>
      </c>
      <c r="AX1110" t="s">
        <v>125</v>
      </c>
      <c r="AY1110">
        <v>0.861487</v>
      </c>
      <c r="AZ1110" t="s">
        <v>125</v>
      </c>
      <c r="BA1110" t="s">
        <v>125</v>
      </c>
      <c r="BB1110" t="s">
        <v>125</v>
      </c>
      <c r="BC1110" t="s">
        <v>125</v>
      </c>
      <c r="BD1110" t="s">
        <v>125</v>
      </c>
      <c r="BE1110" t="s">
        <v>125</v>
      </c>
      <c r="BF1110" t="s">
        <v>125</v>
      </c>
      <c r="BG1110" t="s">
        <v>125</v>
      </c>
      <c r="BH1110">
        <v>0</v>
      </c>
      <c r="BI1110">
        <v>1</v>
      </c>
      <c r="BJ1110" t="s">
        <v>125</v>
      </c>
      <c r="BK1110">
        <v>1</v>
      </c>
      <c r="BL1110">
        <v>1</v>
      </c>
      <c r="BM1110" t="s">
        <v>125</v>
      </c>
      <c r="BN1110">
        <v>1</v>
      </c>
      <c r="BO1110">
        <v>1</v>
      </c>
      <c r="BP1110" t="s">
        <v>125</v>
      </c>
      <c r="BQ1110" t="s">
        <v>125</v>
      </c>
      <c r="BR1110">
        <v>7.9208000000000001E-2</v>
      </c>
      <c r="BS1110">
        <v>44.158416000000003</v>
      </c>
      <c r="BT1110">
        <v>50</v>
      </c>
      <c r="BU1110">
        <v>9.0909000000000004E-2</v>
      </c>
      <c r="BV1110">
        <v>41.818182</v>
      </c>
      <c r="BW1110">
        <v>50</v>
      </c>
      <c r="BX1110" t="s">
        <v>125</v>
      </c>
      <c r="BY1110" t="s">
        <v>125</v>
      </c>
      <c r="BZ1110" t="s">
        <v>125</v>
      </c>
      <c r="CA1110" t="s">
        <v>125</v>
      </c>
      <c r="CB1110" t="s">
        <v>125</v>
      </c>
      <c r="CC1110" t="s">
        <v>125</v>
      </c>
      <c r="CD1110" t="s">
        <v>125</v>
      </c>
      <c r="CE1110" t="s">
        <v>125</v>
      </c>
      <c r="CF1110" t="s">
        <v>125</v>
      </c>
      <c r="CG1110" t="s">
        <v>125</v>
      </c>
      <c r="CH1110" t="s">
        <v>125</v>
      </c>
      <c r="CI1110" t="s">
        <v>125</v>
      </c>
      <c r="CJ1110" t="s">
        <v>125</v>
      </c>
      <c r="CK1110" t="s">
        <v>125</v>
      </c>
      <c r="CL1110" t="s">
        <v>125</v>
      </c>
      <c r="CM1110" t="s">
        <v>125</v>
      </c>
      <c r="CN1110" t="s">
        <v>125</v>
      </c>
      <c r="CO1110" t="s">
        <v>125</v>
      </c>
      <c r="CP1110" t="s">
        <v>125</v>
      </c>
      <c r="CQ1110" t="s">
        <v>125</v>
      </c>
      <c r="CR1110" t="s">
        <v>125</v>
      </c>
      <c r="CS1110" t="s">
        <v>125</v>
      </c>
      <c r="CT1110" t="s">
        <v>125</v>
      </c>
      <c r="CU1110" t="s">
        <v>125</v>
      </c>
      <c r="CV1110" t="s">
        <v>125</v>
      </c>
      <c r="CW1110" t="s">
        <v>125</v>
      </c>
      <c r="CX1110" t="s">
        <v>125</v>
      </c>
      <c r="CY1110" t="s">
        <v>125</v>
      </c>
      <c r="CZ1110" t="s">
        <v>125</v>
      </c>
      <c r="DA1110">
        <v>15.314097</v>
      </c>
      <c r="DB1110">
        <v>17.400950000000002</v>
      </c>
      <c r="DC1110">
        <v>16.332519999999999</v>
      </c>
      <c r="DD1110" t="s">
        <v>125</v>
      </c>
      <c r="DE1110">
        <v>0</v>
      </c>
      <c r="DH1110" t="s">
        <v>332</v>
      </c>
      <c r="DI1110" t="s">
        <v>739</v>
      </c>
      <c r="DJ1110">
        <v>1</v>
      </c>
      <c r="DK1110">
        <v>1</v>
      </c>
      <c r="DL1110">
        <v>0</v>
      </c>
      <c r="DM1110">
        <v>0</v>
      </c>
      <c r="DN1110">
        <v>0</v>
      </c>
      <c r="DO1110">
        <v>0</v>
      </c>
      <c r="DQ1110" t="s">
        <v>126</v>
      </c>
    </row>
    <row r="1111" spans="1:121" x14ac:dyDescent="0.15">
      <c r="A1111">
        <v>2018</v>
      </c>
      <c r="B1111" t="s">
        <v>291</v>
      </c>
      <c r="C1111" t="str">
        <f>"2130012"</f>
        <v>2130012</v>
      </c>
      <c r="D1111" t="s">
        <v>1255</v>
      </c>
      <c r="E1111" t="str">
        <f>"2136112"</f>
        <v>2136112</v>
      </c>
      <c r="F1111" t="s">
        <v>1230</v>
      </c>
      <c r="G1111">
        <v>9</v>
      </c>
      <c r="H1111">
        <v>12</v>
      </c>
      <c r="I1111" t="s">
        <v>330</v>
      </c>
      <c r="J1111" t="s">
        <v>331</v>
      </c>
      <c r="K1111">
        <v>1194.540923</v>
      </c>
      <c r="L1111">
        <v>1450</v>
      </c>
      <c r="M1111">
        <v>82.382132999999996</v>
      </c>
      <c r="N1111">
        <v>3</v>
      </c>
      <c r="O1111">
        <v>1</v>
      </c>
      <c r="P1111">
        <v>66.450819999999993</v>
      </c>
      <c r="Q1111">
        <v>132.90163899999999</v>
      </c>
      <c r="R1111">
        <v>150</v>
      </c>
      <c r="S1111">
        <v>52.511904999999999</v>
      </c>
      <c r="T1111">
        <v>70.602836999999994</v>
      </c>
      <c r="U1111">
        <v>105.02381</v>
      </c>
      <c r="V1111">
        <v>150</v>
      </c>
      <c r="W1111">
        <v>61.476776000000001</v>
      </c>
      <c r="X1111">
        <v>122.953552</v>
      </c>
      <c r="Y1111">
        <v>150</v>
      </c>
      <c r="Z1111">
        <v>64.73227</v>
      </c>
      <c r="AA1111">
        <v>50.547618999999997</v>
      </c>
      <c r="AB1111">
        <v>101.09523799999999</v>
      </c>
      <c r="AC1111">
        <v>150</v>
      </c>
      <c r="AD1111">
        <v>68.999189000000001</v>
      </c>
      <c r="AE1111">
        <v>91.998919000000001</v>
      </c>
      <c r="AF1111">
        <v>100</v>
      </c>
      <c r="AG1111">
        <v>54.516483999999998</v>
      </c>
      <c r="AH1111">
        <v>73.515302000000005</v>
      </c>
      <c r="AI1111">
        <v>72.688644999999994</v>
      </c>
      <c r="AJ1111">
        <v>100</v>
      </c>
      <c r="AK1111">
        <v>18.09</v>
      </c>
      <c r="AL1111">
        <v>14.18</v>
      </c>
      <c r="AM1111">
        <v>18.989999999999998</v>
      </c>
      <c r="AN1111" t="s">
        <v>125</v>
      </c>
      <c r="AO1111" t="s">
        <v>125</v>
      </c>
      <c r="AP1111" t="s">
        <v>125</v>
      </c>
      <c r="AQ1111" t="s">
        <v>125</v>
      </c>
      <c r="AR1111" t="s">
        <v>125</v>
      </c>
      <c r="AS1111" t="s">
        <v>125</v>
      </c>
      <c r="AT1111" t="s">
        <v>125</v>
      </c>
      <c r="AU1111" t="s">
        <v>125</v>
      </c>
      <c r="AV1111" t="s">
        <v>125</v>
      </c>
      <c r="AW1111" t="s">
        <v>125</v>
      </c>
      <c r="AX1111" t="s">
        <v>125</v>
      </c>
      <c r="AY1111" t="s">
        <v>125</v>
      </c>
      <c r="AZ1111" t="s">
        <v>125</v>
      </c>
      <c r="BA1111" t="s">
        <v>125</v>
      </c>
      <c r="BB1111" t="s">
        <v>125</v>
      </c>
      <c r="BC1111" t="s">
        <v>125</v>
      </c>
      <c r="BD1111" t="s">
        <v>125</v>
      </c>
      <c r="BE1111" t="s">
        <v>125</v>
      </c>
      <c r="BF1111" t="s">
        <v>125</v>
      </c>
      <c r="BG1111" t="s">
        <v>125</v>
      </c>
      <c r="BH1111">
        <v>1</v>
      </c>
      <c r="BI1111">
        <v>0.98412699999999997</v>
      </c>
      <c r="BJ1111">
        <v>0.93333299999999997</v>
      </c>
      <c r="BK1111">
        <v>1</v>
      </c>
      <c r="BL1111">
        <v>0.98412699999999997</v>
      </c>
      <c r="BM1111">
        <v>0.93333299999999997</v>
      </c>
      <c r="BN1111">
        <v>1</v>
      </c>
      <c r="BO1111">
        <v>0.98412699999999997</v>
      </c>
      <c r="BP1111">
        <v>0.96666700000000005</v>
      </c>
      <c r="BQ1111">
        <v>0.98958299999999999</v>
      </c>
      <c r="BR1111">
        <v>8.7549000000000002E-2</v>
      </c>
      <c r="BS1111">
        <v>42.490271999999997</v>
      </c>
      <c r="BT1111">
        <v>50</v>
      </c>
      <c r="BU1111">
        <v>0.170543</v>
      </c>
      <c r="BV1111">
        <v>25.891473000000001</v>
      </c>
      <c r="BW1111">
        <v>50</v>
      </c>
      <c r="BX1111">
        <v>0.97358500000000003</v>
      </c>
      <c r="BY1111">
        <v>50</v>
      </c>
      <c r="BZ1111">
        <v>50</v>
      </c>
      <c r="CA1111">
        <v>0.53584900000000002</v>
      </c>
      <c r="CB1111">
        <v>35.723269999999999</v>
      </c>
      <c r="CC1111">
        <v>50</v>
      </c>
      <c r="CD1111">
        <v>0.96521699999999999</v>
      </c>
      <c r="CE1111">
        <v>50</v>
      </c>
      <c r="CF1111">
        <v>50</v>
      </c>
      <c r="CG1111">
        <v>0.98425200000000002</v>
      </c>
      <c r="CH1111">
        <v>100</v>
      </c>
      <c r="CI1111">
        <v>100</v>
      </c>
      <c r="CJ1111">
        <v>0</v>
      </c>
      <c r="CK1111">
        <v>0.97222200000000003</v>
      </c>
      <c r="CL1111">
        <v>100</v>
      </c>
      <c r="CM1111">
        <v>100</v>
      </c>
      <c r="CN1111">
        <v>0.872</v>
      </c>
      <c r="CO1111">
        <v>100</v>
      </c>
      <c r="CP1111">
        <v>100</v>
      </c>
      <c r="CQ1111">
        <v>0.41322300000000001</v>
      </c>
      <c r="CR1111">
        <v>0.89629599999999998</v>
      </c>
      <c r="CS1111">
        <v>13.774105</v>
      </c>
      <c r="CT1111">
        <v>50</v>
      </c>
      <c r="CU1111">
        <v>0.60505799999999998</v>
      </c>
      <c r="CV1111">
        <v>50</v>
      </c>
      <c r="CW1111">
        <v>50</v>
      </c>
      <c r="CX1111">
        <v>0.97222200000000003</v>
      </c>
      <c r="CY1111">
        <v>0.94</v>
      </c>
      <c r="CZ1111">
        <v>-3.2222000000000001E-2</v>
      </c>
      <c r="DA1111">
        <v>15.314097</v>
      </c>
      <c r="DB1111">
        <v>17.400950000000002</v>
      </c>
      <c r="DC1111">
        <v>16.332519999999999</v>
      </c>
      <c r="DD1111">
        <v>7.9891730000000001</v>
      </c>
      <c r="DE1111">
        <v>1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Q1111" t="s">
        <v>126</v>
      </c>
    </row>
    <row r="1112" spans="1:121" x14ac:dyDescent="0.15">
      <c r="A1112">
        <v>2018</v>
      </c>
      <c r="B1112" t="s">
        <v>291</v>
      </c>
      <c r="C1112" t="str">
        <f>"2130012"</f>
        <v>2130012</v>
      </c>
      <c r="D1112" t="s">
        <v>1256</v>
      </c>
      <c r="E1112" t="str">
        <f>"2135112"</f>
        <v>2135112</v>
      </c>
      <c r="F1112" t="s">
        <v>1230</v>
      </c>
      <c r="G1112">
        <v>7</v>
      </c>
      <c r="H1112">
        <v>8</v>
      </c>
      <c r="I1112" t="s">
        <v>330</v>
      </c>
      <c r="J1112" t="s">
        <v>331</v>
      </c>
      <c r="K1112">
        <v>712.04211399999997</v>
      </c>
      <c r="L1112">
        <v>900</v>
      </c>
      <c r="M1112">
        <v>79.115790000000004</v>
      </c>
      <c r="N1112">
        <v>2</v>
      </c>
      <c r="O1112">
        <v>0</v>
      </c>
      <c r="P1112">
        <v>74.927147000000005</v>
      </c>
      <c r="Q1112">
        <v>49.951430999999999</v>
      </c>
      <c r="R1112">
        <v>50</v>
      </c>
      <c r="S1112">
        <v>61.014015000000001</v>
      </c>
      <c r="T1112">
        <v>75</v>
      </c>
      <c r="U1112">
        <v>40.676009999999998</v>
      </c>
      <c r="V1112">
        <v>50</v>
      </c>
      <c r="W1112">
        <v>72.059593000000007</v>
      </c>
      <c r="X1112">
        <v>48.039727999999997</v>
      </c>
      <c r="Y1112">
        <v>50</v>
      </c>
      <c r="Z1112">
        <v>75</v>
      </c>
      <c r="AA1112">
        <v>58.131917999999999</v>
      </c>
      <c r="AB1112">
        <v>38.754612000000002</v>
      </c>
      <c r="AC1112">
        <v>50</v>
      </c>
      <c r="AD1112">
        <v>74.177781999999993</v>
      </c>
      <c r="AE1112">
        <v>49.451853999999997</v>
      </c>
      <c r="AF1112">
        <v>50</v>
      </c>
      <c r="AG1112">
        <v>64.009974999999997</v>
      </c>
      <c r="AH1112">
        <v>75</v>
      </c>
      <c r="AI1112">
        <v>42.673316999999997</v>
      </c>
      <c r="AJ1112">
        <v>50</v>
      </c>
      <c r="AK1112">
        <v>13.98</v>
      </c>
      <c r="AL1112">
        <v>16.86</v>
      </c>
      <c r="AM1112">
        <v>10.99</v>
      </c>
      <c r="AN1112">
        <v>0.67002300000000004</v>
      </c>
      <c r="AO1112">
        <v>67.002302999999998</v>
      </c>
      <c r="AP1112">
        <v>100</v>
      </c>
      <c r="AQ1112">
        <v>0.79167699999999996</v>
      </c>
      <c r="AR1112">
        <v>79.167687000000001</v>
      </c>
      <c r="AS1112">
        <v>100</v>
      </c>
      <c r="AT1112">
        <v>0.586503</v>
      </c>
      <c r="AU1112">
        <v>0.70315099999999997</v>
      </c>
      <c r="AV1112">
        <v>58.650270999999996</v>
      </c>
      <c r="AW1112">
        <v>100</v>
      </c>
      <c r="AX1112">
        <v>0.64461199999999996</v>
      </c>
      <c r="AY1112">
        <v>0.85001000000000004</v>
      </c>
      <c r="AZ1112">
        <v>64.461150000000004</v>
      </c>
      <c r="BA1112">
        <v>100</v>
      </c>
      <c r="BB1112" t="s">
        <v>125</v>
      </c>
      <c r="BC1112" t="s">
        <v>125</v>
      </c>
      <c r="BD1112" t="s">
        <v>125</v>
      </c>
      <c r="BE1112" t="s">
        <v>125</v>
      </c>
      <c r="BF1112" t="s">
        <v>125</v>
      </c>
      <c r="BG1112" t="s">
        <v>125</v>
      </c>
      <c r="BH1112">
        <v>0</v>
      </c>
      <c r="BI1112">
        <v>0.98846199999999995</v>
      </c>
      <c r="BJ1112">
        <v>1</v>
      </c>
      <c r="BK1112">
        <v>0.98369600000000001</v>
      </c>
      <c r="BL1112">
        <v>0.98846199999999995</v>
      </c>
      <c r="BM1112">
        <v>1</v>
      </c>
      <c r="BN1112">
        <v>0.98369600000000001</v>
      </c>
      <c r="BO1112">
        <v>0.98639500000000002</v>
      </c>
      <c r="BP1112">
        <v>1</v>
      </c>
      <c r="BQ1112">
        <v>0.98130799999999996</v>
      </c>
      <c r="BR1112">
        <v>6.1538000000000002E-2</v>
      </c>
      <c r="BS1112">
        <v>47.692307999999997</v>
      </c>
      <c r="BT1112">
        <v>50</v>
      </c>
      <c r="BU1112">
        <v>0.105263</v>
      </c>
      <c r="BV1112">
        <v>38.947367999999997</v>
      </c>
      <c r="BW1112">
        <v>50</v>
      </c>
      <c r="BX1112" t="s">
        <v>125</v>
      </c>
      <c r="BY1112" t="s">
        <v>125</v>
      </c>
      <c r="BZ1112" t="s">
        <v>125</v>
      </c>
      <c r="CA1112" t="s">
        <v>125</v>
      </c>
      <c r="CB1112" t="s">
        <v>125</v>
      </c>
      <c r="CC1112" t="s">
        <v>125</v>
      </c>
      <c r="CD1112">
        <v>0.98333300000000001</v>
      </c>
      <c r="CE1112">
        <v>50</v>
      </c>
      <c r="CF1112">
        <v>50</v>
      </c>
      <c r="CG1112" t="s">
        <v>125</v>
      </c>
      <c r="CH1112" t="s">
        <v>125</v>
      </c>
      <c r="CI1112" t="s">
        <v>125</v>
      </c>
      <c r="CJ1112" t="s">
        <v>125</v>
      </c>
      <c r="CK1112" t="s">
        <v>125</v>
      </c>
      <c r="CL1112" t="s">
        <v>125</v>
      </c>
      <c r="CM1112" t="s">
        <v>125</v>
      </c>
      <c r="CN1112" t="s">
        <v>125</v>
      </c>
      <c r="CO1112" t="s">
        <v>125</v>
      </c>
      <c r="CP1112" t="s">
        <v>125</v>
      </c>
      <c r="CQ1112">
        <v>0.54861099999999996</v>
      </c>
      <c r="CR1112">
        <v>0.97959200000000002</v>
      </c>
      <c r="CS1112">
        <v>36.574074000000003</v>
      </c>
      <c r="CT1112">
        <v>50</v>
      </c>
      <c r="CU1112" t="s">
        <v>125</v>
      </c>
      <c r="CV1112" t="s">
        <v>125</v>
      </c>
      <c r="CW1112" t="s">
        <v>125</v>
      </c>
      <c r="CX1112" t="s">
        <v>125</v>
      </c>
      <c r="CY1112" t="s">
        <v>125</v>
      </c>
      <c r="CZ1112" t="s">
        <v>125</v>
      </c>
      <c r="DA1112">
        <v>15.314097</v>
      </c>
      <c r="DB1112">
        <v>17.400950000000002</v>
      </c>
      <c r="DC1112">
        <v>16.332519999999999</v>
      </c>
      <c r="DD1112" t="s">
        <v>125</v>
      </c>
      <c r="DE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Q1112" t="s">
        <v>126</v>
      </c>
    </row>
    <row r="1113" spans="1:121" x14ac:dyDescent="0.15">
      <c r="A1113">
        <v>2018</v>
      </c>
      <c r="B1113" t="s">
        <v>291</v>
      </c>
      <c r="C1113" t="str">
        <f>"2130012"</f>
        <v>2130012</v>
      </c>
      <c r="D1113" t="s">
        <v>1257</v>
      </c>
      <c r="E1113" t="str">
        <f>"2130112"</f>
        <v>2130112</v>
      </c>
      <c r="F1113" t="s">
        <v>1230</v>
      </c>
      <c r="G1113" t="s">
        <v>329</v>
      </c>
      <c r="H1113">
        <v>3</v>
      </c>
      <c r="I1113" t="s">
        <v>330</v>
      </c>
      <c r="J1113" t="s">
        <v>331</v>
      </c>
      <c r="K1113">
        <v>413.62412799999998</v>
      </c>
      <c r="L1113">
        <v>500</v>
      </c>
      <c r="M1113">
        <v>82.724825999999993</v>
      </c>
      <c r="N1113">
        <v>3</v>
      </c>
      <c r="O1113">
        <v>1</v>
      </c>
      <c r="P1113">
        <v>68.434692999999996</v>
      </c>
      <c r="Q1113">
        <v>91.246257</v>
      </c>
      <c r="R1113">
        <v>100</v>
      </c>
      <c r="S1113">
        <v>55.503897000000002</v>
      </c>
      <c r="T1113">
        <v>75</v>
      </c>
      <c r="U1113">
        <v>74.005195000000001</v>
      </c>
      <c r="V1113">
        <v>100</v>
      </c>
      <c r="W1113">
        <v>65.646636000000001</v>
      </c>
      <c r="X1113">
        <v>87.528848999999994</v>
      </c>
      <c r="Y1113">
        <v>100</v>
      </c>
      <c r="Z1113">
        <v>74.966475000000003</v>
      </c>
      <c r="AA1113">
        <v>52.132869999999997</v>
      </c>
      <c r="AB1113">
        <v>69.510493999999994</v>
      </c>
      <c r="AC1113">
        <v>100</v>
      </c>
      <c r="AD1113" t="s">
        <v>125</v>
      </c>
      <c r="AE1113" t="s">
        <v>125</v>
      </c>
      <c r="AF1113" t="s">
        <v>125</v>
      </c>
      <c r="AG1113" t="s">
        <v>125</v>
      </c>
      <c r="AH1113" t="s">
        <v>125</v>
      </c>
      <c r="AI1113" t="s">
        <v>125</v>
      </c>
      <c r="AJ1113" t="s">
        <v>125</v>
      </c>
      <c r="AK1113">
        <v>19.489999999999998</v>
      </c>
      <c r="AL1113">
        <v>22.83</v>
      </c>
      <c r="AM1113" t="s">
        <v>125</v>
      </c>
      <c r="AN1113" t="s">
        <v>125</v>
      </c>
      <c r="AO1113" t="s">
        <v>125</v>
      </c>
      <c r="AP1113" t="s">
        <v>125</v>
      </c>
      <c r="AQ1113" t="s">
        <v>125</v>
      </c>
      <c r="AR1113" t="s">
        <v>125</v>
      </c>
      <c r="AS1113" t="s">
        <v>125</v>
      </c>
      <c r="AT1113" t="s">
        <v>125</v>
      </c>
      <c r="AU1113" t="s">
        <v>125</v>
      </c>
      <c r="AV1113" t="s">
        <v>125</v>
      </c>
      <c r="AW1113" t="s">
        <v>125</v>
      </c>
      <c r="AX1113" t="s">
        <v>125</v>
      </c>
      <c r="AY1113" t="s">
        <v>125</v>
      </c>
      <c r="AZ1113" t="s">
        <v>125</v>
      </c>
      <c r="BA1113" t="s">
        <v>125</v>
      </c>
      <c r="BB1113" t="s">
        <v>125</v>
      </c>
      <c r="BC1113" t="s">
        <v>125</v>
      </c>
      <c r="BD1113" t="s">
        <v>125</v>
      </c>
      <c r="BE1113" t="s">
        <v>125</v>
      </c>
      <c r="BF1113" t="s">
        <v>125</v>
      </c>
      <c r="BG1113" t="s">
        <v>125</v>
      </c>
      <c r="BH1113">
        <v>0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 t="s">
        <v>125</v>
      </c>
      <c r="BP1113" t="s">
        <v>125</v>
      </c>
      <c r="BQ1113" t="s">
        <v>125</v>
      </c>
      <c r="BR1113">
        <v>3.8793000000000001E-2</v>
      </c>
      <c r="BS1113">
        <v>50</v>
      </c>
      <c r="BT1113">
        <v>50</v>
      </c>
      <c r="BU1113">
        <v>9.3332999999999999E-2</v>
      </c>
      <c r="BV1113">
        <v>41.333333000000003</v>
      </c>
      <c r="BW1113">
        <v>50</v>
      </c>
      <c r="BX1113" t="s">
        <v>125</v>
      </c>
      <c r="BY1113" t="s">
        <v>125</v>
      </c>
      <c r="BZ1113" t="s">
        <v>125</v>
      </c>
      <c r="CA1113" t="s">
        <v>125</v>
      </c>
      <c r="CB1113" t="s">
        <v>125</v>
      </c>
      <c r="CC1113" t="s">
        <v>125</v>
      </c>
      <c r="CD1113" t="s">
        <v>125</v>
      </c>
      <c r="CE1113" t="s">
        <v>125</v>
      </c>
      <c r="CF1113" t="s">
        <v>125</v>
      </c>
      <c r="CG1113" t="s">
        <v>125</v>
      </c>
      <c r="CH1113" t="s">
        <v>125</v>
      </c>
      <c r="CI1113" t="s">
        <v>125</v>
      </c>
      <c r="CJ1113" t="s">
        <v>125</v>
      </c>
      <c r="CK1113" t="s">
        <v>125</v>
      </c>
      <c r="CL1113" t="s">
        <v>125</v>
      </c>
      <c r="CM1113" t="s">
        <v>125</v>
      </c>
      <c r="CN1113" t="s">
        <v>125</v>
      </c>
      <c r="CO1113" t="s">
        <v>125</v>
      </c>
      <c r="CP1113" t="s">
        <v>125</v>
      </c>
      <c r="CQ1113" t="s">
        <v>125</v>
      </c>
      <c r="CR1113" t="s">
        <v>125</v>
      </c>
      <c r="CS1113" t="s">
        <v>125</v>
      </c>
      <c r="CT1113" t="s">
        <v>125</v>
      </c>
      <c r="CU1113" t="s">
        <v>125</v>
      </c>
      <c r="CV1113" t="s">
        <v>125</v>
      </c>
      <c r="CW1113" t="s">
        <v>125</v>
      </c>
      <c r="CX1113" t="s">
        <v>125</v>
      </c>
      <c r="CY1113" t="s">
        <v>125</v>
      </c>
      <c r="CZ1113" t="s">
        <v>125</v>
      </c>
      <c r="DA1113">
        <v>15.314097</v>
      </c>
      <c r="DB1113">
        <v>17.400950000000002</v>
      </c>
      <c r="DC1113">
        <v>16.332519999999999</v>
      </c>
      <c r="DD1113" t="s">
        <v>125</v>
      </c>
      <c r="DE1113">
        <v>1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Q1113" t="s">
        <v>126</v>
      </c>
    </row>
    <row r="1114" spans="1:121" x14ac:dyDescent="0.15">
      <c r="A1114">
        <v>2018</v>
      </c>
      <c r="B1114" t="s">
        <v>291</v>
      </c>
      <c r="C1114" t="str">
        <f>"2130012"</f>
        <v>2130012</v>
      </c>
      <c r="D1114" t="s">
        <v>1258</v>
      </c>
      <c r="E1114" t="str">
        <f>"2130512"</f>
        <v>2130512</v>
      </c>
      <c r="F1114" t="s">
        <v>1230</v>
      </c>
      <c r="G1114" t="s">
        <v>339</v>
      </c>
      <c r="H1114">
        <v>4</v>
      </c>
      <c r="I1114" t="s">
        <v>330</v>
      </c>
      <c r="J1114" t="s">
        <v>331</v>
      </c>
      <c r="K1114">
        <v>488.12533999999999</v>
      </c>
      <c r="L1114">
        <v>550</v>
      </c>
      <c r="M1114">
        <v>88.750062</v>
      </c>
      <c r="N1114">
        <v>1</v>
      </c>
      <c r="O1114">
        <v>0</v>
      </c>
      <c r="P1114">
        <v>80.397769999999994</v>
      </c>
      <c r="Q1114">
        <v>50</v>
      </c>
      <c r="R1114">
        <v>50</v>
      </c>
      <c r="S1114">
        <v>67.922022999999996</v>
      </c>
      <c r="T1114">
        <v>75</v>
      </c>
      <c r="U1114">
        <v>45.281348999999999</v>
      </c>
      <c r="V1114">
        <v>50</v>
      </c>
      <c r="W1114">
        <v>72.896462</v>
      </c>
      <c r="X1114">
        <v>48.597641000000003</v>
      </c>
      <c r="Y1114">
        <v>50</v>
      </c>
      <c r="Z1114">
        <v>75</v>
      </c>
      <c r="AA1114">
        <v>59.637735999999997</v>
      </c>
      <c r="AB1114">
        <v>39.758490000000002</v>
      </c>
      <c r="AC1114">
        <v>50</v>
      </c>
      <c r="AD1114" t="s">
        <v>125</v>
      </c>
      <c r="AE1114" t="s">
        <v>125</v>
      </c>
      <c r="AF1114" t="s">
        <v>125</v>
      </c>
      <c r="AG1114" t="s">
        <v>125</v>
      </c>
      <c r="AH1114" t="s">
        <v>125</v>
      </c>
      <c r="AI1114" t="s">
        <v>125</v>
      </c>
      <c r="AJ1114" t="s">
        <v>125</v>
      </c>
      <c r="AK1114">
        <v>7.07</v>
      </c>
      <c r="AL1114">
        <v>15.36</v>
      </c>
      <c r="AM1114" t="s">
        <v>125</v>
      </c>
      <c r="AN1114">
        <v>0.85350300000000001</v>
      </c>
      <c r="AO1114">
        <v>85.350326999999993</v>
      </c>
      <c r="AP1114">
        <v>100</v>
      </c>
      <c r="AQ1114">
        <v>0.76174600000000003</v>
      </c>
      <c r="AR1114">
        <v>76.174567999999994</v>
      </c>
      <c r="AS1114">
        <v>100</v>
      </c>
      <c r="AT1114" t="s">
        <v>125</v>
      </c>
      <c r="AU1114">
        <v>0.90850799999999998</v>
      </c>
      <c r="AV1114" t="s">
        <v>125</v>
      </c>
      <c r="AW1114" t="s">
        <v>125</v>
      </c>
      <c r="AX1114" t="s">
        <v>125</v>
      </c>
      <c r="AY1114">
        <v>0.80801299999999998</v>
      </c>
      <c r="AZ1114" t="s">
        <v>125</v>
      </c>
      <c r="BA1114" t="s">
        <v>125</v>
      </c>
      <c r="BB1114" t="s">
        <v>125</v>
      </c>
      <c r="BC1114" t="s">
        <v>125</v>
      </c>
      <c r="BD1114" t="s">
        <v>125</v>
      </c>
      <c r="BE1114" t="s">
        <v>125</v>
      </c>
      <c r="BF1114" t="s">
        <v>125</v>
      </c>
      <c r="BG1114" t="s">
        <v>125</v>
      </c>
      <c r="BH1114">
        <v>0</v>
      </c>
      <c r="BI1114">
        <v>0.98958299999999999</v>
      </c>
      <c r="BJ1114">
        <v>0.97058800000000001</v>
      </c>
      <c r="BK1114">
        <v>1</v>
      </c>
      <c r="BL1114">
        <v>0.98958299999999999</v>
      </c>
      <c r="BM1114">
        <v>0.97058800000000001</v>
      </c>
      <c r="BN1114">
        <v>1</v>
      </c>
      <c r="BO1114" t="s">
        <v>125</v>
      </c>
      <c r="BP1114" t="s">
        <v>125</v>
      </c>
      <c r="BQ1114" t="s">
        <v>125</v>
      </c>
      <c r="BR1114">
        <v>2.5862E-2</v>
      </c>
      <c r="BS1114">
        <v>50</v>
      </c>
      <c r="BT1114">
        <v>50</v>
      </c>
      <c r="BU1114">
        <v>3.8961000000000003E-2</v>
      </c>
      <c r="BV1114">
        <v>50</v>
      </c>
      <c r="BW1114">
        <v>50</v>
      </c>
      <c r="BX1114" t="s">
        <v>125</v>
      </c>
      <c r="BY1114" t="s">
        <v>125</v>
      </c>
      <c r="BZ1114" t="s">
        <v>125</v>
      </c>
      <c r="CA1114" t="s">
        <v>125</v>
      </c>
      <c r="CB1114" t="s">
        <v>125</v>
      </c>
      <c r="CC1114" t="s">
        <v>125</v>
      </c>
      <c r="CD1114" t="s">
        <v>125</v>
      </c>
      <c r="CE1114" t="s">
        <v>125</v>
      </c>
      <c r="CF1114" t="s">
        <v>125</v>
      </c>
      <c r="CG1114" t="s">
        <v>125</v>
      </c>
      <c r="CH1114" t="s">
        <v>125</v>
      </c>
      <c r="CI1114" t="s">
        <v>125</v>
      </c>
      <c r="CJ1114" t="s">
        <v>125</v>
      </c>
      <c r="CK1114" t="s">
        <v>125</v>
      </c>
      <c r="CL1114" t="s">
        <v>125</v>
      </c>
      <c r="CM1114" t="s">
        <v>125</v>
      </c>
      <c r="CN1114" t="s">
        <v>125</v>
      </c>
      <c r="CO1114" t="s">
        <v>125</v>
      </c>
      <c r="CP1114" t="s">
        <v>125</v>
      </c>
      <c r="CQ1114">
        <v>0.64444400000000002</v>
      </c>
      <c r="CR1114">
        <v>1</v>
      </c>
      <c r="CS1114">
        <v>42.962963000000002</v>
      </c>
      <c r="CT1114">
        <v>50</v>
      </c>
      <c r="CU1114" t="s">
        <v>125</v>
      </c>
      <c r="CV1114" t="s">
        <v>125</v>
      </c>
      <c r="CW1114" t="s">
        <v>125</v>
      </c>
      <c r="CX1114" t="s">
        <v>125</v>
      </c>
      <c r="CY1114" t="s">
        <v>125</v>
      </c>
      <c r="CZ1114" t="s">
        <v>125</v>
      </c>
      <c r="DA1114">
        <v>15.314097</v>
      </c>
      <c r="DB1114">
        <v>17.400950000000002</v>
      </c>
      <c r="DC1114">
        <v>16.332519999999999</v>
      </c>
      <c r="DD1114" t="s">
        <v>125</v>
      </c>
      <c r="DE1114">
        <v>0</v>
      </c>
      <c r="DH1114" t="s">
        <v>332</v>
      </c>
      <c r="DI1114" t="s">
        <v>739</v>
      </c>
      <c r="DJ1114">
        <v>1</v>
      </c>
      <c r="DK1114">
        <v>1</v>
      </c>
      <c r="DL1114">
        <v>0</v>
      </c>
      <c r="DM1114">
        <v>0</v>
      </c>
      <c r="DN1114">
        <v>0</v>
      </c>
      <c r="DO1114">
        <v>0</v>
      </c>
      <c r="DQ1114" t="s">
        <v>126</v>
      </c>
    </row>
    <row r="1115" spans="1:121" x14ac:dyDescent="0.15">
      <c r="A1115">
        <v>2018</v>
      </c>
      <c r="B1115" t="s">
        <v>291</v>
      </c>
      <c r="C1115" t="str">
        <f>"2130012"</f>
        <v>2130012</v>
      </c>
      <c r="D1115" t="s">
        <v>1259</v>
      </c>
      <c r="E1115" t="str">
        <f>"2130412"</f>
        <v>2130412</v>
      </c>
      <c r="F1115" t="s">
        <v>1230</v>
      </c>
      <c r="G1115">
        <v>4</v>
      </c>
      <c r="H1115">
        <v>6</v>
      </c>
      <c r="I1115" t="s">
        <v>330</v>
      </c>
      <c r="J1115" t="s">
        <v>331</v>
      </c>
      <c r="K1115">
        <v>656.43548399999997</v>
      </c>
      <c r="L1115">
        <v>850</v>
      </c>
      <c r="M1115">
        <v>77.227704000000003</v>
      </c>
      <c r="N1115">
        <v>2</v>
      </c>
      <c r="O1115">
        <v>0</v>
      </c>
      <c r="P1115">
        <v>78.855470999999994</v>
      </c>
      <c r="Q1115">
        <v>50</v>
      </c>
      <c r="R1115">
        <v>50</v>
      </c>
      <c r="S1115">
        <v>64.800145999999998</v>
      </c>
      <c r="T1115">
        <v>75</v>
      </c>
      <c r="U1115">
        <v>43.200097</v>
      </c>
      <c r="V1115">
        <v>50</v>
      </c>
      <c r="W1115">
        <v>73.423748000000003</v>
      </c>
      <c r="X1115">
        <v>48.949165000000001</v>
      </c>
      <c r="Y1115">
        <v>50</v>
      </c>
      <c r="Z1115">
        <v>75</v>
      </c>
      <c r="AA1115">
        <v>57.840949000000002</v>
      </c>
      <c r="AB1115">
        <v>38.560631999999998</v>
      </c>
      <c r="AC1115">
        <v>50</v>
      </c>
      <c r="AD1115">
        <v>79.900124000000005</v>
      </c>
      <c r="AE1115">
        <v>50</v>
      </c>
      <c r="AF1115">
        <v>50</v>
      </c>
      <c r="AG1115">
        <v>67.752015999999998</v>
      </c>
      <c r="AH1115">
        <v>75</v>
      </c>
      <c r="AI1115">
        <v>45.168011</v>
      </c>
      <c r="AJ1115">
        <v>50</v>
      </c>
      <c r="AK1115">
        <v>10.19</v>
      </c>
      <c r="AL1115">
        <v>17.149999999999999</v>
      </c>
      <c r="AM1115">
        <v>7.24</v>
      </c>
      <c r="AN1115">
        <v>0.68289100000000003</v>
      </c>
      <c r="AO1115">
        <v>68.289061000000004</v>
      </c>
      <c r="AP1115">
        <v>100</v>
      </c>
      <c r="AQ1115">
        <v>0.72199199999999997</v>
      </c>
      <c r="AR1115">
        <v>72.199196000000001</v>
      </c>
      <c r="AS1115">
        <v>100</v>
      </c>
      <c r="AT1115">
        <v>0.56881000000000004</v>
      </c>
      <c r="AU1115">
        <v>0.72652499999999998</v>
      </c>
      <c r="AV1115">
        <v>56.881011000000001</v>
      </c>
      <c r="AW1115">
        <v>100</v>
      </c>
      <c r="AX1115">
        <v>0.56015199999999998</v>
      </c>
      <c r="AY1115">
        <v>0.78389399999999998</v>
      </c>
      <c r="AZ1115">
        <v>56.015152</v>
      </c>
      <c r="BA1115">
        <v>100</v>
      </c>
      <c r="BB1115" t="s">
        <v>125</v>
      </c>
      <c r="BC1115" t="s">
        <v>125</v>
      </c>
      <c r="BD1115" t="s">
        <v>125</v>
      </c>
      <c r="BE1115" t="s">
        <v>125</v>
      </c>
      <c r="BF1115" t="s">
        <v>125</v>
      </c>
      <c r="BG1115" t="s">
        <v>125</v>
      </c>
      <c r="BH1115">
        <v>0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6.1889E-2</v>
      </c>
      <c r="BS1115">
        <v>47.622149999999998</v>
      </c>
      <c r="BT1115">
        <v>50</v>
      </c>
      <c r="BU1115">
        <v>0.119565</v>
      </c>
      <c r="BV1115">
        <v>36.086956999999998</v>
      </c>
      <c r="BW1115">
        <v>50</v>
      </c>
      <c r="BX1115" t="s">
        <v>125</v>
      </c>
      <c r="BY1115" t="s">
        <v>125</v>
      </c>
      <c r="BZ1115" t="s">
        <v>125</v>
      </c>
      <c r="CA1115" t="s">
        <v>125</v>
      </c>
      <c r="CB1115" t="s">
        <v>125</v>
      </c>
      <c r="CC1115" t="s">
        <v>125</v>
      </c>
      <c r="CD1115" t="s">
        <v>125</v>
      </c>
      <c r="CE1115" t="s">
        <v>125</v>
      </c>
      <c r="CF1115" t="s">
        <v>125</v>
      </c>
      <c r="CG1115" t="s">
        <v>125</v>
      </c>
      <c r="CH1115" t="s">
        <v>125</v>
      </c>
      <c r="CI1115" t="s">
        <v>125</v>
      </c>
      <c r="CJ1115" t="s">
        <v>125</v>
      </c>
      <c r="CK1115" t="s">
        <v>125</v>
      </c>
      <c r="CL1115" t="s">
        <v>125</v>
      </c>
      <c r="CM1115" t="s">
        <v>125</v>
      </c>
      <c r="CN1115" t="s">
        <v>125</v>
      </c>
      <c r="CO1115" t="s">
        <v>125</v>
      </c>
      <c r="CP1115" t="s">
        <v>125</v>
      </c>
      <c r="CQ1115">
        <v>0.65196100000000001</v>
      </c>
      <c r="CR1115">
        <v>1</v>
      </c>
      <c r="CS1115">
        <v>43.464052000000002</v>
      </c>
      <c r="CT1115">
        <v>50</v>
      </c>
      <c r="CU1115" t="s">
        <v>125</v>
      </c>
      <c r="CV1115" t="s">
        <v>125</v>
      </c>
      <c r="CW1115" t="s">
        <v>125</v>
      </c>
      <c r="CX1115" t="s">
        <v>125</v>
      </c>
      <c r="CY1115" t="s">
        <v>125</v>
      </c>
      <c r="CZ1115" t="s">
        <v>125</v>
      </c>
      <c r="DA1115">
        <v>15.314097</v>
      </c>
      <c r="DB1115">
        <v>17.400950000000002</v>
      </c>
      <c r="DC1115">
        <v>16.332519999999999</v>
      </c>
      <c r="DD1115" t="s">
        <v>125</v>
      </c>
      <c r="DE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Q1115" t="s">
        <v>126</v>
      </c>
    </row>
    <row r="1116" spans="1:121" x14ac:dyDescent="0.15">
      <c r="A1116">
        <v>2018</v>
      </c>
      <c r="B1116" t="s">
        <v>292</v>
      </c>
      <c r="C1116" t="str">
        <f>"2140012"</f>
        <v>2140012</v>
      </c>
      <c r="D1116" t="s">
        <v>1260</v>
      </c>
      <c r="E1116" t="str">
        <f>"2140112"</f>
        <v>2140112</v>
      </c>
      <c r="F1116" t="s">
        <v>1230</v>
      </c>
      <c r="G1116" t="s">
        <v>329</v>
      </c>
      <c r="H1116">
        <v>5</v>
      </c>
      <c r="I1116" t="s">
        <v>330</v>
      </c>
      <c r="J1116" t="s">
        <v>331</v>
      </c>
      <c r="K1116">
        <v>639.22857099999999</v>
      </c>
      <c r="L1116">
        <v>800</v>
      </c>
      <c r="M1116">
        <v>79.903570999999999</v>
      </c>
      <c r="N1116">
        <v>2</v>
      </c>
      <c r="O1116">
        <v>0</v>
      </c>
      <c r="P1116">
        <v>73.419376</v>
      </c>
      <c r="Q1116">
        <v>48.946250999999997</v>
      </c>
      <c r="R1116">
        <v>50</v>
      </c>
      <c r="S1116">
        <v>64.600828000000007</v>
      </c>
      <c r="T1116">
        <v>75</v>
      </c>
      <c r="U1116">
        <v>43.067219000000001</v>
      </c>
      <c r="V1116">
        <v>50</v>
      </c>
      <c r="W1116">
        <v>71.545277999999996</v>
      </c>
      <c r="X1116">
        <v>47.696852</v>
      </c>
      <c r="Y1116">
        <v>50</v>
      </c>
      <c r="Z1116">
        <v>75</v>
      </c>
      <c r="AA1116">
        <v>61.979258999999999</v>
      </c>
      <c r="AB1116">
        <v>41.319505999999997</v>
      </c>
      <c r="AC1116">
        <v>50</v>
      </c>
      <c r="AD1116">
        <v>73.168346999999997</v>
      </c>
      <c r="AE1116">
        <v>48.778897999999998</v>
      </c>
      <c r="AF1116">
        <v>50</v>
      </c>
      <c r="AG1116" t="s">
        <v>125</v>
      </c>
      <c r="AH1116">
        <v>75</v>
      </c>
      <c r="AI1116" t="s">
        <v>125</v>
      </c>
      <c r="AJ1116" t="s">
        <v>125</v>
      </c>
      <c r="AK1116">
        <v>10.39</v>
      </c>
      <c r="AL1116">
        <v>13.02</v>
      </c>
      <c r="AM1116" t="s">
        <v>125</v>
      </c>
      <c r="AN1116">
        <v>0.56918999999999997</v>
      </c>
      <c r="AO1116">
        <v>56.918968</v>
      </c>
      <c r="AP1116">
        <v>100</v>
      </c>
      <c r="AQ1116">
        <v>0.94820800000000005</v>
      </c>
      <c r="AR1116">
        <v>94.820826999999994</v>
      </c>
      <c r="AS1116">
        <v>100</v>
      </c>
      <c r="AT1116">
        <v>0.49966100000000002</v>
      </c>
      <c r="AU1116">
        <v>0.61343499999999995</v>
      </c>
      <c r="AV1116">
        <v>49.966054999999997</v>
      </c>
      <c r="AW1116">
        <v>100</v>
      </c>
      <c r="AX1116">
        <v>0.88554999999999995</v>
      </c>
      <c r="AY1116">
        <v>0.98808200000000002</v>
      </c>
      <c r="AZ1116">
        <v>88.554993999999994</v>
      </c>
      <c r="BA1116">
        <v>100</v>
      </c>
      <c r="BB1116" t="s">
        <v>125</v>
      </c>
      <c r="BC1116" t="s">
        <v>125</v>
      </c>
      <c r="BD1116" t="s">
        <v>125</v>
      </c>
      <c r="BE1116" t="s">
        <v>125</v>
      </c>
      <c r="BF1116" t="s">
        <v>125</v>
      </c>
      <c r="BG1116" t="s">
        <v>125</v>
      </c>
      <c r="BH1116">
        <v>0</v>
      </c>
      <c r="BI1116">
        <v>0.97826100000000005</v>
      </c>
      <c r="BJ1116">
        <v>0.98</v>
      </c>
      <c r="BK1116">
        <v>0.97727299999999995</v>
      </c>
      <c r="BL1116">
        <v>0.97826100000000005</v>
      </c>
      <c r="BM1116">
        <v>0.98</v>
      </c>
      <c r="BN1116">
        <v>0.97727299999999995</v>
      </c>
      <c r="BO1116">
        <v>0.97959200000000002</v>
      </c>
      <c r="BP1116" t="s">
        <v>125</v>
      </c>
      <c r="BQ1116">
        <v>1</v>
      </c>
      <c r="BR1116">
        <v>6.8701999999999999E-2</v>
      </c>
      <c r="BS1116">
        <v>46.259542000000003</v>
      </c>
      <c r="BT1116">
        <v>50</v>
      </c>
      <c r="BU1116">
        <v>0.141176</v>
      </c>
      <c r="BV1116">
        <v>31.764706</v>
      </c>
      <c r="BW1116">
        <v>50</v>
      </c>
      <c r="BX1116" t="s">
        <v>125</v>
      </c>
      <c r="BY1116" t="s">
        <v>125</v>
      </c>
      <c r="BZ1116" t="s">
        <v>125</v>
      </c>
      <c r="CA1116" t="s">
        <v>125</v>
      </c>
      <c r="CB1116" t="s">
        <v>125</v>
      </c>
      <c r="CC1116" t="s">
        <v>125</v>
      </c>
      <c r="CD1116" t="s">
        <v>125</v>
      </c>
      <c r="CE1116" t="s">
        <v>125</v>
      </c>
      <c r="CF1116" t="s">
        <v>125</v>
      </c>
      <c r="CG1116" t="s">
        <v>125</v>
      </c>
      <c r="CH1116" t="s">
        <v>125</v>
      </c>
      <c r="CI1116" t="s">
        <v>125</v>
      </c>
      <c r="CJ1116" t="s">
        <v>125</v>
      </c>
      <c r="CK1116" t="s">
        <v>125</v>
      </c>
      <c r="CL1116" t="s">
        <v>125</v>
      </c>
      <c r="CM1116" t="s">
        <v>125</v>
      </c>
      <c r="CN1116" t="s">
        <v>125</v>
      </c>
      <c r="CO1116" t="s">
        <v>125</v>
      </c>
      <c r="CP1116" t="s">
        <v>125</v>
      </c>
      <c r="CQ1116">
        <v>0.61702100000000004</v>
      </c>
      <c r="CR1116">
        <v>1</v>
      </c>
      <c r="CS1116">
        <v>41.134751999999999</v>
      </c>
      <c r="CT1116">
        <v>50</v>
      </c>
      <c r="CU1116" t="s">
        <v>125</v>
      </c>
      <c r="CV1116" t="s">
        <v>125</v>
      </c>
      <c r="CW1116" t="s">
        <v>125</v>
      </c>
      <c r="CX1116" t="s">
        <v>125</v>
      </c>
      <c r="CY1116" t="s">
        <v>125</v>
      </c>
      <c r="CZ1116" t="s">
        <v>125</v>
      </c>
      <c r="DA1116">
        <v>15.314097</v>
      </c>
      <c r="DB1116">
        <v>17.400950000000002</v>
      </c>
      <c r="DC1116">
        <v>16.332519999999999</v>
      </c>
      <c r="DD1116" t="s">
        <v>125</v>
      </c>
      <c r="DE1116">
        <v>0</v>
      </c>
      <c r="DH1116" t="s">
        <v>332</v>
      </c>
      <c r="DI1116" t="s">
        <v>453</v>
      </c>
      <c r="DJ1116">
        <v>0</v>
      </c>
      <c r="DK1116">
        <v>0</v>
      </c>
      <c r="DL1116">
        <v>1</v>
      </c>
      <c r="DM1116">
        <v>0</v>
      </c>
      <c r="DN1116">
        <v>1</v>
      </c>
      <c r="DO1116">
        <v>0</v>
      </c>
      <c r="DQ1116" t="s">
        <v>126</v>
      </c>
    </row>
    <row r="1117" spans="1:121" x14ac:dyDescent="0.15">
      <c r="A1117">
        <v>2018</v>
      </c>
      <c r="B1117" t="s">
        <v>292</v>
      </c>
      <c r="C1117" t="str">
        <f>"2140012"</f>
        <v>2140012</v>
      </c>
      <c r="D1117" t="s">
        <v>1261</v>
      </c>
      <c r="E1117" t="str">
        <f>"2140212"</f>
        <v>2140212</v>
      </c>
      <c r="F1117" t="s">
        <v>1230</v>
      </c>
      <c r="G1117" t="s">
        <v>329</v>
      </c>
      <c r="H1117">
        <v>5</v>
      </c>
      <c r="I1117" t="s">
        <v>330</v>
      </c>
      <c r="J1117" t="s">
        <v>331</v>
      </c>
      <c r="K1117">
        <v>709.92712400000005</v>
      </c>
      <c r="L1117">
        <v>850</v>
      </c>
      <c r="M1117">
        <v>83.520837999999998</v>
      </c>
      <c r="N1117">
        <v>2</v>
      </c>
      <c r="O1117">
        <v>0</v>
      </c>
      <c r="P1117">
        <v>75.486863</v>
      </c>
      <c r="Q1117">
        <v>50</v>
      </c>
      <c r="R1117">
        <v>50</v>
      </c>
      <c r="S1117">
        <v>69.805577999999997</v>
      </c>
      <c r="T1117">
        <v>75</v>
      </c>
      <c r="U1117">
        <v>46.537052000000003</v>
      </c>
      <c r="V1117">
        <v>50</v>
      </c>
      <c r="W1117">
        <v>70.914792000000006</v>
      </c>
      <c r="X1117">
        <v>47.276527999999999</v>
      </c>
      <c r="Y1117">
        <v>50</v>
      </c>
      <c r="Z1117">
        <v>74.703683999999996</v>
      </c>
      <c r="AA1117">
        <v>64.269658000000007</v>
      </c>
      <c r="AB1117">
        <v>42.846438999999997</v>
      </c>
      <c r="AC1117">
        <v>50</v>
      </c>
      <c r="AD1117">
        <v>76.741934999999998</v>
      </c>
      <c r="AE1117">
        <v>50</v>
      </c>
      <c r="AF1117">
        <v>50</v>
      </c>
      <c r="AG1117">
        <v>69.795231000000001</v>
      </c>
      <c r="AH1117">
        <v>75</v>
      </c>
      <c r="AI1117">
        <v>46.530154000000003</v>
      </c>
      <c r="AJ1117">
        <v>50</v>
      </c>
      <c r="AK1117">
        <v>5.19</v>
      </c>
      <c r="AL1117">
        <v>10.43</v>
      </c>
      <c r="AM1117">
        <v>5.2</v>
      </c>
      <c r="AN1117">
        <v>0.71251299999999995</v>
      </c>
      <c r="AO1117">
        <v>71.251343000000006</v>
      </c>
      <c r="AP1117">
        <v>100</v>
      </c>
      <c r="AQ1117">
        <v>0.781802</v>
      </c>
      <c r="AR1117">
        <v>78.180194</v>
      </c>
      <c r="AS1117">
        <v>100</v>
      </c>
      <c r="AT1117">
        <v>0.69930199999999998</v>
      </c>
      <c r="AU1117">
        <v>0.71895399999999998</v>
      </c>
      <c r="AV1117">
        <v>69.930178999999995</v>
      </c>
      <c r="AW1117">
        <v>100</v>
      </c>
      <c r="AX1117">
        <v>0.71254399999999996</v>
      </c>
      <c r="AY1117">
        <v>0.81556499999999998</v>
      </c>
      <c r="AZ1117">
        <v>71.254375999999993</v>
      </c>
      <c r="BA1117">
        <v>100</v>
      </c>
      <c r="BB1117" t="s">
        <v>125</v>
      </c>
      <c r="BC1117" t="s">
        <v>125</v>
      </c>
      <c r="BD1117" t="s">
        <v>125</v>
      </c>
      <c r="BE1117" t="s">
        <v>125</v>
      </c>
      <c r="BF1117" t="s">
        <v>125</v>
      </c>
      <c r="BG1117" t="s">
        <v>125</v>
      </c>
      <c r="BH1117">
        <v>0</v>
      </c>
      <c r="BI1117">
        <v>0.98912999999999995</v>
      </c>
      <c r="BJ1117">
        <v>0.985294</v>
      </c>
      <c r="BK1117">
        <v>0.99137900000000001</v>
      </c>
      <c r="BL1117">
        <v>0.98912999999999995</v>
      </c>
      <c r="BM1117">
        <v>0.985294</v>
      </c>
      <c r="BN1117">
        <v>0.99137900000000001</v>
      </c>
      <c r="BO1117">
        <v>1</v>
      </c>
      <c r="BP1117">
        <v>1</v>
      </c>
      <c r="BQ1117">
        <v>1</v>
      </c>
      <c r="BR1117">
        <v>3.8348E-2</v>
      </c>
      <c r="BS1117">
        <v>50</v>
      </c>
      <c r="BT1117">
        <v>50</v>
      </c>
      <c r="BU1117">
        <v>7.4074000000000001E-2</v>
      </c>
      <c r="BV1117">
        <v>45.185184999999997</v>
      </c>
      <c r="BW1117">
        <v>50</v>
      </c>
      <c r="BX1117" t="s">
        <v>125</v>
      </c>
      <c r="BY1117" t="s">
        <v>125</v>
      </c>
      <c r="BZ1117" t="s">
        <v>125</v>
      </c>
      <c r="CA1117" t="s">
        <v>125</v>
      </c>
      <c r="CB1117" t="s">
        <v>125</v>
      </c>
      <c r="CC1117" t="s">
        <v>125</v>
      </c>
      <c r="CD1117" t="s">
        <v>125</v>
      </c>
      <c r="CE1117" t="s">
        <v>125</v>
      </c>
      <c r="CF1117" t="s">
        <v>125</v>
      </c>
      <c r="CG1117" t="s">
        <v>125</v>
      </c>
      <c r="CH1117" t="s">
        <v>125</v>
      </c>
      <c r="CI1117" t="s">
        <v>125</v>
      </c>
      <c r="CJ1117" t="s">
        <v>125</v>
      </c>
      <c r="CK1117" t="s">
        <v>125</v>
      </c>
      <c r="CL1117" t="s">
        <v>125</v>
      </c>
      <c r="CM1117" t="s">
        <v>125</v>
      </c>
      <c r="CN1117" t="s">
        <v>125</v>
      </c>
      <c r="CO1117" t="s">
        <v>125</v>
      </c>
      <c r="CP1117" t="s">
        <v>125</v>
      </c>
      <c r="CQ1117">
        <v>0.614035</v>
      </c>
      <c r="CR1117">
        <v>1.017857</v>
      </c>
      <c r="CS1117">
        <v>40.935673000000001</v>
      </c>
      <c r="CT1117">
        <v>50</v>
      </c>
      <c r="CU1117" t="s">
        <v>125</v>
      </c>
      <c r="CV1117" t="s">
        <v>125</v>
      </c>
      <c r="CW1117" t="s">
        <v>125</v>
      </c>
      <c r="CX1117" t="s">
        <v>125</v>
      </c>
      <c r="CY1117" t="s">
        <v>125</v>
      </c>
      <c r="CZ1117" t="s">
        <v>125</v>
      </c>
      <c r="DA1117">
        <v>15.314097</v>
      </c>
      <c r="DB1117">
        <v>17.400950000000002</v>
      </c>
      <c r="DC1117">
        <v>16.332519999999999</v>
      </c>
      <c r="DD1117" t="s">
        <v>125</v>
      </c>
      <c r="DE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Q1117" t="s">
        <v>126</v>
      </c>
    </row>
    <row r="1118" spans="1:121" x14ac:dyDescent="0.15">
      <c r="A1118">
        <v>2018</v>
      </c>
      <c r="B1118" t="s">
        <v>292</v>
      </c>
      <c r="C1118" t="str">
        <f>"2140012"</f>
        <v>2140012</v>
      </c>
      <c r="D1118" t="s">
        <v>1262</v>
      </c>
      <c r="E1118" t="str">
        <f>"2146112"</f>
        <v>2146112</v>
      </c>
      <c r="F1118" t="s">
        <v>1230</v>
      </c>
      <c r="G1118">
        <v>9</v>
      </c>
      <c r="H1118">
        <v>12</v>
      </c>
      <c r="I1118" t="s">
        <v>330</v>
      </c>
      <c r="J1118" t="s">
        <v>331</v>
      </c>
      <c r="K1118">
        <v>1100.7725579999999</v>
      </c>
      <c r="L1118">
        <v>1450</v>
      </c>
      <c r="M1118">
        <v>75.915349000000006</v>
      </c>
      <c r="N1118">
        <v>3</v>
      </c>
      <c r="O1118">
        <v>1</v>
      </c>
      <c r="P1118">
        <v>59.787770000000002</v>
      </c>
      <c r="Q1118">
        <v>119.57554</v>
      </c>
      <c r="R1118">
        <v>150</v>
      </c>
      <c r="S1118">
        <v>46.72963</v>
      </c>
      <c r="T1118">
        <v>66.039006999999998</v>
      </c>
      <c r="U1118">
        <v>93.459259000000003</v>
      </c>
      <c r="V1118">
        <v>150</v>
      </c>
      <c r="W1118">
        <v>55.567146000000001</v>
      </c>
      <c r="X1118">
        <v>111.134293</v>
      </c>
      <c r="Y1118">
        <v>150</v>
      </c>
      <c r="Z1118">
        <v>60.968085000000002</v>
      </c>
      <c r="AA1118">
        <v>44.285184999999998</v>
      </c>
      <c r="AB1118">
        <v>88.570369999999997</v>
      </c>
      <c r="AC1118">
        <v>150</v>
      </c>
      <c r="AD1118">
        <v>59.420847000000002</v>
      </c>
      <c r="AE1118">
        <v>79.227795999999998</v>
      </c>
      <c r="AF1118">
        <v>100</v>
      </c>
      <c r="AG1118">
        <v>48.543478</v>
      </c>
      <c r="AH1118">
        <v>64.859532000000002</v>
      </c>
      <c r="AI1118">
        <v>64.724637999999999</v>
      </c>
      <c r="AJ1118">
        <v>100</v>
      </c>
      <c r="AK1118">
        <v>19.3</v>
      </c>
      <c r="AL1118">
        <v>16.68</v>
      </c>
      <c r="AM1118">
        <v>16.309999999999999</v>
      </c>
      <c r="AN1118" t="s">
        <v>125</v>
      </c>
      <c r="AO1118" t="s">
        <v>125</v>
      </c>
      <c r="AP1118" t="s">
        <v>125</v>
      </c>
      <c r="AQ1118" t="s">
        <v>125</v>
      </c>
      <c r="AR1118" t="s">
        <v>125</v>
      </c>
      <c r="AS1118" t="s">
        <v>125</v>
      </c>
      <c r="AT1118" t="s">
        <v>125</v>
      </c>
      <c r="AU1118" t="s">
        <v>125</v>
      </c>
      <c r="AV1118" t="s">
        <v>125</v>
      </c>
      <c r="AW1118" t="s">
        <v>125</v>
      </c>
      <c r="AX1118" t="s">
        <v>125</v>
      </c>
      <c r="AY1118" t="s">
        <v>125</v>
      </c>
      <c r="AZ1118" t="s">
        <v>125</v>
      </c>
      <c r="BA1118" t="s">
        <v>125</v>
      </c>
      <c r="BB1118" t="s">
        <v>125</v>
      </c>
      <c r="BC1118" t="s">
        <v>125</v>
      </c>
      <c r="BD1118" t="s">
        <v>125</v>
      </c>
      <c r="BE1118" t="s">
        <v>125</v>
      </c>
      <c r="BF1118" t="s">
        <v>125</v>
      </c>
      <c r="BG1118" t="s">
        <v>125</v>
      </c>
      <c r="BH1118">
        <v>0</v>
      </c>
      <c r="BI1118">
        <v>0.97916700000000001</v>
      </c>
      <c r="BJ1118">
        <v>0.95833299999999999</v>
      </c>
      <c r="BK1118">
        <v>0.98958299999999999</v>
      </c>
      <c r="BL1118">
        <v>0.97916700000000001</v>
      </c>
      <c r="BM1118">
        <v>0.95833299999999999</v>
      </c>
      <c r="BN1118">
        <v>0.98958299999999999</v>
      </c>
      <c r="BO1118">
        <v>0.97222200000000003</v>
      </c>
      <c r="BP1118">
        <v>0.97916700000000001</v>
      </c>
      <c r="BQ1118">
        <v>0.96875</v>
      </c>
      <c r="BR1118">
        <v>7.8831999999999999E-2</v>
      </c>
      <c r="BS1118">
        <v>44.233576999999997</v>
      </c>
      <c r="BT1118">
        <v>50</v>
      </c>
      <c r="BU1118">
        <v>0.158974</v>
      </c>
      <c r="BV1118">
        <v>28.205127999999998</v>
      </c>
      <c r="BW1118">
        <v>50</v>
      </c>
      <c r="BX1118">
        <v>0.88427299999999998</v>
      </c>
      <c r="BY1118">
        <v>50</v>
      </c>
      <c r="BZ1118">
        <v>50</v>
      </c>
      <c r="CA1118">
        <v>0.52819000000000005</v>
      </c>
      <c r="CB1118">
        <v>35.212660999999997</v>
      </c>
      <c r="CC1118">
        <v>50</v>
      </c>
      <c r="CD1118">
        <v>0.98863599999999996</v>
      </c>
      <c r="CE1118">
        <v>50</v>
      </c>
      <c r="CF1118">
        <v>50</v>
      </c>
      <c r="CG1118">
        <v>0.97382199999999997</v>
      </c>
      <c r="CH1118">
        <v>100</v>
      </c>
      <c r="CI1118">
        <v>100</v>
      </c>
      <c r="CJ1118">
        <v>0</v>
      </c>
      <c r="CK1118">
        <v>0.96969700000000003</v>
      </c>
      <c r="CL1118">
        <v>100</v>
      </c>
      <c r="CM1118">
        <v>100</v>
      </c>
      <c r="CN1118">
        <v>0.78947400000000001</v>
      </c>
      <c r="CO1118">
        <v>100</v>
      </c>
      <c r="CP1118">
        <v>100</v>
      </c>
      <c r="CQ1118">
        <v>0.472441</v>
      </c>
      <c r="CR1118">
        <v>0.73837200000000003</v>
      </c>
      <c r="CS1118">
        <v>15.748030999999999</v>
      </c>
      <c r="CT1118">
        <v>50</v>
      </c>
      <c r="CU1118">
        <v>0.24817500000000001</v>
      </c>
      <c r="CV1118">
        <v>20.681265</v>
      </c>
      <c r="CW1118">
        <v>50</v>
      </c>
      <c r="CX1118">
        <v>0.96969700000000003</v>
      </c>
      <c r="CY1118">
        <v>0.94</v>
      </c>
      <c r="CZ1118">
        <v>-2.9697000000000001E-2</v>
      </c>
      <c r="DA1118">
        <v>15.314097</v>
      </c>
      <c r="DB1118">
        <v>17.400950000000002</v>
      </c>
      <c r="DC1118">
        <v>16.332519999999999</v>
      </c>
      <c r="DD1118">
        <v>7.9891730000000001</v>
      </c>
      <c r="DE1118">
        <v>1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Q1118" t="s">
        <v>126</v>
      </c>
    </row>
    <row r="1119" spans="1:121" x14ac:dyDescent="0.15">
      <c r="A1119">
        <v>2018</v>
      </c>
      <c r="B1119" t="s">
        <v>292</v>
      </c>
      <c r="C1119" t="str">
        <f>"2140012"</f>
        <v>2140012</v>
      </c>
      <c r="D1119" t="s">
        <v>1263</v>
      </c>
      <c r="E1119" t="str">
        <f>"2145112"</f>
        <v>2145112</v>
      </c>
      <c r="F1119" t="s">
        <v>1230</v>
      </c>
      <c r="G1119">
        <v>6</v>
      </c>
      <c r="H1119">
        <v>8</v>
      </c>
      <c r="I1119" t="s">
        <v>330</v>
      </c>
      <c r="J1119" t="s">
        <v>331</v>
      </c>
      <c r="K1119">
        <v>556.30087800000001</v>
      </c>
      <c r="L1119">
        <v>900</v>
      </c>
      <c r="M1119">
        <v>61.811208999999998</v>
      </c>
      <c r="N1119">
        <v>3</v>
      </c>
      <c r="O1119">
        <v>1</v>
      </c>
      <c r="P1119">
        <v>68.818862999999993</v>
      </c>
      <c r="Q1119">
        <v>45.879241999999998</v>
      </c>
      <c r="R1119">
        <v>50</v>
      </c>
      <c r="S1119">
        <v>56.719647000000002</v>
      </c>
      <c r="T1119">
        <v>75</v>
      </c>
      <c r="U1119">
        <v>37.813097999999997</v>
      </c>
      <c r="V1119">
        <v>50</v>
      </c>
      <c r="W1119">
        <v>60.177349999999997</v>
      </c>
      <c r="X1119">
        <v>40.118232999999996</v>
      </c>
      <c r="Y1119">
        <v>50</v>
      </c>
      <c r="Z1119">
        <v>67.197196000000005</v>
      </c>
      <c r="AA1119">
        <v>48.036468999999997</v>
      </c>
      <c r="AB1119">
        <v>32.024312999999999</v>
      </c>
      <c r="AC1119">
        <v>50</v>
      </c>
      <c r="AD1119">
        <v>62.495004999999999</v>
      </c>
      <c r="AE1119">
        <v>41.663336999999999</v>
      </c>
      <c r="AF1119">
        <v>50</v>
      </c>
      <c r="AG1119">
        <v>52.653618000000002</v>
      </c>
      <c r="AH1119">
        <v>67.936713999999995</v>
      </c>
      <c r="AI1119">
        <v>35.102412000000001</v>
      </c>
      <c r="AJ1119">
        <v>50</v>
      </c>
      <c r="AK1119">
        <v>18.28</v>
      </c>
      <c r="AL1119">
        <v>19.16</v>
      </c>
      <c r="AM1119">
        <v>15.28</v>
      </c>
      <c r="AN1119">
        <v>0.48177199999999998</v>
      </c>
      <c r="AO1119">
        <v>48.177176000000003</v>
      </c>
      <c r="AP1119">
        <v>100</v>
      </c>
      <c r="AQ1119">
        <v>0.54314700000000005</v>
      </c>
      <c r="AR1119">
        <v>54.314686000000002</v>
      </c>
      <c r="AS1119">
        <v>100</v>
      </c>
      <c r="AT1119">
        <v>0.43190200000000001</v>
      </c>
      <c r="AU1119">
        <v>0.50936999999999999</v>
      </c>
      <c r="AV1119">
        <v>43.190212000000002</v>
      </c>
      <c r="AW1119">
        <v>100</v>
      </c>
      <c r="AX1119">
        <v>0.48717100000000002</v>
      </c>
      <c r="AY1119">
        <v>0.57412399999999997</v>
      </c>
      <c r="AZ1119">
        <v>48.717125000000003</v>
      </c>
      <c r="BA1119">
        <v>100</v>
      </c>
      <c r="BB1119" t="s">
        <v>125</v>
      </c>
      <c r="BC1119" t="s">
        <v>125</v>
      </c>
      <c r="BD1119" t="s">
        <v>125</v>
      </c>
      <c r="BE1119" t="s">
        <v>125</v>
      </c>
      <c r="BF1119" t="s">
        <v>125</v>
      </c>
      <c r="BG1119" t="s">
        <v>125</v>
      </c>
      <c r="BH1119">
        <v>0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0.11976000000000001</v>
      </c>
      <c r="BS1119">
        <v>36.047904000000003</v>
      </c>
      <c r="BT1119">
        <v>50</v>
      </c>
      <c r="BU1119">
        <v>0.21551699999999999</v>
      </c>
      <c r="BV1119">
        <v>16.896552</v>
      </c>
      <c r="BW1119">
        <v>50</v>
      </c>
      <c r="BX1119" t="s">
        <v>125</v>
      </c>
      <c r="BY1119" t="s">
        <v>125</v>
      </c>
      <c r="BZ1119" t="s">
        <v>125</v>
      </c>
      <c r="CA1119" t="s">
        <v>125</v>
      </c>
      <c r="CB1119" t="s">
        <v>125</v>
      </c>
      <c r="CC1119" t="s">
        <v>125</v>
      </c>
      <c r="CD1119">
        <v>0.99099099999999996</v>
      </c>
      <c r="CE1119">
        <v>50</v>
      </c>
      <c r="CF1119">
        <v>50</v>
      </c>
      <c r="CG1119" t="s">
        <v>125</v>
      </c>
      <c r="CH1119" t="s">
        <v>125</v>
      </c>
      <c r="CI1119" t="s">
        <v>125</v>
      </c>
      <c r="CJ1119" t="s">
        <v>125</v>
      </c>
      <c r="CK1119" t="s">
        <v>125</v>
      </c>
      <c r="CL1119" t="s">
        <v>125</v>
      </c>
      <c r="CM1119" t="s">
        <v>125</v>
      </c>
      <c r="CN1119" t="s">
        <v>125</v>
      </c>
      <c r="CO1119" t="s">
        <v>125</v>
      </c>
      <c r="CP1119" t="s">
        <v>125</v>
      </c>
      <c r="CQ1119">
        <v>0.39534900000000001</v>
      </c>
      <c r="CR1119">
        <v>0.95132700000000003</v>
      </c>
      <c r="CS1119">
        <v>26.356589</v>
      </c>
      <c r="CT1119">
        <v>50</v>
      </c>
      <c r="CU1119" t="s">
        <v>125</v>
      </c>
      <c r="CV1119" t="s">
        <v>125</v>
      </c>
      <c r="CW1119" t="s">
        <v>125</v>
      </c>
      <c r="CX1119" t="s">
        <v>125</v>
      </c>
      <c r="CY1119" t="s">
        <v>125</v>
      </c>
      <c r="CZ1119" t="s">
        <v>125</v>
      </c>
      <c r="DA1119">
        <v>15.314097</v>
      </c>
      <c r="DB1119">
        <v>17.400950000000002</v>
      </c>
      <c r="DC1119">
        <v>16.332519999999999</v>
      </c>
      <c r="DD1119" t="s">
        <v>125</v>
      </c>
      <c r="DE1119">
        <v>1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Q1119" t="s">
        <v>126</v>
      </c>
    </row>
    <row r="1120" spans="1:121" x14ac:dyDescent="0.15">
      <c r="A1120">
        <v>2018</v>
      </c>
      <c r="B1120" t="s">
        <v>293</v>
      </c>
      <c r="C1120" t="str">
        <f t="shared" ref="C1120:C1126" si="52">"2150012"</f>
        <v>2150012</v>
      </c>
      <c r="D1120" t="s">
        <v>1264</v>
      </c>
      <c r="E1120" t="str">
        <f>"2150412"</f>
        <v>2150412</v>
      </c>
      <c r="F1120" t="s">
        <v>1230</v>
      </c>
      <c r="G1120" t="s">
        <v>329</v>
      </c>
      <c r="H1120">
        <v>5</v>
      </c>
      <c r="I1120" t="s">
        <v>330</v>
      </c>
      <c r="J1120" t="s">
        <v>331</v>
      </c>
      <c r="K1120">
        <v>722.11404800000003</v>
      </c>
      <c r="L1120">
        <v>800</v>
      </c>
      <c r="M1120">
        <v>90.264256000000003</v>
      </c>
      <c r="N1120">
        <v>1</v>
      </c>
      <c r="O1120">
        <v>0</v>
      </c>
      <c r="P1120">
        <v>80.832824000000002</v>
      </c>
      <c r="Q1120">
        <v>50</v>
      </c>
      <c r="R1120">
        <v>50</v>
      </c>
      <c r="S1120">
        <v>74.031118000000006</v>
      </c>
      <c r="T1120">
        <v>75</v>
      </c>
      <c r="U1120">
        <v>49.354078999999999</v>
      </c>
      <c r="V1120">
        <v>50</v>
      </c>
      <c r="W1120">
        <v>80.490241999999995</v>
      </c>
      <c r="X1120">
        <v>50</v>
      </c>
      <c r="Y1120">
        <v>50</v>
      </c>
      <c r="Z1120">
        <v>75</v>
      </c>
      <c r="AA1120">
        <v>72.553809000000001</v>
      </c>
      <c r="AB1120">
        <v>48.369205999999998</v>
      </c>
      <c r="AC1120">
        <v>50</v>
      </c>
      <c r="AD1120">
        <v>75.517551999999995</v>
      </c>
      <c r="AE1120">
        <v>50</v>
      </c>
      <c r="AF1120">
        <v>50</v>
      </c>
      <c r="AG1120" t="s">
        <v>125</v>
      </c>
      <c r="AH1120">
        <v>75</v>
      </c>
      <c r="AI1120" t="s">
        <v>125</v>
      </c>
      <c r="AJ1120" t="s">
        <v>125</v>
      </c>
      <c r="AK1120">
        <v>0.96</v>
      </c>
      <c r="AL1120">
        <v>2.44</v>
      </c>
      <c r="AM1120" t="s">
        <v>125</v>
      </c>
      <c r="AN1120">
        <v>0.785547</v>
      </c>
      <c r="AO1120">
        <v>78.554678999999993</v>
      </c>
      <c r="AP1120">
        <v>100</v>
      </c>
      <c r="AQ1120">
        <v>0.88472499999999998</v>
      </c>
      <c r="AR1120">
        <v>88.472463000000005</v>
      </c>
      <c r="AS1120">
        <v>100</v>
      </c>
      <c r="AT1120">
        <v>0.81991000000000003</v>
      </c>
      <c r="AU1120">
        <v>0.77032900000000004</v>
      </c>
      <c r="AV1120">
        <v>81.991024999999993</v>
      </c>
      <c r="AW1120">
        <v>100</v>
      </c>
      <c r="AX1120">
        <v>0.79652900000000004</v>
      </c>
      <c r="AY1120">
        <v>0.92378300000000002</v>
      </c>
      <c r="AZ1120">
        <v>79.652882000000005</v>
      </c>
      <c r="BA1120">
        <v>100</v>
      </c>
      <c r="BB1120" t="s">
        <v>125</v>
      </c>
      <c r="BC1120" t="s">
        <v>125</v>
      </c>
      <c r="BD1120" t="s">
        <v>125</v>
      </c>
      <c r="BE1120" t="s">
        <v>125</v>
      </c>
      <c r="BF1120" t="s">
        <v>125</v>
      </c>
      <c r="BG1120" t="s">
        <v>125</v>
      </c>
      <c r="BH1120">
        <v>0</v>
      </c>
      <c r="BI1120">
        <v>0.98823499999999997</v>
      </c>
      <c r="BJ1120">
        <v>1</v>
      </c>
      <c r="BK1120">
        <v>0.98290599999999995</v>
      </c>
      <c r="BL1120">
        <v>0.98823499999999997</v>
      </c>
      <c r="BM1120">
        <v>1</v>
      </c>
      <c r="BN1120">
        <v>0.98290599999999995</v>
      </c>
      <c r="BO1120">
        <v>0.981132</v>
      </c>
      <c r="BP1120">
        <v>1</v>
      </c>
      <c r="BQ1120">
        <v>0.96969700000000003</v>
      </c>
      <c r="BR1120">
        <v>2.9412000000000001E-2</v>
      </c>
      <c r="BS1120">
        <v>50</v>
      </c>
      <c r="BT1120">
        <v>50</v>
      </c>
      <c r="BU1120">
        <v>6.9766999999999996E-2</v>
      </c>
      <c r="BV1120">
        <v>46.046512</v>
      </c>
      <c r="BW1120">
        <v>50</v>
      </c>
      <c r="BX1120" t="s">
        <v>125</v>
      </c>
      <c r="BY1120" t="s">
        <v>125</v>
      </c>
      <c r="BZ1120" t="s">
        <v>125</v>
      </c>
      <c r="CA1120" t="s">
        <v>125</v>
      </c>
      <c r="CB1120" t="s">
        <v>125</v>
      </c>
      <c r="CC1120" t="s">
        <v>125</v>
      </c>
      <c r="CD1120" t="s">
        <v>125</v>
      </c>
      <c r="CE1120" t="s">
        <v>125</v>
      </c>
      <c r="CF1120" t="s">
        <v>125</v>
      </c>
      <c r="CG1120" t="s">
        <v>125</v>
      </c>
      <c r="CH1120" t="s">
        <v>125</v>
      </c>
      <c r="CI1120" t="s">
        <v>125</v>
      </c>
      <c r="CJ1120" t="s">
        <v>125</v>
      </c>
      <c r="CK1120" t="s">
        <v>125</v>
      </c>
      <c r="CL1120" t="s">
        <v>125</v>
      </c>
      <c r="CM1120" t="s">
        <v>125</v>
      </c>
      <c r="CN1120" t="s">
        <v>125</v>
      </c>
      <c r="CO1120" t="s">
        <v>125</v>
      </c>
      <c r="CP1120" t="s">
        <v>125</v>
      </c>
      <c r="CQ1120">
        <v>0.74509800000000004</v>
      </c>
      <c r="CR1120">
        <v>0.94444399999999995</v>
      </c>
      <c r="CS1120">
        <v>49.673203000000001</v>
      </c>
      <c r="CT1120">
        <v>50</v>
      </c>
      <c r="CU1120" t="s">
        <v>125</v>
      </c>
      <c r="CV1120" t="s">
        <v>125</v>
      </c>
      <c r="CW1120" t="s">
        <v>125</v>
      </c>
      <c r="CX1120" t="s">
        <v>125</v>
      </c>
      <c r="CY1120" t="s">
        <v>125</v>
      </c>
      <c r="CZ1120" t="s">
        <v>125</v>
      </c>
      <c r="DA1120">
        <v>15.314097</v>
      </c>
      <c r="DB1120">
        <v>17.400950000000002</v>
      </c>
      <c r="DC1120">
        <v>16.332519999999999</v>
      </c>
      <c r="DD1120" t="s">
        <v>125</v>
      </c>
      <c r="DE1120">
        <v>0</v>
      </c>
      <c r="DH1120" t="s">
        <v>332</v>
      </c>
      <c r="DI1120" t="s">
        <v>615</v>
      </c>
      <c r="DJ1120">
        <v>1</v>
      </c>
      <c r="DK1120">
        <v>1</v>
      </c>
      <c r="DL1120">
        <v>1</v>
      </c>
      <c r="DM1120">
        <v>1</v>
      </c>
      <c r="DN1120">
        <v>1</v>
      </c>
      <c r="DO1120">
        <v>0</v>
      </c>
      <c r="DQ1120" t="s">
        <v>126</v>
      </c>
    </row>
    <row r="1121" spans="1:121" x14ac:dyDescent="0.15">
      <c r="A1121">
        <v>2018</v>
      </c>
      <c r="B1121" t="s">
        <v>293</v>
      </c>
      <c r="C1121" t="str">
        <f t="shared" si="52"/>
        <v>2150012</v>
      </c>
      <c r="D1121" t="s">
        <v>1265</v>
      </c>
      <c r="E1121" t="str">
        <f>"2150712"</f>
        <v>2150712</v>
      </c>
      <c r="F1121" t="s">
        <v>1230</v>
      </c>
      <c r="G1121" t="s">
        <v>329</v>
      </c>
      <c r="H1121">
        <v>5</v>
      </c>
      <c r="I1121" t="s">
        <v>330</v>
      </c>
      <c r="J1121" t="s">
        <v>331</v>
      </c>
      <c r="K1121">
        <v>671.78995399999997</v>
      </c>
      <c r="L1121">
        <v>800</v>
      </c>
      <c r="M1121">
        <v>83.973743999999996</v>
      </c>
      <c r="N1121">
        <v>2</v>
      </c>
      <c r="O1121">
        <v>0</v>
      </c>
      <c r="P1121">
        <v>79.231316000000007</v>
      </c>
      <c r="Q1121">
        <v>50</v>
      </c>
      <c r="R1121">
        <v>50</v>
      </c>
      <c r="S1121">
        <v>69.807723999999993</v>
      </c>
      <c r="T1121">
        <v>75</v>
      </c>
      <c r="U1121">
        <v>46.538482000000002</v>
      </c>
      <c r="V1121">
        <v>50</v>
      </c>
      <c r="W1121">
        <v>80.195611</v>
      </c>
      <c r="X1121">
        <v>50</v>
      </c>
      <c r="Y1121">
        <v>50</v>
      </c>
      <c r="Z1121">
        <v>75</v>
      </c>
      <c r="AA1121">
        <v>70.351872</v>
      </c>
      <c r="AB1121">
        <v>46.901248000000002</v>
      </c>
      <c r="AC1121">
        <v>50</v>
      </c>
      <c r="AD1121">
        <v>75.120304000000004</v>
      </c>
      <c r="AE1121">
        <v>50</v>
      </c>
      <c r="AF1121">
        <v>50</v>
      </c>
      <c r="AG1121" t="s">
        <v>125</v>
      </c>
      <c r="AH1121">
        <v>75</v>
      </c>
      <c r="AI1121" t="s">
        <v>125</v>
      </c>
      <c r="AJ1121" t="s">
        <v>125</v>
      </c>
      <c r="AK1121">
        <v>5.19</v>
      </c>
      <c r="AL1121">
        <v>4.6399999999999997</v>
      </c>
      <c r="AM1121" t="s">
        <v>125</v>
      </c>
      <c r="AN1121">
        <v>0.71576700000000004</v>
      </c>
      <c r="AO1121">
        <v>71.576745000000003</v>
      </c>
      <c r="AP1121">
        <v>100</v>
      </c>
      <c r="AQ1121">
        <v>0.76077799999999995</v>
      </c>
      <c r="AR1121">
        <v>76.077793999999997</v>
      </c>
      <c r="AS1121">
        <v>100</v>
      </c>
      <c r="AT1121">
        <v>0.65113399999999999</v>
      </c>
      <c r="AU1121">
        <v>0.73415900000000001</v>
      </c>
      <c r="AV1121">
        <v>65.113377</v>
      </c>
      <c r="AW1121">
        <v>100</v>
      </c>
      <c r="AX1121">
        <v>0.67953399999999997</v>
      </c>
      <c r="AY1121">
        <v>0.78389600000000004</v>
      </c>
      <c r="AZ1121">
        <v>67.953440999999998</v>
      </c>
      <c r="BA1121">
        <v>100</v>
      </c>
      <c r="BB1121" t="s">
        <v>125</v>
      </c>
      <c r="BC1121" t="s">
        <v>125</v>
      </c>
      <c r="BD1121" t="s">
        <v>125</v>
      </c>
      <c r="BE1121" t="s">
        <v>125</v>
      </c>
      <c r="BF1121" t="s">
        <v>125</v>
      </c>
      <c r="BG1121" t="s">
        <v>125</v>
      </c>
      <c r="BH1121">
        <v>0</v>
      </c>
      <c r="BI1121">
        <v>0.99173599999999995</v>
      </c>
      <c r="BJ1121">
        <v>0.98275900000000005</v>
      </c>
      <c r="BK1121">
        <v>0.99456500000000003</v>
      </c>
      <c r="BL1121">
        <v>0.99173599999999995</v>
      </c>
      <c r="BM1121">
        <v>0.98275900000000005</v>
      </c>
      <c r="BN1121">
        <v>0.99456500000000003</v>
      </c>
      <c r="BO1121">
        <v>1</v>
      </c>
      <c r="BP1121" t="s">
        <v>125</v>
      </c>
      <c r="BQ1121">
        <v>1</v>
      </c>
      <c r="BR1121">
        <v>3.2822999999999998E-2</v>
      </c>
      <c r="BS1121">
        <v>50</v>
      </c>
      <c r="BT1121">
        <v>50</v>
      </c>
      <c r="BU1121">
        <v>6.1856000000000001E-2</v>
      </c>
      <c r="BV1121">
        <v>47.628866000000002</v>
      </c>
      <c r="BW1121">
        <v>50</v>
      </c>
      <c r="BX1121" t="s">
        <v>125</v>
      </c>
      <c r="BY1121" t="s">
        <v>125</v>
      </c>
      <c r="BZ1121" t="s">
        <v>125</v>
      </c>
      <c r="CA1121" t="s">
        <v>125</v>
      </c>
      <c r="CB1121" t="s">
        <v>125</v>
      </c>
      <c r="CC1121" t="s">
        <v>125</v>
      </c>
      <c r="CD1121" t="s">
        <v>125</v>
      </c>
      <c r="CE1121" t="s">
        <v>125</v>
      </c>
      <c r="CF1121" t="s">
        <v>125</v>
      </c>
      <c r="CG1121" t="s">
        <v>125</v>
      </c>
      <c r="CH1121" t="s">
        <v>125</v>
      </c>
      <c r="CI1121" t="s">
        <v>125</v>
      </c>
      <c r="CJ1121" t="s">
        <v>125</v>
      </c>
      <c r="CK1121" t="s">
        <v>125</v>
      </c>
      <c r="CL1121" t="s">
        <v>125</v>
      </c>
      <c r="CM1121" t="s">
        <v>125</v>
      </c>
      <c r="CN1121" t="s">
        <v>125</v>
      </c>
      <c r="CO1121" t="s">
        <v>125</v>
      </c>
      <c r="CP1121" t="s">
        <v>125</v>
      </c>
      <c r="CQ1121">
        <v>0.81012700000000004</v>
      </c>
      <c r="CR1121">
        <v>0.98750000000000004</v>
      </c>
      <c r="CS1121">
        <v>50</v>
      </c>
      <c r="CT1121">
        <v>50</v>
      </c>
      <c r="CU1121" t="s">
        <v>125</v>
      </c>
      <c r="CV1121" t="s">
        <v>125</v>
      </c>
      <c r="CW1121" t="s">
        <v>125</v>
      </c>
      <c r="CX1121" t="s">
        <v>125</v>
      </c>
      <c r="CY1121" t="s">
        <v>125</v>
      </c>
      <c r="CZ1121" t="s">
        <v>125</v>
      </c>
      <c r="DA1121">
        <v>15.314097</v>
      </c>
      <c r="DB1121">
        <v>17.400950000000002</v>
      </c>
      <c r="DC1121">
        <v>16.332519999999999</v>
      </c>
      <c r="DD1121" t="s">
        <v>125</v>
      </c>
      <c r="DE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Q1121" t="s">
        <v>126</v>
      </c>
    </row>
    <row r="1122" spans="1:121" x14ac:dyDescent="0.15">
      <c r="A1122">
        <v>2018</v>
      </c>
      <c r="B1122" t="s">
        <v>293</v>
      </c>
      <c r="C1122" t="str">
        <f t="shared" si="52"/>
        <v>2150012</v>
      </c>
      <c r="D1122" t="s">
        <v>1266</v>
      </c>
      <c r="E1122" t="str">
        <f>"2155212"</f>
        <v>2155212</v>
      </c>
      <c r="F1122" t="s">
        <v>1230</v>
      </c>
      <c r="G1122">
        <v>6</v>
      </c>
      <c r="H1122">
        <v>8</v>
      </c>
      <c r="I1122" t="s">
        <v>330</v>
      </c>
      <c r="J1122" t="s">
        <v>331</v>
      </c>
      <c r="K1122">
        <v>637.27279299999998</v>
      </c>
      <c r="L1122">
        <v>900</v>
      </c>
      <c r="M1122">
        <v>70.808087999999998</v>
      </c>
      <c r="N1122">
        <v>2</v>
      </c>
      <c r="O1122">
        <v>0</v>
      </c>
      <c r="P1122">
        <v>73.817547000000005</v>
      </c>
      <c r="Q1122">
        <v>49.211697999999998</v>
      </c>
      <c r="R1122">
        <v>50</v>
      </c>
      <c r="S1122">
        <v>62.562908999999998</v>
      </c>
      <c r="T1122">
        <v>75</v>
      </c>
      <c r="U1122">
        <v>41.708606000000003</v>
      </c>
      <c r="V1122">
        <v>50</v>
      </c>
      <c r="W1122">
        <v>71.014322000000007</v>
      </c>
      <c r="X1122">
        <v>47.342880999999998</v>
      </c>
      <c r="Y1122">
        <v>50</v>
      </c>
      <c r="Z1122">
        <v>75</v>
      </c>
      <c r="AA1122">
        <v>58.380274</v>
      </c>
      <c r="AB1122">
        <v>38.920181999999997</v>
      </c>
      <c r="AC1122">
        <v>50</v>
      </c>
      <c r="AD1122">
        <v>70.461833999999996</v>
      </c>
      <c r="AE1122">
        <v>46.974556</v>
      </c>
      <c r="AF1122">
        <v>50</v>
      </c>
      <c r="AG1122">
        <v>64.839596</v>
      </c>
      <c r="AH1122">
        <v>72.721238</v>
      </c>
      <c r="AI1122">
        <v>43.226396999999999</v>
      </c>
      <c r="AJ1122">
        <v>50</v>
      </c>
      <c r="AK1122">
        <v>12.43</v>
      </c>
      <c r="AL1122">
        <v>16.61</v>
      </c>
      <c r="AM1122">
        <v>7.88</v>
      </c>
      <c r="AN1122">
        <v>0.520347</v>
      </c>
      <c r="AO1122">
        <v>52.034748999999998</v>
      </c>
      <c r="AP1122">
        <v>100</v>
      </c>
      <c r="AQ1122">
        <v>0.57916699999999999</v>
      </c>
      <c r="AR1122">
        <v>57.916716999999998</v>
      </c>
      <c r="AS1122">
        <v>100</v>
      </c>
      <c r="AT1122">
        <v>0.46563300000000002</v>
      </c>
      <c r="AU1122">
        <v>0.54039099999999995</v>
      </c>
      <c r="AV1122">
        <v>46.563347</v>
      </c>
      <c r="AW1122">
        <v>100</v>
      </c>
      <c r="AX1122">
        <v>0.43766100000000002</v>
      </c>
      <c r="AY1122">
        <v>0.63100599999999996</v>
      </c>
      <c r="AZ1122">
        <v>43.766050999999997</v>
      </c>
      <c r="BA1122">
        <v>100</v>
      </c>
      <c r="BB1122" t="s">
        <v>125</v>
      </c>
      <c r="BC1122" t="s">
        <v>125</v>
      </c>
      <c r="BD1122" t="s">
        <v>125</v>
      </c>
      <c r="BE1122" t="s">
        <v>125</v>
      </c>
      <c r="BF1122" t="s">
        <v>125</v>
      </c>
      <c r="BG1122" t="s">
        <v>125</v>
      </c>
      <c r="BH1122">
        <v>0</v>
      </c>
      <c r="BI1122">
        <v>0.99086799999999997</v>
      </c>
      <c r="BJ1122">
        <v>0.97777800000000004</v>
      </c>
      <c r="BK1122">
        <v>0.99670000000000003</v>
      </c>
      <c r="BL1122">
        <v>0.99086799999999997</v>
      </c>
      <c r="BM1122">
        <v>0.97777800000000004</v>
      </c>
      <c r="BN1122">
        <v>0.99670000000000003</v>
      </c>
      <c r="BO1122">
        <v>0.98064499999999999</v>
      </c>
      <c r="BP1122">
        <v>0.95744700000000005</v>
      </c>
      <c r="BQ1122">
        <v>0.99074099999999998</v>
      </c>
      <c r="BR1122">
        <v>4.1096000000000001E-2</v>
      </c>
      <c r="BS1122">
        <v>50</v>
      </c>
      <c r="BT1122">
        <v>50</v>
      </c>
      <c r="BU1122">
        <v>9.1603000000000004E-2</v>
      </c>
      <c r="BV1122">
        <v>41.679389</v>
      </c>
      <c r="BW1122">
        <v>50</v>
      </c>
      <c r="BX1122" t="s">
        <v>125</v>
      </c>
      <c r="BY1122" t="s">
        <v>125</v>
      </c>
      <c r="BZ1122" t="s">
        <v>125</v>
      </c>
      <c r="CA1122" t="s">
        <v>125</v>
      </c>
      <c r="CB1122" t="s">
        <v>125</v>
      </c>
      <c r="CC1122" t="s">
        <v>125</v>
      </c>
      <c r="CD1122">
        <v>0.93333299999999997</v>
      </c>
      <c r="CE1122">
        <v>49.645389999999999</v>
      </c>
      <c r="CF1122">
        <v>50</v>
      </c>
      <c r="CG1122" t="s">
        <v>125</v>
      </c>
      <c r="CH1122" t="s">
        <v>125</v>
      </c>
      <c r="CI1122" t="s">
        <v>125</v>
      </c>
      <c r="CJ1122" t="s">
        <v>125</v>
      </c>
      <c r="CK1122" t="s">
        <v>125</v>
      </c>
      <c r="CL1122" t="s">
        <v>125</v>
      </c>
      <c r="CM1122" t="s">
        <v>125</v>
      </c>
      <c r="CN1122" t="s">
        <v>125</v>
      </c>
      <c r="CO1122" t="s">
        <v>125</v>
      </c>
      <c r="CP1122" t="s">
        <v>125</v>
      </c>
      <c r="CQ1122">
        <v>0.42424200000000001</v>
      </c>
      <c r="CR1122">
        <v>0.99664399999999997</v>
      </c>
      <c r="CS1122">
        <v>28.282827999999999</v>
      </c>
      <c r="CT1122">
        <v>50</v>
      </c>
      <c r="CU1122" t="s">
        <v>125</v>
      </c>
      <c r="CV1122" t="s">
        <v>125</v>
      </c>
      <c r="CW1122" t="s">
        <v>125</v>
      </c>
      <c r="CX1122" t="s">
        <v>125</v>
      </c>
      <c r="CY1122" t="s">
        <v>125</v>
      </c>
      <c r="CZ1122" t="s">
        <v>125</v>
      </c>
      <c r="DA1122">
        <v>15.314097</v>
      </c>
      <c r="DB1122">
        <v>17.400950000000002</v>
      </c>
      <c r="DC1122">
        <v>16.332519999999999</v>
      </c>
      <c r="DD1122" t="s">
        <v>125</v>
      </c>
      <c r="DE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Q1122" t="s">
        <v>126</v>
      </c>
    </row>
    <row r="1123" spans="1:121" x14ac:dyDescent="0.15">
      <c r="A1123">
        <v>2018</v>
      </c>
      <c r="B1123" t="s">
        <v>293</v>
      </c>
      <c r="C1123" t="str">
        <f t="shared" si="52"/>
        <v>2150012</v>
      </c>
      <c r="D1123" t="s">
        <v>1267</v>
      </c>
      <c r="E1123" t="str">
        <f>"2150612"</f>
        <v>2150612</v>
      </c>
      <c r="F1123" t="s">
        <v>1230</v>
      </c>
      <c r="G1123" t="s">
        <v>329</v>
      </c>
      <c r="H1123">
        <v>5</v>
      </c>
      <c r="I1123" t="s">
        <v>330</v>
      </c>
      <c r="J1123" t="s">
        <v>331</v>
      </c>
      <c r="K1123">
        <v>681.95528100000001</v>
      </c>
      <c r="L1123">
        <v>850</v>
      </c>
      <c r="M1123">
        <v>80.230033000000006</v>
      </c>
      <c r="N1123">
        <v>2</v>
      </c>
      <c r="O1123">
        <v>0</v>
      </c>
      <c r="P1123">
        <v>76.718781000000007</v>
      </c>
      <c r="Q1123">
        <v>50</v>
      </c>
      <c r="R1123">
        <v>50</v>
      </c>
      <c r="S1123">
        <v>69.200659999999999</v>
      </c>
      <c r="T1123">
        <v>75</v>
      </c>
      <c r="U1123">
        <v>46.133772999999998</v>
      </c>
      <c r="V1123">
        <v>50</v>
      </c>
      <c r="W1123">
        <v>76.585735</v>
      </c>
      <c r="X1123">
        <v>50</v>
      </c>
      <c r="Y1123">
        <v>50</v>
      </c>
      <c r="Z1123">
        <v>75</v>
      </c>
      <c r="AA1123">
        <v>67.614129000000005</v>
      </c>
      <c r="AB1123">
        <v>45.076085999999997</v>
      </c>
      <c r="AC1123">
        <v>50</v>
      </c>
      <c r="AD1123">
        <v>66.890103999999994</v>
      </c>
      <c r="AE1123">
        <v>44.593403000000002</v>
      </c>
      <c r="AF1123">
        <v>50</v>
      </c>
      <c r="AG1123">
        <v>58.970813999999997</v>
      </c>
      <c r="AH1123">
        <v>71.266553000000002</v>
      </c>
      <c r="AI1123">
        <v>39.313876</v>
      </c>
      <c r="AJ1123">
        <v>50</v>
      </c>
      <c r="AK1123">
        <v>5.79</v>
      </c>
      <c r="AL1123">
        <v>7.38</v>
      </c>
      <c r="AM1123">
        <v>12.29</v>
      </c>
      <c r="AN1123">
        <v>0.71011199999999997</v>
      </c>
      <c r="AO1123">
        <v>71.011189000000002</v>
      </c>
      <c r="AP1123">
        <v>100</v>
      </c>
      <c r="AQ1123">
        <v>0.74806799999999996</v>
      </c>
      <c r="AR1123">
        <v>74.806798000000001</v>
      </c>
      <c r="AS1123">
        <v>100</v>
      </c>
      <c r="AT1123">
        <v>0.65647699999999998</v>
      </c>
      <c r="AU1123">
        <v>0.736541</v>
      </c>
      <c r="AV1123">
        <v>65.647734</v>
      </c>
      <c r="AW1123">
        <v>100</v>
      </c>
      <c r="AX1123">
        <v>0.58203800000000006</v>
      </c>
      <c r="AY1123">
        <v>0.82987999999999995</v>
      </c>
      <c r="AZ1123">
        <v>58.203845999999999</v>
      </c>
      <c r="BA1123">
        <v>100</v>
      </c>
      <c r="BB1123" t="s">
        <v>125</v>
      </c>
      <c r="BC1123" t="s">
        <v>125</v>
      </c>
      <c r="BD1123" t="s">
        <v>125</v>
      </c>
      <c r="BE1123" t="s">
        <v>125</v>
      </c>
      <c r="BF1123" t="s">
        <v>125</v>
      </c>
      <c r="BG1123" t="s">
        <v>125</v>
      </c>
      <c r="BH1123">
        <v>0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2.6402999999999999E-2</v>
      </c>
      <c r="BS1123">
        <v>50</v>
      </c>
      <c r="BT1123">
        <v>50</v>
      </c>
      <c r="BU1123">
        <v>7.6923000000000005E-2</v>
      </c>
      <c r="BV1123">
        <v>44.615385000000003</v>
      </c>
      <c r="BW1123">
        <v>50</v>
      </c>
      <c r="BX1123" t="s">
        <v>125</v>
      </c>
      <c r="BY1123" t="s">
        <v>125</v>
      </c>
      <c r="BZ1123" t="s">
        <v>125</v>
      </c>
      <c r="CA1123" t="s">
        <v>125</v>
      </c>
      <c r="CB1123" t="s">
        <v>125</v>
      </c>
      <c r="CC1123" t="s">
        <v>125</v>
      </c>
      <c r="CD1123" t="s">
        <v>125</v>
      </c>
      <c r="CE1123" t="s">
        <v>125</v>
      </c>
      <c r="CF1123" t="s">
        <v>125</v>
      </c>
      <c r="CG1123" t="s">
        <v>125</v>
      </c>
      <c r="CH1123" t="s">
        <v>125</v>
      </c>
      <c r="CI1123" t="s">
        <v>125</v>
      </c>
      <c r="CJ1123" t="s">
        <v>125</v>
      </c>
      <c r="CK1123" t="s">
        <v>125</v>
      </c>
      <c r="CL1123" t="s">
        <v>125</v>
      </c>
      <c r="CM1123" t="s">
        <v>125</v>
      </c>
      <c r="CN1123" t="s">
        <v>125</v>
      </c>
      <c r="CO1123" t="s">
        <v>125</v>
      </c>
      <c r="CP1123" t="s">
        <v>125</v>
      </c>
      <c r="CQ1123">
        <v>0.63829800000000003</v>
      </c>
      <c r="CR1123">
        <v>0.97916700000000001</v>
      </c>
      <c r="CS1123">
        <v>42.553190999999998</v>
      </c>
      <c r="CT1123">
        <v>50</v>
      </c>
      <c r="CU1123" t="s">
        <v>125</v>
      </c>
      <c r="CV1123" t="s">
        <v>125</v>
      </c>
      <c r="CW1123" t="s">
        <v>125</v>
      </c>
      <c r="CX1123" t="s">
        <v>125</v>
      </c>
      <c r="CY1123" t="s">
        <v>125</v>
      </c>
      <c r="CZ1123" t="s">
        <v>125</v>
      </c>
      <c r="DA1123">
        <v>15.314097</v>
      </c>
      <c r="DB1123">
        <v>17.400950000000002</v>
      </c>
      <c r="DC1123">
        <v>16.332519999999999</v>
      </c>
      <c r="DD1123" t="s">
        <v>125</v>
      </c>
      <c r="DE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Q1123" t="s">
        <v>126</v>
      </c>
    </row>
    <row r="1124" spans="1:121" x14ac:dyDescent="0.15">
      <c r="A1124">
        <v>2018</v>
      </c>
      <c r="B1124" t="s">
        <v>293</v>
      </c>
      <c r="C1124" t="str">
        <f t="shared" si="52"/>
        <v>2150012</v>
      </c>
      <c r="D1124" t="s">
        <v>1268</v>
      </c>
      <c r="E1124" t="str">
        <f>"2156212"</f>
        <v>2156212</v>
      </c>
      <c r="F1124" t="s">
        <v>1230</v>
      </c>
      <c r="G1124">
        <v>9</v>
      </c>
      <c r="H1124">
        <v>12</v>
      </c>
      <c r="J1124" t="s">
        <v>331</v>
      </c>
      <c r="K1124">
        <v>1251.990552</v>
      </c>
      <c r="L1124">
        <v>1450</v>
      </c>
      <c r="M1124">
        <v>86.344176000000004</v>
      </c>
      <c r="N1124">
        <v>2</v>
      </c>
      <c r="O1124">
        <v>1</v>
      </c>
      <c r="P1124">
        <v>66.820071999999996</v>
      </c>
      <c r="Q1124">
        <v>133.64014299999999</v>
      </c>
      <c r="R1124">
        <v>150</v>
      </c>
      <c r="S1124">
        <v>53.713450000000002</v>
      </c>
      <c r="T1124">
        <v>71.076922999999994</v>
      </c>
      <c r="U1124">
        <v>107.426901</v>
      </c>
      <c r="V1124">
        <v>150</v>
      </c>
      <c r="W1124">
        <v>67.795878000000002</v>
      </c>
      <c r="X1124">
        <v>135.591756</v>
      </c>
      <c r="Y1124">
        <v>150</v>
      </c>
      <c r="Z1124">
        <v>72.267805999999993</v>
      </c>
      <c r="AA1124">
        <v>54.027047000000003</v>
      </c>
      <c r="AB1124">
        <v>108.05409400000001</v>
      </c>
      <c r="AC1124">
        <v>150</v>
      </c>
      <c r="AD1124">
        <v>72.168432999999993</v>
      </c>
      <c r="AE1124">
        <v>96.224576999999996</v>
      </c>
      <c r="AF1124">
        <v>100</v>
      </c>
      <c r="AG1124">
        <v>59.916030999999997</v>
      </c>
      <c r="AH1124">
        <v>75</v>
      </c>
      <c r="AI1124">
        <v>79.888041000000001</v>
      </c>
      <c r="AJ1124">
        <v>100</v>
      </c>
      <c r="AK1124">
        <v>17.36</v>
      </c>
      <c r="AL1124">
        <v>18.239999999999998</v>
      </c>
      <c r="AM1124">
        <v>15.08</v>
      </c>
      <c r="AN1124" t="s">
        <v>125</v>
      </c>
      <c r="AO1124" t="s">
        <v>125</v>
      </c>
      <c r="AP1124" t="s">
        <v>125</v>
      </c>
      <c r="AQ1124" t="s">
        <v>125</v>
      </c>
      <c r="AR1124" t="s">
        <v>125</v>
      </c>
      <c r="AS1124" t="s">
        <v>125</v>
      </c>
      <c r="AT1124" t="s">
        <v>125</v>
      </c>
      <c r="AU1124" t="s">
        <v>125</v>
      </c>
      <c r="AV1124" t="s">
        <v>125</v>
      </c>
      <c r="AW1124" t="s">
        <v>125</v>
      </c>
      <c r="AX1124" t="s">
        <v>125</v>
      </c>
      <c r="AY1124" t="s">
        <v>125</v>
      </c>
      <c r="AZ1124" t="s">
        <v>125</v>
      </c>
      <c r="BA1124" t="s">
        <v>125</v>
      </c>
      <c r="BB1124" t="s">
        <v>125</v>
      </c>
      <c r="BC1124" t="s">
        <v>125</v>
      </c>
      <c r="BD1124" t="s">
        <v>125</v>
      </c>
      <c r="BE1124" t="s">
        <v>125</v>
      </c>
      <c r="BF1124" t="s">
        <v>125</v>
      </c>
      <c r="BG1124" t="s">
        <v>125</v>
      </c>
      <c r="BH1124">
        <v>1</v>
      </c>
      <c r="BI1124">
        <v>0.97805600000000004</v>
      </c>
      <c r="BJ1124">
        <v>0.95</v>
      </c>
      <c r="BK1124">
        <v>0.98744799999999999</v>
      </c>
      <c r="BL1124">
        <v>0.97805600000000004</v>
      </c>
      <c r="BM1124">
        <v>0.95</v>
      </c>
      <c r="BN1124">
        <v>0.98744799999999999</v>
      </c>
      <c r="BO1124">
        <v>0.97169799999999995</v>
      </c>
      <c r="BP1124">
        <v>0.91139199999999998</v>
      </c>
      <c r="BQ1124">
        <v>0.99163199999999996</v>
      </c>
      <c r="BR1124">
        <v>5.4681E-2</v>
      </c>
      <c r="BS1124">
        <v>49.063794999999999</v>
      </c>
      <c r="BT1124">
        <v>50</v>
      </c>
      <c r="BU1124">
        <v>0.122581</v>
      </c>
      <c r="BV1124">
        <v>35.483871000000001</v>
      </c>
      <c r="BW1124">
        <v>50</v>
      </c>
      <c r="BX1124">
        <v>0.70879999999999999</v>
      </c>
      <c r="BY1124">
        <v>47.253332999999998</v>
      </c>
      <c r="BZ1124">
        <v>50</v>
      </c>
      <c r="CA1124">
        <v>0.69120000000000004</v>
      </c>
      <c r="CB1124">
        <v>46.08</v>
      </c>
      <c r="CC1124">
        <v>50</v>
      </c>
      <c r="CD1124">
        <v>0.94983300000000004</v>
      </c>
      <c r="CE1124">
        <v>50</v>
      </c>
      <c r="CF1124">
        <v>50</v>
      </c>
      <c r="CG1124">
        <v>0.96797200000000005</v>
      </c>
      <c r="CH1124">
        <v>100</v>
      </c>
      <c r="CI1124">
        <v>100</v>
      </c>
      <c r="CJ1124">
        <v>0</v>
      </c>
      <c r="CK1124">
        <v>0.94642899999999996</v>
      </c>
      <c r="CL1124">
        <v>100</v>
      </c>
      <c r="CM1124">
        <v>100</v>
      </c>
      <c r="CN1124">
        <v>0.82481800000000005</v>
      </c>
      <c r="CO1124">
        <v>100</v>
      </c>
      <c r="CP1124">
        <v>100</v>
      </c>
      <c r="CQ1124">
        <v>0.30303000000000002</v>
      </c>
      <c r="CR1124">
        <v>0.93286199999999997</v>
      </c>
      <c r="CS1124">
        <v>20.202020000000001</v>
      </c>
      <c r="CT1124">
        <v>50</v>
      </c>
      <c r="CU1124">
        <v>0.516984</v>
      </c>
      <c r="CV1124">
        <v>43.082022000000002</v>
      </c>
      <c r="CW1124">
        <v>50</v>
      </c>
      <c r="CX1124">
        <v>0.94642899999999996</v>
      </c>
      <c r="CY1124">
        <v>0.94</v>
      </c>
      <c r="CZ1124">
        <v>-6.4289999999999998E-3</v>
      </c>
      <c r="DA1124">
        <v>15.314097</v>
      </c>
      <c r="DB1124">
        <v>17.400950000000002</v>
      </c>
      <c r="DC1124">
        <v>16.332519999999999</v>
      </c>
      <c r="DD1124">
        <v>7.9891730000000001</v>
      </c>
      <c r="DE1124">
        <v>1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Q1124" t="s">
        <v>126</v>
      </c>
    </row>
    <row r="1125" spans="1:121" x14ac:dyDescent="0.15">
      <c r="A1125">
        <v>2018</v>
      </c>
      <c r="B1125" t="s">
        <v>293</v>
      </c>
      <c r="C1125" t="str">
        <f t="shared" si="52"/>
        <v>2150012</v>
      </c>
      <c r="D1125" t="s">
        <v>1269</v>
      </c>
      <c r="E1125" t="str">
        <f>"2150512"</f>
        <v>2150512</v>
      </c>
      <c r="F1125" t="s">
        <v>1230</v>
      </c>
      <c r="G1125" t="s">
        <v>329</v>
      </c>
      <c r="H1125">
        <v>5</v>
      </c>
      <c r="I1125" t="s">
        <v>330</v>
      </c>
      <c r="J1125" t="s">
        <v>331</v>
      </c>
      <c r="K1125">
        <v>719.57810400000005</v>
      </c>
      <c r="L1125">
        <v>850</v>
      </c>
      <c r="M1125">
        <v>84.656248000000005</v>
      </c>
      <c r="N1125">
        <v>3</v>
      </c>
      <c r="O1125">
        <v>0</v>
      </c>
      <c r="P1125">
        <v>78.819445000000002</v>
      </c>
      <c r="Q1125">
        <v>50</v>
      </c>
      <c r="R1125">
        <v>50</v>
      </c>
      <c r="S1125">
        <v>63.758591000000003</v>
      </c>
      <c r="T1125">
        <v>75</v>
      </c>
      <c r="U1125">
        <v>42.505727</v>
      </c>
      <c r="V1125">
        <v>50</v>
      </c>
      <c r="W1125">
        <v>79.735237999999995</v>
      </c>
      <c r="X1125">
        <v>50</v>
      </c>
      <c r="Y1125">
        <v>50</v>
      </c>
      <c r="Z1125">
        <v>75</v>
      </c>
      <c r="AA1125">
        <v>64.924564000000004</v>
      </c>
      <c r="AB1125">
        <v>43.283042000000002</v>
      </c>
      <c r="AC1125">
        <v>50</v>
      </c>
      <c r="AD1125">
        <v>79.955645000000004</v>
      </c>
      <c r="AE1125">
        <v>50</v>
      </c>
      <c r="AF1125">
        <v>50</v>
      </c>
      <c r="AG1125">
        <v>63.450077</v>
      </c>
      <c r="AH1125">
        <v>75</v>
      </c>
      <c r="AI1125">
        <v>42.300051000000003</v>
      </c>
      <c r="AJ1125">
        <v>50</v>
      </c>
      <c r="AK1125">
        <v>11.24</v>
      </c>
      <c r="AL1125">
        <v>10.07</v>
      </c>
      <c r="AM1125">
        <v>11.54</v>
      </c>
      <c r="AN1125">
        <v>0.80052299999999998</v>
      </c>
      <c r="AO1125">
        <v>80.052256</v>
      </c>
      <c r="AP1125">
        <v>100</v>
      </c>
      <c r="AQ1125">
        <v>0.82491899999999996</v>
      </c>
      <c r="AR1125">
        <v>82.491900999999999</v>
      </c>
      <c r="AS1125">
        <v>100</v>
      </c>
      <c r="AT1125">
        <v>0.72320799999999996</v>
      </c>
      <c r="AU1125">
        <v>0.82199900000000004</v>
      </c>
      <c r="AV1125">
        <v>72.320762000000002</v>
      </c>
      <c r="AW1125">
        <v>100</v>
      </c>
      <c r="AX1125">
        <v>0.73211899999999996</v>
      </c>
      <c r="AY1125">
        <v>0.85069700000000004</v>
      </c>
      <c r="AZ1125">
        <v>73.211907999999994</v>
      </c>
      <c r="BA1125">
        <v>100</v>
      </c>
      <c r="BB1125" t="s">
        <v>125</v>
      </c>
      <c r="BC1125" t="s">
        <v>125</v>
      </c>
      <c r="BD1125" t="s">
        <v>125</v>
      </c>
      <c r="BE1125" t="s">
        <v>125</v>
      </c>
      <c r="BF1125" t="s">
        <v>125</v>
      </c>
      <c r="BG1125" t="s">
        <v>125</v>
      </c>
      <c r="BH1125">
        <v>1</v>
      </c>
      <c r="BI1125">
        <v>0.98870100000000005</v>
      </c>
      <c r="BJ1125">
        <v>0.96078399999999997</v>
      </c>
      <c r="BK1125">
        <v>1</v>
      </c>
      <c r="BL1125">
        <v>0.98305100000000001</v>
      </c>
      <c r="BM1125">
        <v>0.96078399999999997</v>
      </c>
      <c r="BN1125">
        <v>0.99206300000000003</v>
      </c>
      <c r="BO1125">
        <v>0.95652199999999998</v>
      </c>
      <c r="BP1125">
        <v>0.92</v>
      </c>
      <c r="BQ1125">
        <v>0.97727299999999995</v>
      </c>
      <c r="BR1125">
        <v>3.6312999999999998E-2</v>
      </c>
      <c r="BS1125">
        <v>50</v>
      </c>
      <c r="BT1125">
        <v>50</v>
      </c>
      <c r="BU1125">
        <v>9.6773999999999999E-2</v>
      </c>
      <c r="BV1125">
        <v>40.645161000000002</v>
      </c>
      <c r="BW1125">
        <v>50</v>
      </c>
      <c r="BX1125" t="s">
        <v>125</v>
      </c>
      <c r="BY1125" t="s">
        <v>125</v>
      </c>
      <c r="BZ1125" t="s">
        <v>125</v>
      </c>
      <c r="CA1125" t="s">
        <v>125</v>
      </c>
      <c r="CB1125" t="s">
        <v>125</v>
      </c>
      <c r="CC1125" t="s">
        <v>125</v>
      </c>
      <c r="CD1125" t="s">
        <v>125</v>
      </c>
      <c r="CE1125" t="s">
        <v>125</v>
      </c>
      <c r="CF1125" t="s">
        <v>125</v>
      </c>
      <c r="CG1125" t="s">
        <v>125</v>
      </c>
      <c r="CH1125" t="s">
        <v>125</v>
      </c>
      <c r="CI1125" t="s">
        <v>125</v>
      </c>
      <c r="CJ1125" t="s">
        <v>125</v>
      </c>
      <c r="CK1125" t="s">
        <v>125</v>
      </c>
      <c r="CL1125" t="s">
        <v>125</v>
      </c>
      <c r="CM1125" t="s">
        <v>125</v>
      </c>
      <c r="CN1125" t="s">
        <v>125</v>
      </c>
      <c r="CO1125" t="s">
        <v>125</v>
      </c>
      <c r="CP1125" t="s">
        <v>125</v>
      </c>
      <c r="CQ1125">
        <v>0.641509</v>
      </c>
      <c r="CR1125">
        <v>0.91379299999999997</v>
      </c>
      <c r="CS1125">
        <v>42.767296000000002</v>
      </c>
      <c r="CT1125">
        <v>50</v>
      </c>
      <c r="CU1125" t="s">
        <v>125</v>
      </c>
      <c r="CV1125" t="s">
        <v>125</v>
      </c>
      <c r="CW1125" t="s">
        <v>125</v>
      </c>
      <c r="CX1125" t="s">
        <v>125</v>
      </c>
      <c r="CY1125" t="s">
        <v>125</v>
      </c>
      <c r="CZ1125" t="s">
        <v>125</v>
      </c>
      <c r="DA1125">
        <v>15.314097</v>
      </c>
      <c r="DB1125">
        <v>17.400950000000002</v>
      </c>
      <c r="DC1125">
        <v>16.332519999999999</v>
      </c>
      <c r="DD1125" t="s">
        <v>125</v>
      </c>
      <c r="DE1125">
        <v>1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Q1125" t="s">
        <v>126</v>
      </c>
    </row>
    <row r="1126" spans="1:121" x14ac:dyDescent="0.15">
      <c r="A1126">
        <v>2018</v>
      </c>
      <c r="B1126" t="s">
        <v>293</v>
      </c>
      <c r="C1126" t="str">
        <f t="shared" si="52"/>
        <v>2150012</v>
      </c>
      <c r="D1126" t="s">
        <v>1270</v>
      </c>
      <c r="E1126" t="str">
        <f>"2155112"</f>
        <v>2155112</v>
      </c>
      <c r="F1126" t="s">
        <v>1230</v>
      </c>
      <c r="G1126">
        <v>6</v>
      </c>
      <c r="H1126">
        <v>8</v>
      </c>
      <c r="J1126" t="s">
        <v>331</v>
      </c>
      <c r="K1126">
        <v>720.665753</v>
      </c>
      <c r="L1126">
        <v>900</v>
      </c>
      <c r="M1126">
        <v>80.073972999999995</v>
      </c>
      <c r="N1126">
        <v>3</v>
      </c>
      <c r="O1126">
        <v>0</v>
      </c>
      <c r="P1126">
        <v>80.177921999999995</v>
      </c>
      <c r="Q1126">
        <v>50</v>
      </c>
      <c r="R1126">
        <v>50</v>
      </c>
      <c r="S1126">
        <v>68.608779999999996</v>
      </c>
      <c r="T1126">
        <v>75</v>
      </c>
      <c r="U1126">
        <v>45.739187000000001</v>
      </c>
      <c r="V1126">
        <v>50</v>
      </c>
      <c r="W1126">
        <v>75.495988999999994</v>
      </c>
      <c r="X1126">
        <v>50</v>
      </c>
      <c r="Y1126">
        <v>50</v>
      </c>
      <c r="Z1126">
        <v>75</v>
      </c>
      <c r="AA1126">
        <v>60.975012999999997</v>
      </c>
      <c r="AB1126">
        <v>40.650008999999997</v>
      </c>
      <c r="AC1126">
        <v>50</v>
      </c>
      <c r="AD1126">
        <v>75.390589000000006</v>
      </c>
      <c r="AE1126">
        <v>50</v>
      </c>
      <c r="AF1126">
        <v>50</v>
      </c>
      <c r="AG1126">
        <v>64.067058000000003</v>
      </c>
      <c r="AH1126">
        <v>75</v>
      </c>
      <c r="AI1126">
        <v>42.711371999999997</v>
      </c>
      <c r="AJ1126">
        <v>50</v>
      </c>
      <c r="AK1126">
        <v>6.39</v>
      </c>
      <c r="AL1126">
        <v>14.02</v>
      </c>
      <c r="AM1126">
        <v>10.93</v>
      </c>
      <c r="AN1126">
        <v>0.64618100000000001</v>
      </c>
      <c r="AO1126">
        <v>64.618123999999995</v>
      </c>
      <c r="AP1126">
        <v>100</v>
      </c>
      <c r="AQ1126">
        <v>0.69104200000000005</v>
      </c>
      <c r="AR1126">
        <v>69.104155000000006</v>
      </c>
      <c r="AS1126">
        <v>100</v>
      </c>
      <c r="AT1126">
        <v>0.61825300000000005</v>
      </c>
      <c r="AU1126">
        <v>0.65530600000000006</v>
      </c>
      <c r="AV1126">
        <v>61.825296000000002</v>
      </c>
      <c r="AW1126">
        <v>100</v>
      </c>
      <c r="AX1126">
        <v>0.58508300000000002</v>
      </c>
      <c r="AY1126">
        <v>0.72566200000000003</v>
      </c>
      <c r="AZ1126">
        <v>58.508266999999996</v>
      </c>
      <c r="BA1126">
        <v>100</v>
      </c>
      <c r="BB1126" t="s">
        <v>125</v>
      </c>
      <c r="BC1126" t="s">
        <v>125</v>
      </c>
      <c r="BD1126" t="s">
        <v>125</v>
      </c>
      <c r="BE1126" t="s">
        <v>125</v>
      </c>
      <c r="BF1126" t="s">
        <v>125</v>
      </c>
      <c r="BG1126" t="s">
        <v>125</v>
      </c>
      <c r="BH1126">
        <v>1</v>
      </c>
      <c r="BI1126">
        <v>0.97429900000000003</v>
      </c>
      <c r="BJ1126">
        <v>0.94782599999999995</v>
      </c>
      <c r="BK1126">
        <v>0.98402599999999996</v>
      </c>
      <c r="BL1126">
        <v>0.97196300000000002</v>
      </c>
      <c r="BM1126">
        <v>0.93913000000000002</v>
      </c>
      <c r="BN1126">
        <v>0.98402599999999996</v>
      </c>
      <c r="BO1126">
        <v>0.99305600000000005</v>
      </c>
      <c r="BP1126">
        <v>0.97142899999999999</v>
      </c>
      <c r="BQ1126">
        <v>1</v>
      </c>
      <c r="BR1126">
        <v>2.1176E-2</v>
      </c>
      <c r="BS1126">
        <v>50</v>
      </c>
      <c r="BT1126">
        <v>50</v>
      </c>
      <c r="BU1126">
        <v>5.5045999999999998E-2</v>
      </c>
      <c r="BV1126">
        <v>48.990825999999998</v>
      </c>
      <c r="BW1126">
        <v>50</v>
      </c>
      <c r="BX1126" t="s">
        <v>125</v>
      </c>
      <c r="BY1126" t="s">
        <v>125</v>
      </c>
      <c r="BZ1126" t="s">
        <v>125</v>
      </c>
      <c r="CA1126" t="s">
        <v>125</v>
      </c>
      <c r="CB1126" t="s">
        <v>125</v>
      </c>
      <c r="CC1126" t="s">
        <v>125</v>
      </c>
      <c r="CD1126">
        <v>0.95882400000000001</v>
      </c>
      <c r="CE1126">
        <v>50</v>
      </c>
      <c r="CF1126">
        <v>50</v>
      </c>
      <c r="CG1126" t="s">
        <v>125</v>
      </c>
      <c r="CH1126" t="s">
        <v>125</v>
      </c>
      <c r="CI1126" t="s">
        <v>125</v>
      </c>
      <c r="CJ1126" t="s">
        <v>125</v>
      </c>
      <c r="CK1126" t="s">
        <v>125</v>
      </c>
      <c r="CL1126" t="s">
        <v>125</v>
      </c>
      <c r="CM1126" t="s">
        <v>125</v>
      </c>
      <c r="CN1126" t="s">
        <v>125</v>
      </c>
      <c r="CO1126" t="s">
        <v>125</v>
      </c>
      <c r="CP1126" t="s">
        <v>125</v>
      </c>
      <c r="CQ1126">
        <v>0.57777800000000001</v>
      </c>
      <c r="CR1126">
        <v>0.97472899999999996</v>
      </c>
      <c r="CS1126">
        <v>38.518518999999998</v>
      </c>
      <c r="CT1126">
        <v>50</v>
      </c>
      <c r="CU1126" t="s">
        <v>125</v>
      </c>
      <c r="CV1126" t="s">
        <v>125</v>
      </c>
      <c r="CW1126" t="s">
        <v>125</v>
      </c>
      <c r="CX1126" t="s">
        <v>125</v>
      </c>
      <c r="CY1126" t="s">
        <v>125</v>
      </c>
      <c r="CZ1126" t="s">
        <v>125</v>
      </c>
      <c r="DA1126">
        <v>15.314097</v>
      </c>
      <c r="DB1126">
        <v>17.400950000000002</v>
      </c>
      <c r="DC1126">
        <v>16.332519999999999</v>
      </c>
      <c r="DD1126" t="s">
        <v>125</v>
      </c>
      <c r="DE1126">
        <v>1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Q1126" t="s">
        <v>126</v>
      </c>
    </row>
    <row r="1127" spans="1:121" x14ac:dyDescent="0.15">
      <c r="A1127">
        <v>2018</v>
      </c>
      <c r="B1127" t="s">
        <v>294</v>
      </c>
      <c r="C1127" t="str">
        <f>"2160012"</f>
        <v>2160012</v>
      </c>
      <c r="D1127" t="s">
        <v>1271</v>
      </c>
      <c r="E1127" t="str">
        <f>"2160112"</f>
        <v>2160112</v>
      </c>
      <c r="F1127" t="s">
        <v>1230</v>
      </c>
      <c r="G1127" t="s">
        <v>339</v>
      </c>
      <c r="H1127">
        <v>5</v>
      </c>
      <c r="I1127" t="s">
        <v>330</v>
      </c>
      <c r="J1127" t="s">
        <v>331</v>
      </c>
      <c r="K1127">
        <v>646.32144800000003</v>
      </c>
      <c r="L1127">
        <v>800</v>
      </c>
      <c r="M1127">
        <v>80.790181000000004</v>
      </c>
      <c r="N1127">
        <v>2</v>
      </c>
      <c r="O1127">
        <v>0</v>
      </c>
      <c r="P1127">
        <v>77.457302999999996</v>
      </c>
      <c r="Q1127">
        <v>50</v>
      </c>
      <c r="R1127">
        <v>50</v>
      </c>
      <c r="S1127">
        <v>74.084108000000001</v>
      </c>
      <c r="T1127">
        <v>75</v>
      </c>
      <c r="U1127">
        <v>49.389406000000001</v>
      </c>
      <c r="V1127">
        <v>50</v>
      </c>
      <c r="W1127">
        <v>70.919015000000002</v>
      </c>
      <c r="X1127">
        <v>47.279342999999997</v>
      </c>
      <c r="Y1127">
        <v>50</v>
      </c>
      <c r="Z1127">
        <v>73.230144999999993</v>
      </c>
      <c r="AA1127">
        <v>66.626914999999997</v>
      </c>
      <c r="AB1127">
        <v>44.417943999999999</v>
      </c>
      <c r="AC1127">
        <v>50</v>
      </c>
      <c r="AD1127">
        <v>81.942396000000002</v>
      </c>
      <c r="AE1127">
        <v>50</v>
      </c>
      <c r="AF1127">
        <v>50</v>
      </c>
      <c r="AG1127" t="s">
        <v>125</v>
      </c>
      <c r="AH1127">
        <v>75</v>
      </c>
      <c r="AI1127" t="s">
        <v>125</v>
      </c>
      <c r="AJ1127" t="s">
        <v>125</v>
      </c>
      <c r="AK1127">
        <v>0.91</v>
      </c>
      <c r="AL1127">
        <v>6.6</v>
      </c>
      <c r="AM1127" t="s">
        <v>125</v>
      </c>
      <c r="AN1127">
        <v>0.74317900000000003</v>
      </c>
      <c r="AO1127">
        <v>74.317896000000005</v>
      </c>
      <c r="AP1127">
        <v>100</v>
      </c>
      <c r="AQ1127">
        <v>0.66057399999999999</v>
      </c>
      <c r="AR1127">
        <v>66.057382000000004</v>
      </c>
      <c r="AS1127">
        <v>100</v>
      </c>
      <c r="AT1127">
        <v>0.75612999999999997</v>
      </c>
      <c r="AU1127">
        <v>0.73651800000000001</v>
      </c>
      <c r="AV1127">
        <v>75.613028999999997</v>
      </c>
      <c r="AW1127">
        <v>100</v>
      </c>
      <c r="AX1127">
        <v>0.62323399999999995</v>
      </c>
      <c r="AY1127">
        <v>0.67977699999999996</v>
      </c>
      <c r="AZ1127">
        <v>62.323371000000002</v>
      </c>
      <c r="BA1127">
        <v>100</v>
      </c>
      <c r="BB1127" t="s">
        <v>125</v>
      </c>
      <c r="BC1127" t="s">
        <v>125</v>
      </c>
      <c r="BD1127" t="s">
        <v>125</v>
      </c>
      <c r="BE1127" t="s">
        <v>125</v>
      </c>
      <c r="BF1127" t="s">
        <v>125</v>
      </c>
      <c r="BG1127" t="s">
        <v>125</v>
      </c>
      <c r="BH1127">
        <v>0</v>
      </c>
      <c r="BI1127">
        <v>0.98802400000000001</v>
      </c>
      <c r="BJ1127">
        <v>0.98360700000000001</v>
      </c>
      <c r="BK1127">
        <v>0.99056599999999995</v>
      </c>
      <c r="BL1127">
        <v>0.98802400000000001</v>
      </c>
      <c r="BM1127">
        <v>0.98360700000000001</v>
      </c>
      <c r="BN1127">
        <v>0.99056599999999995</v>
      </c>
      <c r="BO1127">
        <v>0.98305100000000001</v>
      </c>
      <c r="BP1127">
        <v>0.95</v>
      </c>
      <c r="BQ1127">
        <v>1</v>
      </c>
      <c r="BR1127">
        <v>1.3559E-2</v>
      </c>
      <c r="BS1127">
        <v>50</v>
      </c>
      <c r="BT1127">
        <v>50</v>
      </c>
      <c r="BU1127">
        <v>2.6549E-2</v>
      </c>
      <c r="BV1127">
        <v>50</v>
      </c>
      <c r="BW1127">
        <v>50</v>
      </c>
      <c r="BX1127" t="s">
        <v>125</v>
      </c>
      <c r="BY1127" t="s">
        <v>125</v>
      </c>
      <c r="BZ1127" t="s">
        <v>125</v>
      </c>
      <c r="CA1127" t="s">
        <v>125</v>
      </c>
      <c r="CB1127" t="s">
        <v>125</v>
      </c>
      <c r="CC1127" t="s">
        <v>125</v>
      </c>
      <c r="CD1127" t="s">
        <v>125</v>
      </c>
      <c r="CE1127" t="s">
        <v>125</v>
      </c>
      <c r="CF1127" t="s">
        <v>125</v>
      </c>
      <c r="CG1127" t="s">
        <v>125</v>
      </c>
      <c r="CH1127" t="s">
        <v>125</v>
      </c>
      <c r="CI1127" t="s">
        <v>125</v>
      </c>
      <c r="CJ1127" t="s">
        <v>125</v>
      </c>
      <c r="CK1127" t="s">
        <v>125</v>
      </c>
      <c r="CL1127" t="s">
        <v>125</v>
      </c>
      <c r="CM1127" t="s">
        <v>125</v>
      </c>
      <c r="CN1127" t="s">
        <v>125</v>
      </c>
      <c r="CO1127" t="s">
        <v>125</v>
      </c>
      <c r="CP1127" t="s">
        <v>125</v>
      </c>
      <c r="CQ1127">
        <v>0.40384599999999998</v>
      </c>
      <c r="CR1127">
        <v>1</v>
      </c>
      <c r="CS1127">
        <v>26.923076999999999</v>
      </c>
      <c r="CT1127">
        <v>50</v>
      </c>
      <c r="CU1127" t="s">
        <v>125</v>
      </c>
      <c r="CV1127" t="s">
        <v>125</v>
      </c>
      <c r="CW1127" t="s">
        <v>125</v>
      </c>
      <c r="CX1127" t="s">
        <v>125</v>
      </c>
      <c r="CY1127" t="s">
        <v>125</v>
      </c>
      <c r="CZ1127" t="s">
        <v>125</v>
      </c>
      <c r="DA1127">
        <v>15.314097</v>
      </c>
      <c r="DB1127">
        <v>17.400950000000002</v>
      </c>
      <c r="DC1127">
        <v>16.332519999999999</v>
      </c>
      <c r="DD1127" t="s">
        <v>125</v>
      </c>
      <c r="DE1127">
        <v>0</v>
      </c>
      <c r="DH1127" t="s">
        <v>332</v>
      </c>
      <c r="DI1127" t="s">
        <v>524</v>
      </c>
      <c r="DJ1127">
        <v>0</v>
      </c>
      <c r="DK1127">
        <v>0</v>
      </c>
      <c r="DL1127">
        <v>0</v>
      </c>
      <c r="DM1127">
        <v>1</v>
      </c>
      <c r="DN1127">
        <v>0</v>
      </c>
      <c r="DO1127">
        <v>0</v>
      </c>
      <c r="DQ1127" t="s">
        <v>126</v>
      </c>
    </row>
    <row r="1128" spans="1:121" x14ac:dyDescent="0.15">
      <c r="A1128">
        <v>2018</v>
      </c>
      <c r="B1128" t="s">
        <v>294</v>
      </c>
      <c r="C1128" t="str">
        <f>"2160012"</f>
        <v>2160012</v>
      </c>
      <c r="D1128" t="s">
        <v>1272</v>
      </c>
      <c r="E1128" t="str">
        <f>"2165112"</f>
        <v>2165112</v>
      </c>
      <c r="F1128" t="s">
        <v>1230</v>
      </c>
      <c r="G1128">
        <v>6</v>
      </c>
      <c r="H1128">
        <v>8</v>
      </c>
      <c r="I1128" t="s">
        <v>330</v>
      </c>
      <c r="J1128" t="s">
        <v>331</v>
      </c>
      <c r="K1128">
        <v>645.27091800000005</v>
      </c>
      <c r="L1128">
        <v>900</v>
      </c>
      <c r="M1128">
        <v>71.696769000000003</v>
      </c>
      <c r="N1128">
        <v>3</v>
      </c>
      <c r="O1128">
        <v>1</v>
      </c>
      <c r="P1128">
        <v>73.957279999999997</v>
      </c>
      <c r="Q1128">
        <v>49.304853000000001</v>
      </c>
      <c r="R1128">
        <v>50</v>
      </c>
      <c r="S1128">
        <v>58.543425999999997</v>
      </c>
      <c r="T1128">
        <v>75</v>
      </c>
      <c r="U1128">
        <v>39.028950999999999</v>
      </c>
      <c r="V1128">
        <v>50</v>
      </c>
      <c r="W1128">
        <v>69.707476999999997</v>
      </c>
      <c r="X1128">
        <v>46.471651999999999</v>
      </c>
      <c r="Y1128">
        <v>50</v>
      </c>
      <c r="Z1128">
        <v>75</v>
      </c>
      <c r="AA1128">
        <v>53.197378</v>
      </c>
      <c r="AB1128">
        <v>35.464917999999997</v>
      </c>
      <c r="AC1128">
        <v>50</v>
      </c>
      <c r="AD1128">
        <v>66.274764000000005</v>
      </c>
      <c r="AE1128">
        <v>44.183176000000003</v>
      </c>
      <c r="AF1128">
        <v>50</v>
      </c>
      <c r="AG1128">
        <v>54.976120999999999</v>
      </c>
      <c r="AH1128">
        <v>71.607724000000005</v>
      </c>
      <c r="AI1128">
        <v>36.650747000000003</v>
      </c>
      <c r="AJ1128">
        <v>50</v>
      </c>
      <c r="AK1128">
        <v>16.45</v>
      </c>
      <c r="AL1128">
        <v>21.8</v>
      </c>
      <c r="AM1128">
        <v>16.63</v>
      </c>
      <c r="AN1128">
        <v>0.55958600000000003</v>
      </c>
      <c r="AO1128">
        <v>55.958596</v>
      </c>
      <c r="AP1128">
        <v>100</v>
      </c>
      <c r="AQ1128">
        <v>0.62482000000000004</v>
      </c>
      <c r="AR1128">
        <v>62.482013999999999</v>
      </c>
      <c r="AS1128">
        <v>100</v>
      </c>
      <c r="AT1128">
        <v>0.51189099999999998</v>
      </c>
      <c r="AU1128">
        <v>0.57819200000000004</v>
      </c>
      <c r="AV1128">
        <v>51.189070999999998</v>
      </c>
      <c r="AW1128">
        <v>100</v>
      </c>
      <c r="AX1128">
        <v>0.46662500000000001</v>
      </c>
      <c r="AY1128">
        <v>0.68653399999999998</v>
      </c>
      <c r="AZ1128">
        <v>46.662520000000001</v>
      </c>
      <c r="BA1128">
        <v>100</v>
      </c>
      <c r="BB1128" t="s">
        <v>125</v>
      </c>
      <c r="BC1128" t="s">
        <v>125</v>
      </c>
      <c r="BD1128" t="s">
        <v>125</v>
      </c>
      <c r="BE1128" t="s">
        <v>125</v>
      </c>
      <c r="BF1128" t="s">
        <v>125</v>
      </c>
      <c r="BG1128" t="s">
        <v>125</v>
      </c>
      <c r="BH1128">
        <v>0</v>
      </c>
      <c r="BI1128">
        <v>0.98696499999999998</v>
      </c>
      <c r="BJ1128">
        <v>0.981707</v>
      </c>
      <c r="BK1128">
        <v>0.98927600000000004</v>
      </c>
      <c r="BL1128">
        <v>0.98696499999999998</v>
      </c>
      <c r="BM1128">
        <v>0.981707</v>
      </c>
      <c r="BN1128">
        <v>0.98927600000000004</v>
      </c>
      <c r="BO1128">
        <v>1</v>
      </c>
      <c r="BP1128">
        <v>1</v>
      </c>
      <c r="BQ1128">
        <v>1</v>
      </c>
      <c r="BR1128">
        <v>5.2336000000000001E-2</v>
      </c>
      <c r="BS1128">
        <v>49.532710000000002</v>
      </c>
      <c r="BT1128">
        <v>50</v>
      </c>
      <c r="BU1128">
        <v>0.110429</v>
      </c>
      <c r="BV1128">
        <v>37.914110000000001</v>
      </c>
      <c r="BW1128">
        <v>50</v>
      </c>
      <c r="BX1128" t="s">
        <v>125</v>
      </c>
      <c r="BY1128" t="s">
        <v>125</v>
      </c>
      <c r="BZ1128" t="s">
        <v>125</v>
      </c>
      <c r="CA1128" t="s">
        <v>125</v>
      </c>
      <c r="CB1128" t="s">
        <v>125</v>
      </c>
      <c r="CC1128" t="s">
        <v>125</v>
      </c>
      <c r="CD1128">
        <v>0.96938800000000003</v>
      </c>
      <c r="CE1128">
        <v>50</v>
      </c>
      <c r="CF1128">
        <v>50</v>
      </c>
      <c r="CG1128" t="s">
        <v>125</v>
      </c>
      <c r="CH1128" t="s">
        <v>125</v>
      </c>
      <c r="CI1128" t="s">
        <v>125</v>
      </c>
      <c r="CJ1128" t="s">
        <v>125</v>
      </c>
      <c r="CK1128" t="s">
        <v>125</v>
      </c>
      <c r="CL1128" t="s">
        <v>125</v>
      </c>
      <c r="CM1128" t="s">
        <v>125</v>
      </c>
      <c r="CN1128" t="s">
        <v>125</v>
      </c>
      <c r="CO1128" t="s">
        <v>125</v>
      </c>
      <c r="CP1128" t="s">
        <v>125</v>
      </c>
      <c r="CQ1128">
        <v>0.60641400000000001</v>
      </c>
      <c r="CR1128">
        <v>0.94490399999999997</v>
      </c>
      <c r="CS1128">
        <v>40.427599999999998</v>
      </c>
      <c r="CT1128">
        <v>50</v>
      </c>
      <c r="CU1128" t="s">
        <v>125</v>
      </c>
      <c r="CV1128" t="s">
        <v>125</v>
      </c>
      <c r="CW1128" t="s">
        <v>125</v>
      </c>
      <c r="CX1128" t="s">
        <v>125</v>
      </c>
      <c r="CY1128" t="s">
        <v>125</v>
      </c>
      <c r="CZ1128" t="s">
        <v>125</v>
      </c>
      <c r="DA1128">
        <v>15.314097</v>
      </c>
      <c r="DB1128">
        <v>17.400950000000002</v>
      </c>
      <c r="DC1128">
        <v>16.332519999999999</v>
      </c>
      <c r="DD1128" t="s">
        <v>125</v>
      </c>
      <c r="DE1128">
        <v>1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Q1128" t="s">
        <v>126</v>
      </c>
    </row>
    <row r="1129" spans="1:121" x14ac:dyDescent="0.15">
      <c r="A1129">
        <v>2018</v>
      </c>
      <c r="B1129" t="s">
        <v>294</v>
      </c>
      <c r="C1129" t="str">
        <f>"2160012"</f>
        <v>2160012</v>
      </c>
      <c r="D1129" t="s">
        <v>1273</v>
      </c>
      <c r="E1129" t="str">
        <f>"2160512"</f>
        <v>2160512</v>
      </c>
      <c r="F1129" t="s">
        <v>1230</v>
      </c>
      <c r="G1129" t="s">
        <v>329</v>
      </c>
      <c r="H1129">
        <v>5</v>
      </c>
      <c r="J1129" t="s">
        <v>331</v>
      </c>
      <c r="K1129">
        <v>652.45985399999995</v>
      </c>
      <c r="L1129">
        <v>850</v>
      </c>
      <c r="M1129">
        <v>76.759983000000005</v>
      </c>
      <c r="N1129">
        <v>3</v>
      </c>
      <c r="O1129">
        <v>1</v>
      </c>
      <c r="P1129">
        <v>80.339837000000003</v>
      </c>
      <c r="Q1129">
        <v>50</v>
      </c>
      <c r="R1129">
        <v>50</v>
      </c>
      <c r="S1129">
        <v>68.297484999999995</v>
      </c>
      <c r="T1129">
        <v>75</v>
      </c>
      <c r="U1129">
        <v>45.531657000000003</v>
      </c>
      <c r="V1129">
        <v>50</v>
      </c>
      <c r="W1129">
        <v>74.329032999999995</v>
      </c>
      <c r="X1129">
        <v>49.552689000000001</v>
      </c>
      <c r="Y1129">
        <v>50</v>
      </c>
      <c r="Z1129">
        <v>75</v>
      </c>
      <c r="AA1129">
        <v>60.934922999999998</v>
      </c>
      <c r="AB1129">
        <v>40.623282000000003</v>
      </c>
      <c r="AC1129">
        <v>50</v>
      </c>
      <c r="AD1129">
        <v>71.813562000000005</v>
      </c>
      <c r="AE1129">
        <v>47.875708000000003</v>
      </c>
      <c r="AF1129">
        <v>50</v>
      </c>
      <c r="AG1129">
        <v>58.243797000000001</v>
      </c>
      <c r="AH1129">
        <v>75</v>
      </c>
      <c r="AI1129">
        <v>38.829197999999998</v>
      </c>
      <c r="AJ1129">
        <v>50</v>
      </c>
      <c r="AK1129">
        <v>6.7</v>
      </c>
      <c r="AL1129">
        <v>14.06</v>
      </c>
      <c r="AM1129">
        <v>16.75</v>
      </c>
      <c r="AN1129">
        <v>0.66913999999999996</v>
      </c>
      <c r="AO1129">
        <v>66.913990999999996</v>
      </c>
      <c r="AP1129">
        <v>100</v>
      </c>
      <c r="AQ1129">
        <v>0.61367099999999997</v>
      </c>
      <c r="AR1129">
        <v>61.367131999999998</v>
      </c>
      <c r="AS1129">
        <v>100</v>
      </c>
      <c r="AT1129">
        <v>0.58891099999999996</v>
      </c>
      <c r="AU1129">
        <v>0.69506000000000001</v>
      </c>
      <c r="AV1129">
        <v>58.891091000000003</v>
      </c>
      <c r="AW1129">
        <v>100</v>
      </c>
      <c r="AX1129">
        <v>0.52928699999999995</v>
      </c>
      <c r="AY1129">
        <v>0.640934</v>
      </c>
      <c r="AZ1129">
        <v>52.928747000000001</v>
      </c>
      <c r="BA1129">
        <v>100</v>
      </c>
      <c r="BB1129" t="s">
        <v>125</v>
      </c>
      <c r="BC1129" t="s">
        <v>125</v>
      </c>
      <c r="BD1129" t="s">
        <v>125</v>
      </c>
      <c r="BE1129" t="s">
        <v>125</v>
      </c>
      <c r="BF1129" t="s">
        <v>125</v>
      </c>
      <c r="BG1129" t="s">
        <v>125</v>
      </c>
      <c r="BH1129">
        <v>1</v>
      </c>
      <c r="BI1129">
        <v>0.98932399999999998</v>
      </c>
      <c r="BJ1129">
        <v>0.95774599999999999</v>
      </c>
      <c r="BK1129">
        <v>1</v>
      </c>
      <c r="BL1129">
        <v>0.98936199999999996</v>
      </c>
      <c r="BM1129">
        <v>0.95833299999999999</v>
      </c>
      <c r="BN1129">
        <v>1</v>
      </c>
      <c r="BO1129">
        <v>0.97938099999999995</v>
      </c>
      <c r="BP1129">
        <v>0.93333299999999997</v>
      </c>
      <c r="BQ1129">
        <v>1</v>
      </c>
      <c r="BR1129">
        <v>1.9504000000000001E-2</v>
      </c>
      <c r="BS1129">
        <v>50</v>
      </c>
      <c r="BT1129">
        <v>50</v>
      </c>
      <c r="BU1129">
        <v>5.3332999999999998E-2</v>
      </c>
      <c r="BV1129">
        <v>49.333333000000003</v>
      </c>
      <c r="BW1129">
        <v>50</v>
      </c>
      <c r="BX1129" t="s">
        <v>125</v>
      </c>
      <c r="BY1129" t="s">
        <v>125</v>
      </c>
      <c r="BZ1129" t="s">
        <v>125</v>
      </c>
      <c r="CA1129" t="s">
        <v>125</v>
      </c>
      <c r="CB1129" t="s">
        <v>125</v>
      </c>
      <c r="CC1129" t="s">
        <v>125</v>
      </c>
      <c r="CD1129" t="s">
        <v>125</v>
      </c>
      <c r="CE1129" t="s">
        <v>125</v>
      </c>
      <c r="CF1129" t="s">
        <v>125</v>
      </c>
      <c r="CG1129" t="s">
        <v>125</v>
      </c>
      <c r="CH1129" t="s">
        <v>125</v>
      </c>
      <c r="CI1129" t="s">
        <v>125</v>
      </c>
      <c r="CJ1129" t="s">
        <v>125</v>
      </c>
      <c r="CK1129" t="s">
        <v>125</v>
      </c>
      <c r="CL1129" t="s">
        <v>125</v>
      </c>
      <c r="CM1129" t="s">
        <v>125</v>
      </c>
      <c r="CN1129" t="s">
        <v>125</v>
      </c>
      <c r="CO1129" t="s">
        <v>125</v>
      </c>
      <c r="CP1129" t="s">
        <v>125</v>
      </c>
      <c r="CQ1129">
        <v>0.60919500000000004</v>
      </c>
      <c r="CR1129">
        <v>1</v>
      </c>
      <c r="CS1129">
        <v>40.613027000000002</v>
      </c>
      <c r="CT1129">
        <v>50</v>
      </c>
      <c r="CU1129" t="s">
        <v>125</v>
      </c>
      <c r="CV1129" t="s">
        <v>125</v>
      </c>
      <c r="CW1129" t="s">
        <v>125</v>
      </c>
      <c r="CX1129" t="s">
        <v>125</v>
      </c>
      <c r="CY1129" t="s">
        <v>125</v>
      </c>
      <c r="CZ1129" t="s">
        <v>125</v>
      </c>
      <c r="DA1129">
        <v>15.314097</v>
      </c>
      <c r="DB1129">
        <v>17.400950000000002</v>
      </c>
      <c r="DC1129">
        <v>16.332519999999999</v>
      </c>
      <c r="DD1129" t="s">
        <v>125</v>
      </c>
      <c r="DE1129">
        <v>1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Q1129" t="s">
        <v>126</v>
      </c>
    </row>
    <row r="1130" spans="1:121" x14ac:dyDescent="0.15">
      <c r="A1130">
        <v>2018</v>
      </c>
      <c r="B1130" t="s">
        <v>294</v>
      </c>
      <c r="C1130" t="str">
        <f>"2160012"</f>
        <v>2160012</v>
      </c>
      <c r="D1130" t="s">
        <v>1274</v>
      </c>
      <c r="E1130" t="str">
        <f>"2166012"</f>
        <v>2166012</v>
      </c>
      <c r="F1130" t="s">
        <v>1230</v>
      </c>
      <c r="G1130">
        <v>9</v>
      </c>
      <c r="H1130">
        <v>12</v>
      </c>
      <c r="I1130" t="s">
        <v>330</v>
      </c>
      <c r="J1130" t="s">
        <v>331</v>
      </c>
      <c r="K1130">
        <v>1203.767912</v>
      </c>
      <c r="L1130">
        <v>1450</v>
      </c>
      <c r="M1130">
        <v>83.018477000000004</v>
      </c>
      <c r="N1130">
        <v>3</v>
      </c>
      <c r="O1130">
        <v>1</v>
      </c>
      <c r="P1130">
        <v>63.040160999999998</v>
      </c>
      <c r="Q1130">
        <v>126.080321</v>
      </c>
      <c r="R1130">
        <v>150</v>
      </c>
      <c r="S1130">
        <v>50.796748000000001</v>
      </c>
      <c r="T1130">
        <v>67.055999999999997</v>
      </c>
      <c r="U1130">
        <v>101.593496</v>
      </c>
      <c r="V1130">
        <v>150</v>
      </c>
      <c r="W1130">
        <v>63.032798</v>
      </c>
      <c r="X1130">
        <v>126.065596</v>
      </c>
      <c r="Y1130">
        <v>150</v>
      </c>
      <c r="Z1130">
        <v>67.349333000000001</v>
      </c>
      <c r="AA1130">
        <v>49.872629000000003</v>
      </c>
      <c r="AB1130">
        <v>99.745256999999995</v>
      </c>
      <c r="AC1130">
        <v>150</v>
      </c>
      <c r="AD1130">
        <v>59.242857000000001</v>
      </c>
      <c r="AE1130">
        <v>78.990476000000001</v>
      </c>
      <c r="AF1130">
        <v>100</v>
      </c>
      <c r="AG1130">
        <v>52.035513000000002</v>
      </c>
      <c r="AH1130">
        <v>61.625931000000001</v>
      </c>
      <c r="AI1130">
        <v>69.380684000000002</v>
      </c>
      <c r="AJ1130">
        <v>100</v>
      </c>
      <c r="AK1130">
        <v>16.25</v>
      </c>
      <c r="AL1130">
        <v>17.47</v>
      </c>
      <c r="AM1130">
        <v>9.59</v>
      </c>
      <c r="AN1130" t="s">
        <v>125</v>
      </c>
      <c r="AO1130" t="s">
        <v>125</v>
      </c>
      <c r="AP1130" t="s">
        <v>125</v>
      </c>
      <c r="AQ1130" t="s">
        <v>125</v>
      </c>
      <c r="AR1130" t="s">
        <v>125</v>
      </c>
      <c r="AS1130" t="s">
        <v>125</v>
      </c>
      <c r="AT1130" t="s">
        <v>125</v>
      </c>
      <c r="AU1130" t="s">
        <v>125</v>
      </c>
      <c r="AV1130" t="s">
        <v>125</v>
      </c>
      <c r="AW1130" t="s">
        <v>125</v>
      </c>
      <c r="AX1130" t="s">
        <v>125</v>
      </c>
      <c r="AY1130" t="s">
        <v>125</v>
      </c>
      <c r="AZ1130" t="s">
        <v>125</v>
      </c>
      <c r="BA1130" t="s">
        <v>125</v>
      </c>
      <c r="BB1130" t="s">
        <v>125</v>
      </c>
      <c r="BC1130" t="s">
        <v>125</v>
      </c>
      <c r="BD1130" t="s">
        <v>125</v>
      </c>
      <c r="BE1130" t="s">
        <v>125</v>
      </c>
      <c r="BF1130" t="s">
        <v>125</v>
      </c>
      <c r="BG1130" t="s">
        <v>125</v>
      </c>
      <c r="BH1130">
        <v>0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0.99411799999999995</v>
      </c>
      <c r="BP1130">
        <v>1</v>
      </c>
      <c r="BQ1130">
        <v>0.99199999999999999</v>
      </c>
      <c r="BR1130">
        <v>4.1175999999999997E-2</v>
      </c>
      <c r="BS1130">
        <v>50</v>
      </c>
      <c r="BT1130">
        <v>50</v>
      </c>
      <c r="BU1130">
        <v>8.0924999999999997E-2</v>
      </c>
      <c r="BV1130">
        <v>43.815029000000003</v>
      </c>
      <c r="BW1130">
        <v>50</v>
      </c>
      <c r="BX1130">
        <v>0.75588200000000005</v>
      </c>
      <c r="BY1130">
        <v>50</v>
      </c>
      <c r="BZ1130">
        <v>50</v>
      </c>
      <c r="CA1130">
        <v>0.60294099999999995</v>
      </c>
      <c r="CB1130">
        <v>40.196078</v>
      </c>
      <c r="CC1130">
        <v>50</v>
      </c>
      <c r="CD1130">
        <v>0.96216199999999996</v>
      </c>
      <c r="CE1130">
        <v>50</v>
      </c>
      <c r="CF1130">
        <v>50</v>
      </c>
      <c r="CG1130">
        <v>0.98192800000000002</v>
      </c>
      <c r="CH1130">
        <v>100</v>
      </c>
      <c r="CI1130">
        <v>100</v>
      </c>
      <c r="CJ1130">
        <v>0</v>
      </c>
      <c r="CK1130">
        <v>0.980769</v>
      </c>
      <c r="CL1130">
        <v>100</v>
      </c>
      <c r="CM1130">
        <v>100</v>
      </c>
      <c r="CN1130">
        <v>0.78313299999999997</v>
      </c>
      <c r="CO1130">
        <v>100</v>
      </c>
      <c r="CP1130">
        <v>100</v>
      </c>
      <c r="CQ1130">
        <v>0.65467600000000004</v>
      </c>
      <c r="CR1130">
        <v>0.89677399999999996</v>
      </c>
      <c r="CS1130">
        <v>21.822541999999999</v>
      </c>
      <c r="CT1130">
        <v>50</v>
      </c>
      <c r="CU1130">
        <v>0.55294100000000002</v>
      </c>
      <c r="CV1130">
        <v>46.078431000000002</v>
      </c>
      <c r="CW1130">
        <v>50</v>
      </c>
      <c r="CX1130">
        <v>0.980769</v>
      </c>
      <c r="CY1130">
        <v>0.94</v>
      </c>
      <c r="CZ1130">
        <v>-4.0769E-2</v>
      </c>
      <c r="DA1130">
        <v>15.314097</v>
      </c>
      <c r="DB1130">
        <v>17.400950000000002</v>
      </c>
      <c r="DC1130">
        <v>16.332519999999999</v>
      </c>
      <c r="DD1130">
        <v>7.9891730000000001</v>
      </c>
      <c r="DE1130">
        <v>1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Q1130" t="s">
        <v>126</v>
      </c>
    </row>
    <row r="1131" spans="1:121" x14ac:dyDescent="0.15">
      <c r="A1131">
        <v>2018</v>
      </c>
      <c r="B1131" t="s">
        <v>295</v>
      </c>
      <c r="C1131" t="str">
        <f>"2170012"</f>
        <v>2170012</v>
      </c>
      <c r="D1131" t="s">
        <v>1275</v>
      </c>
      <c r="E1131" t="str">
        <f>"2170212"</f>
        <v>2170212</v>
      </c>
      <c r="F1131" t="s">
        <v>1230</v>
      </c>
      <c r="G1131" t="s">
        <v>329</v>
      </c>
      <c r="H1131">
        <v>4</v>
      </c>
      <c r="J1131" t="s">
        <v>331</v>
      </c>
      <c r="K1131">
        <v>477.74976199999998</v>
      </c>
      <c r="L1131">
        <v>550</v>
      </c>
      <c r="M1131">
        <v>86.863592999999995</v>
      </c>
      <c r="N1131">
        <v>2</v>
      </c>
      <c r="O1131">
        <v>1</v>
      </c>
      <c r="P1131">
        <v>77.900632999999999</v>
      </c>
      <c r="Q1131">
        <v>50</v>
      </c>
      <c r="R1131">
        <v>50</v>
      </c>
      <c r="S1131">
        <v>61.741098999999998</v>
      </c>
      <c r="T1131">
        <v>75</v>
      </c>
      <c r="U1131">
        <v>41.160733</v>
      </c>
      <c r="V1131">
        <v>50</v>
      </c>
      <c r="W1131">
        <v>76.439532</v>
      </c>
      <c r="X1131">
        <v>50</v>
      </c>
      <c r="Y1131">
        <v>50</v>
      </c>
      <c r="Z1131">
        <v>75</v>
      </c>
      <c r="AA1131">
        <v>53.616909</v>
      </c>
      <c r="AB1131">
        <v>35.744605999999997</v>
      </c>
      <c r="AC1131">
        <v>50</v>
      </c>
      <c r="AD1131" t="s">
        <v>125</v>
      </c>
      <c r="AE1131" t="s">
        <v>125</v>
      </c>
      <c r="AF1131" t="s">
        <v>125</v>
      </c>
      <c r="AG1131" t="s">
        <v>125</v>
      </c>
      <c r="AH1131" t="s">
        <v>125</v>
      </c>
      <c r="AI1131" t="s">
        <v>125</v>
      </c>
      <c r="AJ1131" t="s">
        <v>125</v>
      </c>
      <c r="AK1131">
        <v>13.25</v>
      </c>
      <c r="AL1131">
        <v>21.38</v>
      </c>
      <c r="AM1131" t="s">
        <v>125</v>
      </c>
      <c r="AN1131">
        <v>0.82013899999999995</v>
      </c>
      <c r="AO1131">
        <v>82.013936000000001</v>
      </c>
      <c r="AP1131">
        <v>100</v>
      </c>
      <c r="AQ1131">
        <v>0.71916899999999995</v>
      </c>
      <c r="AR1131">
        <v>71.916906999999995</v>
      </c>
      <c r="AS1131">
        <v>100</v>
      </c>
      <c r="AT1131" t="s">
        <v>125</v>
      </c>
      <c r="AU1131">
        <v>0.92531699999999995</v>
      </c>
      <c r="AV1131" t="s">
        <v>125</v>
      </c>
      <c r="AW1131" t="s">
        <v>125</v>
      </c>
      <c r="AX1131" t="s">
        <v>125</v>
      </c>
      <c r="AY1131">
        <v>0.81213900000000006</v>
      </c>
      <c r="AZ1131" t="s">
        <v>125</v>
      </c>
      <c r="BA1131" t="s">
        <v>125</v>
      </c>
      <c r="BB1131" t="s">
        <v>125</v>
      </c>
      <c r="BC1131" t="s">
        <v>125</v>
      </c>
      <c r="BD1131" t="s">
        <v>125</v>
      </c>
      <c r="BE1131" t="s">
        <v>125</v>
      </c>
      <c r="BF1131" t="s">
        <v>125</v>
      </c>
      <c r="BG1131" t="s">
        <v>125</v>
      </c>
      <c r="BH1131">
        <v>0</v>
      </c>
      <c r="BI1131">
        <v>0.98888900000000002</v>
      </c>
      <c r="BJ1131">
        <v>0.96</v>
      </c>
      <c r="BK1131">
        <v>1</v>
      </c>
      <c r="BL1131">
        <v>0.98888900000000002</v>
      </c>
      <c r="BM1131">
        <v>0.96</v>
      </c>
      <c r="BN1131">
        <v>1</v>
      </c>
      <c r="BO1131" t="s">
        <v>125</v>
      </c>
      <c r="BP1131" t="s">
        <v>125</v>
      </c>
      <c r="BQ1131" t="s">
        <v>125</v>
      </c>
      <c r="BR1131">
        <v>1.4019E-2</v>
      </c>
      <c r="BS1131">
        <v>50</v>
      </c>
      <c r="BT1131">
        <v>50</v>
      </c>
      <c r="BU1131">
        <v>3.4483E-2</v>
      </c>
      <c r="BV1131">
        <v>50</v>
      </c>
      <c r="BW1131">
        <v>50</v>
      </c>
      <c r="BX1131" t="s">
        <v>125</v>
      </c>
      <c r="BY1131" t="s">
        <v>125</v>
      </c>
      <c r="BZ1131" t="s">
        <v>125</v>
      </c>
      <c r="CA1131" t="s">
        <v>125</v>
      </c>
      <c r="CB1131" t="s">
        <v>125</v>
      </c>
      <c r="CC1131" t="s">
        <v>125</v>
      </c>
      <c r="CD1131" t="s">
        <v>125</v>
      </c>
      <c r="CE1131" t="s">
        <v>125</v>
      </c>
      <c r="CF1131" t="s">
        <v>125</v>
      </c>
      <c r="CG1131" t="s">
        <v>125</v>
      </c>
      <c r="CH1131" t="s">
        <v>125</v>
      </c>
      <c r="CI1131" t="s">
        <v>125</v>
      </c>
      <c r="CJ1131" t="s">
        <v>125</v>
      </c>
      <c r="CK1131" t="s">
        <v>125</v>
      </c>
      <c r="CL1131" t="s">
        <v>125</v>
      </c>
      <c r="CM1131" t="s">
        <v>125</v>
      </c>
      <c r="CN1131" t="s">
        <v>125</v>
      </c>
      <c r="CO1131" t="s">
        <v>125</v>
      </c>
      <c r="CP1131" t="s">
        <v>125</v>
      </c>
      <c r="CQ1131">
        <v>0.703704</v>
      </c>
      <c r="CR1131">
        <v>1</v>
      </c>
      <c r="CS1131">
        <v>46.913580000000003</v>
      </c>
      <c r="CT1131">
        <v>50</v>
      </c>
      <c r="CU1131" t="s">
        <v>125</v>
      </c>
      <c r="CV1131" t="s">
        <v>125</v>
      </c>
      <c r="CW1131" t="s">
        <v>125</v>
      </c>
      <c r="CX1131" t="s">
        <v>125</v>
      </c>
      <c r="CY1131" t="s">
        <v>125</v>
      </c>
      <c r="CZ1131" t="s">
        <v>125</v>
      </c>
      <c r="DA1131">
        <v>15.314097</v>
      </c>
      <c r="DB1131">
        <v>17.400950000000002</v>
      </c>
      <c r="DC1131">
        <v>16.332519999999999</v>
      </c>
      <c r="DD1131" t="s">
        <v>125</v>
      </c>
      <c r="DE1131">
        <v>1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Q1131" t="s">
        <v>126</v>
      </c>
    </row>
    <row r="1132" spans="1:121" x14ac:dyDescent="0.15">
      <c r="A1132">
        <v>2018</v>
      </c>
      <c r="B1132" t="s">
        <v>295</v>
      </c>
      <c r="C1132" t="str">
        <f>"2170012"</f>
        <v>2170012</v>
      </c>
      <c r="D1132" t="s">
        <v>1276</v>
      </c>
      <c r="E1132" t="str">
        <f>"2170112"</f>
        <v>2170112</v>
      </c>
      <c r="F1132" t="s">
        <v>1230</v>
      </c>
      <c r="G1132" t="s">
        <v>339</v>
      </c>
      <c r="H1132">
        <v>4</v>
      </c>
      <c r="J1132" t="s">
        <v>331</v>
      </c>
      <c r="K1132">
        <v>508.76857100000001</v>
      </c>
      <c r="L1132">
        <v>550</v>
      </c>
      <c r="M1132">
        <v>92.503377</v>
      </c>
      <c r="N1132">
        <v>1</v>
      </c>
      <c r="O1132">
        <v>0</v>
      </c>
      <c r="P1132">
        <v>82.030039000000002</v>
      </c>
      <c r="Q1132">
        <v>50</v>
      </c>
      <c r="R1132">
        <v>50</v>
      </c>
      <c r="S1132">
        <v>74.331833000000003</v>
      </c>
      <c r="T1132">
        <v>75</v>
      </c>
      <c r="U1132">
        <v>49.554555000000001</v>
      </c>
      <c r="V1132">
        <v>50</v>
      </c>
      <c r="W1132">
        <v>79.749161000000001</v>
      </c>
      <c r="X1132">
        <v>50</v>
      </c>
      <c r="Y1132">
        <v>50</v>
      </c>
      <c r="Z1132">
        <v>75</v>
      </c>
      <c r="AA1132">
        <v>72.817845000000005</v>
      </c>
      <c r="AB1132">
        <v>48.545229999999997</v>
      </c>
      <c r="AC1132">
        <v>50</v>
      </c>
      <c r="AD1132" t="s">
        <v>125</v>
      </c>
      <c r="AE1132" t="s">
        <v>125</v>
      </c>
      <c r="AF1132" t="s">
        <v>125</v>
      </c>
      <c r="AG1132" t="s">
        <v>125</v>
      </c>
      <c r="AH1132" t="s">
        <v>125</v>
      </c>
      <c r="AI1132" t="s">
        <v>125</v>
      </c>
      <c r="AJ1132" t="s">
        <v>125</v>
      </c>
      <c r="AK1132">
        <v>0.66</v>
      </c>
      <c r="AL1132">
        <v>2.1800000000000002</v>
      </c>
      <c r="AM1132" t="s">
        <v>125</v>
      </c>
      <c r="AN1132">
        <v>0.84131400000000001</v>
      </c>
      <c r="AO1132">
        <v>84.131422999999998</v>
      </c>
      <c r="AP1132">
        <v>100</v>
      </c>
      <c r="AQ1132">
        <v>0.85796600000000001</v>
      </c>
      <c r="AR1132">
        <v>85.796621999999999</v>
      </c>
      <c r="AS1132">
        <v>100</v>
      </c>
      <c r="AT1132" t="s">
        <v>125</v>
      </c>
      <c r="AU1132">
        <v>0.87755099999999997</v>
      </c>
      <c r="AV1132" t="s">
        <v>125</v>
      </c>
      <c r="AW1132" t="s">
        <v>125</v>
      </c>
      <c r="AX1132" t="s">
        <v>125</v>
      </c>
      <c r="AY1132">
        <v>0.91057200000000005</v>
      </c>
      <c r="AZ1132" t="s">
        <v>125</v>
      </c>
      <c r="BA1132" t="s">
        <v>125</v>
      </c>
      <c r="BB1132" t="s">
        <v>125</v>
      </c>
      <c r="BC1132" t="s">
        <v>125</v>
      </c>
      <c r="BD1132" t="s">
        <v>125</v>
      </c>
      <c r="BE1132" t="s">
        <v>125</v>
      </c>
      <c r="BF1132" t="s">
        <v>125</v>
      </c>
      <c r="BG1132" t="s">
        <v>125</v>
      </c>
      <c r="BH1132">
        <v>0</v>
      </c>
      <c r="BI1132">
        <v>0.95588200000000001</v>
      </c>
      <c r="BJ1132">
        <v>1</v>
      </c>
      <c r="BK1132">
        <v>0.93181800000000004</v>
      </c>
      <c r="BL1132">
        <v>0.95588200000000001</v>
      </c>
      <c r="BM1132">
        <v>1</v>
      </c>
      <c r="BN1132">
        <v>0.93181800000000004</v>
      </c>
      <c r="BO1132" t="s">
        <v>125</v>
      </c>
      <c r="BP1132" t="s">
        <v>125</v>
      </c>
      <c r="BQ1132" t="s">
        <v>125</v>
      </c>
      <c r="BR1132">
        <v>5.6820000000000004E-3</v>
      </c>
      <c r="BS1132">
        <v>50</v>
      </c>
      <c r="BT1132">
        <v>50</v>
      </c>
      <c r="BU1132">
        <v>1.9231000000000002E-2</v>
      </c>
      <c r="BV1132">
        <v>50</v>
      </c>
      <c r="BW1132">
        <v>50</v>
      </c>
      <c r="BX1132" t="s">
        <v>125</v>
      </c>
      <c r="BY1132" t="s">
        <v>125</v>
      </c>
      <c r="BZ1132" t="s">
        <v>125</v>
      </c>
      <c r="CA1132" t="s">
        <v>125</v>
      </c>
      <c r="CB1132" t="s">
        <v>125</v>
      </c>
      <c r="CC1132" t="s">
        <v>125</v>
      </c>
      <c r="CD1132" t="s">
        <v>125</v>
      </c>
      <c r="CE1132" t="s">
        <v>125</v>
      </c>
      <c r="CF1132" t="s">
        <v>125</v>
      </c>
      <c r="CG1132" t="s">
        <v>125</v>
      </c>
      <c r="CH1132" t="s">
        <v>125</v>
      </c>
      <c r="CI1132" t="s">
        <v>125</v>
      </c>
      <c r="CJ1132" t="s">
        <v>125</v>
      </c>
      <c r="CK1132" t="s">
        <v>125</v>
      </c>
      <c r="CL1132" t="s">
        <v>125</v>
      </c>
      <c r="CM1132" t="s">
        <v>125</v>
      </c>
      <c r="CN1132" t="s">
        <v>125</v>
      </c>
      <c r="CO1132" t="s">
        <v>125</v>
      </c>
      <c r="CP1132" t="s">
        <v>125</v>
      </c>
      <c r="CQ1132">
        <v>0.61111099999999996</v>
      </c>
      <c r="CR1132">
        <v>0.97297299999999998</v>
      </c>
      <c r="CS1132">
        <v>40.740741</v>
      </c>
      <c r="CT1132">
        <v>50</v>
      </c>
      <c r="CU1132" t="s">
        <v>125</v>
      </c>
      <c r="CV1132" t="s">
        <v>125</v>
      </c>
      <c r="CW1132" t="s">
        <v>125</v>
      </c>
      <c r="CX1132" t="s">
        <v>125</v>
      </c>
      <c r="CY1132" t="s">
        <v>125</v>
      </c>
      <c r="CZ1132" t="s">
        <v>125</v>
      </c>
      <c r="DA1132">
        <v>15.314097</v>
      </c>
      <c r="DB1132">
        <v>17.400950000000002</v>
      </c>
      <c r="DC1132">
        <v>16.332519999999999</v>
      </c>
      <c r="DD1132" t="s">
        <v>125</v>
      </c>
      <c r="DE1132">
        <v>0</v>
      </c>
      <c r="DH1132" t="s">
        <v>332</v>
      </c>
      <c r="DI1132" t="s">
        <v>498</v>
      </c>
      <c r="DJ1132">
        <v>1</v>
      </c>
      <c r="DK1132">
        <v>1</v>
      </c>
      <c r="DL1132">
        <v>1</v>
      </c>
      <c r="DM1132">
        <v>0</v>
      </c>
      <c r="DN1132">
        <v>0</v>
      </c>
      <c r="DO1132">
        <v>0</v>
      </c>
      <c r="DQ1132" t="s">
        <v>126</v>
      </c>
    </row>
    <row r="1133" spans="1:121" x14ac:dyDescent="0.15">
      <c r="A1133">
        <v>2018</v>
      </c>
      <c r="B1133" t="s">
        <v>295</v>
      </c>
      <c r="C1133" t="str">
        <f>"2170012"</f>
        <v>2170012</v>
      </c>
      <c r="D1133" t="s">
        <v>1277</v>
      </c>
      <c r="E1133" t="str">
        <f>"2176112"</f>
        <v>2176112</v>
      </c>
      <c r="F1133" t="s">
        <v>1230</v>
      </c>
      <c r="G1133">
        <v>9</v>
      </c>
      <c r="H1133">
        <v>12</v>
      </c>
      <c r="J1133" t="s">
        <v>331</v>
      </c>
      <c r="K1133">
        <v>1219.3377210000001</v>
      </c>
      <c r="L1133">
        <v>1450</v>
      </c>
      <c r="M1133">
        <v>84.092257000000004</v>
      </c>
      <c r="N1133">
        <v>3</v>
      </c>
      <c r="O1133">
        <v>1</v>
      </c>
      <c r="P1133">
        <v>65.315400999999994</v>
      </c>
      <c r="Q1133">
        <v>130.63080199999999</v>
      </c>
      <c r="R1133">
        <v>150</v>
      </c>
      <c r="S1133">
        <v>50.848039</v>
      </c>
      <c r="T1133">
        <v>69.282257999999999</v>
      </c>
      <c r="U1133">
        <v>101.696078</v>
      </c>
      <c r="V1133">
        <v>150</v>
      </c>
      <c r="W1133">
        <v>63.493670999999999</v>
      </c>
      <c r="X1133">
        <v>126.987342</v>
      </c>
      <c r="Y1133">
        <v>150</v>
      </c>
      <c r="Z1133">
        <v>67.212366000000003</v>
      </c>
      <c r="AA1133">
        <v>49.931373000000001</v>
      </c>
      <c r="AB1133">
        <v>99.862745000000004</v>
      </c>
      <c r="AC1133">
        <v>150</v>
      </c>
      <c r="AD1133">
        <v>70.188194999999993</v>
      </c>
      <c r="AE1133">
        <v>93.584260999999998</v>
      </c>
      <c r="AF1133">
        <v>100</v>
      </c>
      <c r="AG1133">
        <v>54.564835000000002</v>
      </c>
      <c r="AH1133">
        <v>74.598015000000004</v>
      </c>
      <c r="AI1133">
        <v>72.753113999999997</v>
      </c>
      <c r="AJ1133">
        <v>100</v>
      </c>
      <c r="AK1133">
        <v>18.43</v>
      </c>
      <c r="AL1133">
        <v>17.28</v>
      </c>
      <c r="AM1133">
        <v>20.03</v>
      </c>
      <c r="AN1133" t="s">
        <v>125</v>
      </c>
      <c r="AO1133" t="s">
        <v>125</v>
      </c>
      <c r="AP1133" t="s">
        <v>125</v>
      </c>
      <c r="AQ1133" t="s">
        <v>125</v>
      </c>
      <c r="AR1133" t="s">
        <v>125</v>
      </c>
      <c r="AS1133" t="s">
        <v>125</v>
      </c>
      <c r="AT1133" t="s">
        <v>125</v>
      </c>
      <c r="AU1133" t="s">
        <v>125</v>
      </c>
      <c r="AV1133" t="s">
        <v>125</v>
      </c>
      <c r="AW1133" t="s">
        <v>125</v>
      </c>
      <c r="AX1133" t="s">
        <v>125</v>
      </c>
      <c r="AY1133" t="s">
        <v>125</v>
      </c>
      <c r="AZ1133" t="s">
        <v>125</v>
      </c>
      <c r="BA1133" t="s">
        <v>125</v>
      </c>
      <c r="BB1133" t="s">
        <v>125</v>
      </c>
      <c r="BC1133" t="s">
        <v>125</v>
      </c>
      <c r="BD1133" t="s">
        <v>125</v>
      </c>
      <c r="BE1133" t="s">
        <v>125</v>
      </c>
      <c r="BF1133" t="s">
        <v>125</v>
      </c>
      <c r="BG1133" t="s">
        <v>125</v>
      </c>
      <c r="BH1133">
        <v>0</v>
      </c>
      <c r="BI1133">
        <v>0.99371100000000001</v>
      </c>
      <c r="BJ1133">
        <v>0.97142899999999999</v>
      </c>
      <c r="BK1133">
        <v>1</v>
      </c>
      <c r="BL1133">
        <v>0.99371100000000001</v>
      </c>
      <c r="BM1133">
        <v>0.97142899999999999</v>
      </c>
      <c r="BN1133">
        <v>1</v>
      </c>
      <c r="BO1133">
        <v>1</v>
      </c>
      <c r="BP1133">
        <v>1</v>
      </c>
      <c r="BQ1133">
        <v>1</v>
      </c>
      <c r="BR1133">
        <v>5.9655E-2</v>
      </c>
      <c r="BS1133">
        <v>48.069074000000001</v>
      </c>
      <c r="BT1133">
        <v>50</v>
      </c>
      <c r="BU1133">
        <v>0.10958900000000001</v>
      </c>
      <c r="BV1133">
        <v>38.082191999999999</v>
      </c>
      <c r="BW1133">
        <v>50</v>
      </c>
      <c r="BX1133">
        <v>0.91482600000000003</v>
      </c>
      <c r="BY1133">
        <v>50</v>
      </c>
      <c r="BZ1133">
        <v>50</v>
      </c>
      <c r="CA1133">
        <v>0.59936900000000004</v>
      </c>
      <c r="CB1133">
        <v>39.957939000000003</v>
      </c>
      <c r="CC1133">
        <v>50</v>
      </c>
      <c r="CD1133">
        <v>0.99290800000000001</v>
      </c>
      <c r="CE1133">
        <v>50</v>
      </c>
      <c r="CF1133">
        <v>50</v>
      </c>
      <c r="CG1133">
        <v>0.95731699999999997</v>
      </c>
      <c r="CH1133">
        <v>100</v>
      </c>
      <c r="CI1133">
        <v>100</v>
      </c>
      <c r="CJ1133">
        <v>0</v>
      </c>
      <c r="CK1133">
        <v>0.93939399999999995</v>
      </c>
      <c r="CL1133">
        <v>99.935524999999998</v>
      </c>
      <c r="CM1133">
        <v>100</v>
      </c>
      <c r="CN1133">
        <v>0.8125</v>
      </c>
      <c r="CO1133">
        <v>100</v>
      </c>
      <c r="CP1133">
        <v>100</v>
      </c>
      <c r="CQ1133">
        <v>0.78417300000000001</v>
      </c>
      <c r="CR1133">
        <v>0.776536</v>
      </c>
      <c r="CS1133">
        <v>25</v>
      </c>
      <c r="CT1133">
        <v>50</v>
      </c>
      <c r="CU1133">
        <v>0.51334400000000002</v>
      </c>
      <c r="CV1133">
        <v>42.778649999999999</v>
      </c>
      <c r="CW1133">
        <v>50</v>
      </c>
      <c r="CX1133">
        <v>0.93939399999999995</v>
      </c>
      <c r="CY1133">
        <v>0.94</v>
      </c>
      <c r="CZ1133">
        <v>6.0599999999999998E-4</v>
      </c>
      <c r="DA1133">
        <v>15.314097</v>
      </c>
      <c r="DB1133">
        <v>17.400950000000002</v>
      </c>
      <c r="DC1133">
        <v>16.332519999999999</v>
      </c>
      <c r="DD1133">
        <v>7.9891730000000001</v>
      </c>
      <c r="DE1133">
        <v>1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Q1133" t="s">
        <v>126</v>
      </c>
    </row>
    <row r="1134" spans="1:121" x14ac:dyDescent="0.15">
      <c r="A1134">
        <v>2018</v>
      </c>
      <c r="B1134" t="s">
        <v>295</v>
      </c>
      <c r="C1134" t="str">
        <f>"2170012"</f>
        <v>2170012</v>
      </c>
      <c r="D1134" t="s">
        <v>1278</v>
      </c>
      <c r="E1134" t="str">
        <f>"2175112"</f>
        <v>2175112</v>
      </c>
      <c r="F1134" t="s">
        <v>1230</v>
      </c>
      <c r="G1134">
        <v>5</v>
      </c>
      <c r="H1134">
        <v>8</v>
      </c>
      <c r="I1134" t="s">
        <v>330</v>
      </c>
      <c r="J1134" t="s">
        <v>331</v>
      </c>
      <c r="K1134">
        <v>667.780935</v>
      </c>
      <c r="L1134">
        <v>900</v>
      </c>
      <c r="M1134">
        <v>74.197882000000007</v>
      </c>
      <c r="N1134">
        <v>3</v>
      </c>
      <c r="O1134">
        <v>1</v>
      </c>
      <c r="P1134">
        <v>75.975160000000002</v>
      </c>
      <c r="Q1134">
        <v>50</v>
      </c>
      <c r="R1134">
        <v>50</v>
      </c>
      <c r="S1134">
        <v>62.983966000000002</v>
      </c>
      <c r="T1134">
        <v>75</v>
      </c>
      <c r="U1134">
        <v>41.989311000000001</v>
      </c>
      <c r="V1134">
        <v>50</v>
      </c>
      <c r="W1134">
        <v>69.489395000000002</v>
      </c>
      <c r="X1134">
        <v>46.326264000000002</v>
      </c>
      <c r="Y1134">
        <v>50</v>
      </c>
      <c r="Z1134">
        <v>74.448955999999995</v>
      </c>
      <c r="AA1134">
        <v>55.786102</v>
      </c>
      <c r="AB1134">
        <v>37.190734999999997</v>
      </c>
      <c r="AC1134">
        <v>50</v>
      </c>
      <c r="AD1134">
        <v>74.700652000000005</v>
      </c>
      <c r="AE1134">
        <v>49.800435</v>
      </c>
      <c r="AF1134">
        <v>50</v>
      </c>
      <c r="AG1134">
        <v>63.752733999999997</v>
      </c>
      <c r="AH1134">
        <v>75</v>
      </c>
      <c r="AI1134">
        <v>42.501823000000002</v>
      </c>
      <c r="AJ1134">
        <v>50</v>
      </c>
      <c r="AK1134">
        <v>12.01</v>
      </c>
      <c r="AL1134">
        <v>18.66</v>
      </c>
      <c r="AM1134">
        <v>11.24</v>
      </c>
      <c r="AN1134">
        <v>0.57422300000000004</v>
      </c>
      <c r="AO1134">
        <v>57.422263999999998</v>
      </c>
      <c r="AP1134">
        <v>100</v>
      </c>
      <c r="AQ1134">
        <v>0.56992200000000004</v>
      </c>
      <c r="AR1134">
        <v>56.992162</v>
      </c>
      <c r="AS1134">
        <v>100</v>
      </c>
      <c r="AT1134">
        <v>0.52975099999999997</v>
      </c>
      <c r="AU1134">
        <v>0.59018000000000004</v>
      </c>
      <c r="AV1134">
        <v>52.975065000000001</v>
      </c>
      <c r="AW1134">
        <v>100</v>
      </c>
      <c r="AX1134">
        <v>0.41772799999999999</v>
      </c>
      <c r="AY1134">
        <v>0.62388399999999999</v>
      </c>
      <c r="AZ1134">
        <v>41.772846999999999</v>
      </c>
      <c r="BA1134">
        <v>100</v>
      </c>
      <c r="BB1134" t="s">
        <v>125</v>
      </c>
      <c r="BC1134" t="s">
        <v>125</v>
      </c>
      <c r="BD1134" t="s">
        <v>125</v>
      </c>
      <c r="BE1134" t="s">
        <v>125</v>
      </c>
      <c r="BF1134" t="s">
        <v>125</v>
      </c>
      <c r="BG1134" t="s">
        <v>125</v>
      </c>
      <c r="BH1134">
        <v>0</v>
      </c>
      <c r="BI1134">
        <v>0.98807699999999998</v>
      </c>
      <c r="BJ1134">
        <v>0.98895</v>
      </c>
      <c r="BK1134">
        <v>0.98775500000000005</v>
      </c>
      <c r="BL1134">
        <v>0.985097</v>
      </c>
      <c r="BM1134">
        <v>0.97790100000000002</v>
      </c>
      <c r="BN1134">
        <v>0.98775500000000005</v>
      </c>
      <c r="BO1134">
        <v>0.98837200000000003</v>
      </c>
      <c r="BP1134">
        <v>0.98924699999999999</v>
      </c>
      <c r="BQ1134">
        <v>0.98804800000000004</v>
      </c>
      <c r="BR1134">
        <v>3.5768000000000001E-2</v>
      </c>
      <c r="BS1134">
        <v>50</v>
      </c>
      <c r="BT1134">
        <v>50</v>
      </c>
      <c r="BU1134">
        <v>8.2873000000000002E-2</v>
      </c>
      <c r="BV1134">
        <v>43.425414000000004</v>
      </c>
      <c r="BW1134">
        <v>50</v>
      </c>
      <c r="BX1134" t="s">
        <v>125</v>
      </c>
      <c r="BY1134" t="s">
        <v>125</v>
      </c>
      <c r="BZ1134" t="s">
        <v>125</v>
      </c>
      <c r="CA1134" t="s">
        <v>125</v>
      </c>
      <c r="CB1134" t="s">
        <v>125</v>
      </c>
      <c r="CC1134" t="s">
        <v>125</v>
      </c>
      <c r="CD1134">
        <v>0.98620699999999994</v>
      </c>
      <c r="CE1134">
        <v>50</v>
      </c>
      <c r="CF1134">
        <v>50</v>
      </c>
      <c r="CG1134" t="s">
        <v>125</v>
      </c>
      <c r="CH1134" t="s">
        <v>125</v>
      </c>
      <c r="CI1134" t="s">
        <v>125</v>
      </c>
      <c r="CJ1134" t="s">
        <v>125</v>
      </c>
      <c r="CK1134" t="s">
        <v>125</v>
      </c>
      <c r="CL1134" t="s">
        <v>125</v>
      </c>
      <c r="CM1134" t="s">
        <v>125</v>
      </c>
      <c r="CN1134" t="s">
        <v>125</v>
      </c>
      <c r="CO1134" t="s">
        <v>125</v>
      </c>
      <c r="CP1134" t="s">
        <v>125</v>
      </c>
      <c r="CQ1134">
        <v>0.71076899999999998</v>
      </c>
      <c r="CR1134">
        <v>0.961538</v>
      </c>
      <c r="CS1134">
        <v>47.384614999999997</v>
      </c>
      <c r="CT1134">
        <v>50</v>
      </c>
      <c r="CU1134" t="s">
        <v>125</v>
      </c>
      <c r="CV1134" t="s">
        <v>125</v>
      </c>
      <c r="CW1134" t="s">
        <v>125</v>
      </c>
      <c r="CX1134" t="s">
        <v>125</v>
      </c>
      <c r="CY1134" t="s">
        <v>125</v>
      </c>
      <c r="CZ1134" t="s">
        <v>125</v>
      </c>
      <c r="DA1134">
        <v>15.314097</v>
      </c>
      <c r="DB1134">
        <v>17.400950000000002</v>
      </c>
      <c r="DC1134">
        <v>16.332519999999999</v>
      </c>
      <c r="DD1134" t="s">
        <v>125</v>
      </c>
      <c r="DE1134">
        <v>1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Q1134" t="s">
        <v>126</v>
      </c>
    </row>
    <row r="1135" spans="1:121" x14ac:dyDescent="0.15">
      <c r="A1135">
        <v>2018</v>
      </c>
      <c r="B1135" t="s">
        <v>295</v>
      </c>
      <c r="C1135" t="str">
        <f>"2170012"</f>
        <v>2170012</v>
      </c>
      <c r="D1135" t="s">
        <v>1279</v>
      </c>
      <c r="E1135" t="str">
        <f>"2170312"</f>
        <v>2170312</v>
      </c>
      <c r="F1135" t="s">
        <v>1230</v>
      </c>
      <c r="G1135" t="s">
        <v>329</v>
      </c>
      <c r="H1135">
        <v>4</v>
      </c>
      <c r="J1135" t="s">
        <v>331</v>
      </c>
      <c r="K1135">
        <v>476.22199599999999</v>
      </c>
      <c r="L1135">
        <v>550</v>
      </c>
      <c r="M1135">
        <v>86.585817000000006</v>
      </c>
      <c r="N1135">
        <v>2</v>
      </c>
      <c r="O1135">
        <v>0</v>
      </c>
      <c r="P1135">
        <v>78.785033999999996</v>
      </c>
      <c r="Q1135">
        <v>50</v>
      </c>
      <c r="R1135">
        <v>50</v>
      </c>
      <c r="S1135">
        <v>69.417946999999998</v>
      </c>
      <c r="T1135">
        <v>75</v>
      </c>
      <c r="U1135">
        <v>46.278630999999997</v>
      </c>
      <c r="V1135">
        <v>50</v>
      </c>
      <c r="W1135">
        <v>75.667077000000006</v>
      </c>
      <c r="X1135">
        <v>50</v>
      </c>
      <c r="Y1135">
        <v>50</v>
      </c>
      <c r="Z1135">
        <v>75</v>
      </c>
      <c r="AA1135">
        <v>61.743277999999997</v>
      </c>
      <c r="AB1135">
        <v>41.162185000000001</v>
      </c>
      <c r="AC1135">
        <v>50</v>
      </c>
      <c r="AD1135" t="s">
        <v>125</v>
      </c>
      <c r="AE1135" t="s">
        <v>125</v>
      </c>
      <c r="AF1135" t="s">
        <v>125</v>
      </c>
      <c r="AG1135" t="s">
        <v>125</v>
      </c>
      <c r="AH1135" t="s">
        <v>125</v>
      </c>
      <c r="AI1135" t="s">
        <v>125</v>
      </c>
      <c r="AJ1135" t="s">
        <v>125</v>
      </c>
      <c r="AK1135">
        <v>5.58</v>
      </c>
      <c r="AL1135">
        <v>13.25</v>
      </c>
      <c r="AM1135" t="s">
        <v>125</v>
      </c>
      <c r="AN1135">
        <v>0.81098400000000004</v>
      </c>
      <c r="AO1135">
        <v>81.098440999999994</v>
      </c>
      <c r="AP1135">
        <v>100</v>
      </c>
      <c r="AQ1135">
        <v>0.66730400000000001</v>
      </c>
      <c r="AR1135">
        <v>66.730356999999998</v>
      </c>
      <c r="AS1135">
        <v>100</v>
      </c>
      <c r="AT1135" t="s">
        <v>125</v>
      </c>
      <c r="AU1135">
        <v>0.81997699999999996</v>
      </c>
      <c r="AV1135" t="s">
        <v>125</v>
      </c>
      <c r="AW1135" t="s">
        <v>125</v>
      </c>
      <c r="AX1135" t="s">
        <v>125</v>
      </c>
      <c r="AY1135">
        <v>0.70419799999999999</v>
      </c>
      <c r="AZ1135" t="s">
        <v>125</v>
      </c>
      <c r="BA1135" t="s">
        <v>125</v>
      </c>
      <c r="BB1135" t="s">
        <v>125</v>
      </c>
      <c r="BC1135" t="s">
        <v>125</v>
      </c>
      <c r="BD1135" t="s">
        <v>125</v>
      </c>
      <c r="BE1135" t="s">
        <v>125</v>
      </c>
      <c r="BF1135" t="s">
        <v>125</v>
      </c>
      <c r="BG1135" t="s">
        <v>125</v>
      </c>
      <c r="BH1135">
        <v>1</v>
      </c>
      <c r="BI1135">
        <v>0.96969700000000003</v>
      </c>
      <c r="BJ1135">
        <v>0.92307700000000004</v>
      </c>
      <c r="BK1135">
        <v>0.98630099999999998</v>
      </c>
      <c r="BL1135">
        <v>0.96969700000000003</v>
      </c>
      <c r="BM1135">
        <v>0.92307700000000004</v>
      </c>
      <c r="BN1135">
        <v>0.98630099999999998</v>
      </c>
      <c r="BO1135" t="s">
        <v>125</v>
      </c>
      <c r="BP1135" t="s">
        <v>125</v>
      </c>
      <c r="BQ1135" t="s">
        <v>125</v>
      </c>
      <c r="BR1135">
        <v>4.1985000000000001E-2</v>
      </c>
      <c r="BS1135">
        <v>50</v>
      </c>
      <c r="BT1135">
        <v>50</v>
      </c>
      <c r="BU1135">
        <v>8.3333000000000004E-2</v>
      </c>
      <c r="BV1135">
        <v>43.333333000000003</v>
      </c>
      <c r="BW1135">
        <v>50</v>
      </c>
      <c r="BX1135" t="s">
        <v>125</v>
      </c>
      <c r="BY1135" t="s">
        <v>125</v>
      </c>
      <c r="BZ1135" t="s">
        <v>125</v>
      </c>
      <c r="CA1135" t="s">
        <v>125</v>
      </c>
      <c r="CB1135" t="s">
        <v>125</v>
      </c>
      <c r="CC1135" t="s">
        <v>125</v>
      </c>
      <c r="CD1135" t="s">
        <v>125</v>
      </c>
      <c r="CE1135" t="s">
        <v>125</v>
      </c>
      <c r="CF1135" t="s">
        <v>125</v>
      </c>
      <c r="CG1135" t="s">
        <v>125</v>
      </c>
      <c r="CH1135" t="s">
        <v>125</v>
      </c>
      <c r="CI1135" t="s">
        <v>125</v>
      </c>
      <c r="CJ1135" t="s">
        <v>125</v>
      </c>
      <c r="CK1135" t="s">
        <v>125</v>
      </c>
      <c r="CL1135" t="s">
        <v>125</v>
      </c>
      <c r="CM1135" t="s">
        <v>125</v>
      </c>
      <c r="CN1135" t="s">
        <v>125</v>
      </c>
      <c r="CO1135" t="s">
        <v>125</v>
      </c>
      <c r="CP1135" t="s">
        <v>125</v>
      </c>
      <c r="CQ1135">
        <v>0.71428599999999998</v>
      </c>
      <c r="CR1135">
        <v>0.98</v>
      </c>
      <c r="CS1135">
        <v>47.619047999999999</v>
      </c>
      <c r="CT1135">
        <v>50</v>
      </c>
      <c r="CU1135" t="s">
        <v>125</v>
      </c>
      <c r="CV1135" t="s">
        <v>125</v>
      </c>
      <c r="CW1135" t="s">
        <v>125</v>
      </c>
      <c r="CX1135" t="s">
        <v>125</v>
      </c>
      <c r="CY1135" t="s">
        <v>125</v>
      </c>
      <c r="CZ1135" t="s">
        <v>125</v>
      </c>
      <c r="DA1135">
        <v>15.314097</v>
      </c>
      <c r="DB1135">
        <v>17.400950000000002</v>
      </c>
      <c r="DC1135">
        <v>16.332519999999999</v>
      </c>
      <c r="DD1135" t="s">
        <v>125</v>
      </c>
      <c r="DE1135">
        <v>1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Q1135" t="s">
        <v>126</v>
      </c>
    </row>
    <row r="1136" spans="1:121" x14ac:dyDescent="0.15">
      <c r="A1136">
        <v>2018</v>
      </c>
      <c r="B1136" t="s">
        <v>296</v>
      </c>
      <c r="C1136" t="str">
        <f>"2180012"</f>
        <v>2180012</v>
      </c>
      <c r="D1136" t="s">
        <v>1280</v>
      </c>
      <c r="E1136" t="str">
        <f>"2180112"</f>
        <v>2180112</v>
      </c>
      <c r="F1136" t="s">
        <v>1230</v>
      </c>
      <c r="G1136" t="s">
        <v>339</v>
      </c>
      <c r="H1136">
        <v>5</v>
      </c>
      <c r="I1136" t="s">
        <v>330</v>
      </c>
      <c r="J1136" t="s">
        <v>331</v>
      </c>
      <c r="K1136">
        <v>688.53778799999998</v>
      </c>
      <c r="L1136">
        <v>800</v>
      </c>
      <c r="M1136">
        <v>86.067222999999998</v>
      </c>
      <c r="N1136">
        <v>1</v>
      </c>
      <c r="O1136">
        <v>0</v>
      </c>
      <c r="P1136">
        <v>84.446175999999994</v>
      </c>
      <c r="Q1136">
        <v>50</v>
      </c>
      <c r="R1136">
        <v>50</v>
      </c>
      <c r="S1136">
        <v>74.921311000000003</v>
      </c>
      <c r="T1136">
        <v>75</v>
      </c>
      <c r="U1136">
        <v>49.947541000000001</v>
      </c>
      <c r="V1136">
        <v>50</v>
      </c>
      <c r="W1136">
        <v>85.701851000000005</v>
      </c>
      <c r="X1136">
        <v>50</v>
      </c>
      <c r="Y1136">
        <v>50</v>
      </c>
      <c r="Z1136">
        <v>75</v>
      </c>
      <c r="AA1136">
        <v>74.811282000000006</v>
      </c>
      <c r="AB1136">
        <v>49.874187999999997</v>
      </c>
      <c r="AC1136">
        <v>50</v>
      </c>
      <c r="AD1136">
        <v>85.096773999999996</v>
      </c>
      <c r="AE1136">
        <v>50</v>
      </c>
      <c r="AF1136">
        <v>50</v>
      </c>
      <c r="AG1136" t="s">
        <v>125</v>
      </c>
      <c r="AH1136">
        <v>75</v>
      </c>
      <c r="AI1136" t="s">
        <v>125</v>
      </c>
      <c r="AJ1136" t="s">
        <v>125</v>
      </c>
      <c r="AK1136">
        <v>7.0000000000000007E-2</v>
      </c>
      <c r="AL1136">
        <v>0.18</v>
      </c>
      <c r="AM1136" t="s">
        <v>125</v>
      </c>
      <c r="AN1136">
        <v>0.69084800000000002</v>
      </c>
      <c r="AO1136">
        <v>69.084816000000004</v>
      </c>
      <c r="AP1136">
        <v>100</v>
      </c>
      <c r="AQ1136">
        <v>0.87796300000000005</v>
      </c>
      <c r="AR1136">
        <v>87.796256999999997</v>
      </c>
      <c r="AS1136">
        <v>100</v>
      </c>
      <c r="AT1136">
        <v>0.51856500000000005</v>
      </c>
      <c r="AU1136">
        <v>0.77009799999999995</v>
      </c>
      <c r="AV1136">
        <v>51.856535000000001</v>
      </c>
      <c r="AW1136">
        <v>100</v>
      </c>
      <c r="AX1136">
        <v>0.87638700000000003</v>
      </c>
      <c r="AY1136">
        <v>0.87868800000000002</v>
      </c>
      <c r="AZ1136">
        <v>87.638660000000002</v>
      </c>
      <c r="BA1136">
        <v>100</v>
      </c>
      <c r="BB1136" t="s">
        <v>125</v>
      </c>
      <c r="BC1136" t="s">
        <v>125</v>
      </c>
      <c r="BD1136" t="s">
        <v>125</v>
      </c>
      <c r="BE1136" t="s">
        <v>125</v>
      </c>
      <c r="BF1136" t="s">
        <v>125</v>
      </c>
      <c r="BG1136" t="s">
        <v>125</v>
      </c>
      <c r="BH1136">
        <v>0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 t="s">
        <v>125</v>
      </c>
      <c r="BQ1136">
        <v>1</v>
      </c>
      <c r="BR1136">
        <v>2.9267999999999999E-2</v>
      </c>
      <c r="BS1136">
        <v>50</v>
      </c>
      <c r="BT1136">
        <v>50</v>
      </c>
      <c r="BU1136">
        <v>6.5573999999999993E-2</v>
      </c>
      <c r="BV1136">
        <v>46.885246000000002</v>
      </c>
      <c r="BW1136">
        <v>50</v>
      </c>
      <c r="BX1136" t="s">
        <v>125</v>
      </c>
      <c r="BY1136" t="s">
        <v>125</v>
      </c>
      <c r="BZ1136" t="s">
        <v>125</v>
      </c>
      <c r="CA1136" t="s">
        <v>125</v>
      </c>
      <c r="CB1136" t="s">
        <v>125</v>
      </c>
      <c r="CC1136" t="s">
        <v>125</v>
      </c>
      <c r="CD1136" t="s">
        <v>125</v>
      </c>
      <c r="CE1136" t="s">
        <v>125</v>
      </c>
      <c r="CF1136" t="s">
        <v>125</v>
      </c>
      <c r="CG1136" t="s">
        <v>125</v>
      </c>
      <c r="CH1136" t="s">
        <v>125</v>
      </c>
      <c r="CI1136" t="s">
        <v>125</v>
      </c>
      <c r="CJ1136" t="s">
        <v>125</v>
      </c>
      <c r="CK1136" t="s">
        <v>125</v>
      </c>
      <c r="CL1136" t="s">
        <v>125</v>
      </c>
      <c r="CM1136" t="s">
        <v>125</v>
      </c>
      <c r="CN1136" t="s">
        <v>125</v>
      </c>
      <c r="CO1136" t="s">
        <v>125</v>
      </c>
      <c r="CP1136" t="s">
        <v>125</v>
      </c>
      <c r="CQ1136">
        <v>0.68181800000000004</v>
      </c>
      <c r="CR1136">
        <v>0.97777800000000004</v>
      </c>
      <c r="CS1136">
        <v>45.454545000000003</v>
      </c>
      <c r="CT1136">
        <v>50</v>
      </c>
      <c r="CU1136" t="s">
        <v>125</v>
      </c>
      <c r="CV1136" t="s">
        <v>125</v>
      </c>
      <c r="CW1136" t="s">
        <v>125</v>
      </c>
      <c r="CX1136" t="s">
        <v>125</v>
      </c>
      <c r="CY1136" t="s">
        <v>125</v>
      </c>
      <c r="CZ1136" t="s">
        <v>125</v>
      </c>
      <c r="DA1136">
        <v>15.314097</v>
      </c>
      <c r="DB1136">
        <v>17.400950000000002</v>
      </c>
      <c r="DC1136">
        <v>16.332519999999999</v>
      </c>
      <c r="DD1136" t="s">
        <v>125</v>
      </c>
      <c r="DE1136">
        <v>0</v>
      </c>
      <c r="DH1136" t="s">
        <v>332</v>
      </c>
      <c r="DI1136" t="s">
        <v>453</v>
      </c>
      <c r="DJ1136">
        <v>0</v>
      </c>
      <c r="DK1136">
        <v>0</v>
      </c>
      <c r="DL1136">
        <v>1</v>
      </c>
      <c r="DM1136">
        <v>0</v>
      </c>
      <c r="DN1136">
        <v>1</v>
      </c>
      <c r="DO1136">
        <v>0</v>
      </c>
      <c r="DQ1136" t="s">
        <v>126</v>
      </c>
    </row>
    <row r="1137" spans="1:121" x14ac:dyDescent="0.15">
      <c r="A1137">
        <v>2018</v>
      </c>
      <c r="B1137" t="s">
        <v>296</v>
      </c>
      <c r="C1137" t="str">
        <f>"2180012"</f>
        <v>2180012</v>
      </c>
      <c r="D1137" t="s">
        <v>1281</v>
      </c>
      <c r="E1137" t="str">
        <f>"2186112"</f>
        <v>2186112</v>
      </c>
      <c r="F1137" t="s">
        <v>1230</v>
      </c>
      <c r="G1137">
        <v>9</v>
      </c>
      <c r="H1137">
        <v>12</v>
      </c>
      <c r="J1137" t="s">
        <v>331</v>
      </c>
      <c r="K1137">
        <v>1185.539573</v>
      </c>
      <c r="L1137">
        <v>1350</v>
      </c>
      <c r="M1137">
        <v>87.817746</v>
      </c>
      <c r="N1137">
        <v>2</v>
      </c>
      <c r="O1137">
        <v>1</v>
      </c>
      <c r="P1137">
        <v>70.799458000000001</v>
      </c>
      <c r="Q1137">
        <v>141.598916</v>
      </c>
      <c r="R1137">
        <v>150</v>
      </c>
      <c r="S1137">
        <v>58.833333000000003</v>
      </c>
      <c r="T1137">
        <v>73.405940999999999</v>
      </c>
      <c r="U1137">
        <v>117.666667</v>
      </c>
      <c r="V1137">
        <v>150</v>
      </c>
      <c r="W1137">
        <v>71.231707</v>
      </c>
      <c r="X1137">
        <v>142.463415</v>
      </c>
      <c r="Y1137">
        <v>150</v>
      </c>
      <c r="Z1137">
        <v>73.841583999999997</v>
      </c>
      <c r="AA1137">
        <v>59.25</v>
      </c>
      <c r="AB1137">
        <v>118.5</v>
      </c>
      <c r="AC1137">
        <v>150</v>
      </c>
      <c r="AD1137">
        <v>72.837468999999999</v>
      </c>
      <c r="AE1137">
        <v>97.116624999999999</v>
      </c>
      <c r="AF1137">
        <v>100</v>
      </c>
      <c r="AG1137">
        <v>56.250836</v>
      </c>
      <c r="AH1137">
        <v>75</v>
      </c>
      <c r="AI1137">
        <v>75.001114999999999</v>
      </c>
      <c r="AJ1137">
        <v>100</v>
      </c>
      <c r="AK1137">
        <v>14.57</v>
      </c>
      <c r="AL1137">
        <v>14.59</v>
      </c>
      <c r="AM1137">
        <v>18.739999999999998</v>
      </c>
      <c r="AN1137" t="s">
        <v>125</v>
      </c>
      <c r="AO1137" t="s">
        <v>125</v>
      </c>
      <c r="AP1137" t="s">
        <v>125</v>
      </c>
      <c r="AQ1137" t="s">
        <v>125</v>
      </c>
      <c r="AR1137" t="s">
        <v>125</v>
      </c>
      <c r="AS1137" t="s">
        <v>125</v>
      </c>
      <c r="AT1137" t="s">
        <v>125</v>
      </c>
      <c r="AU1137" t="s">
        <v>125</v>
      </c>
      <c r="AV1137" t="s">
        <v>125</v>
      </c>
      <c r="AW1137" t="s">
        <v>125</v>
      </c>
      <c r="AX1137" t="s">
        <v>125</v>
      </c>
      <c r="AY1137" t="s">
        <v>125</v>
      </c>
      <c r="AZ1137" t="s">
        <v>125</v>
      </c>
      <c r="BA1137" t="s">
        <v>125</v>
      </c>
      <c r="BB1137" t="s">
        <v>125</v>
      </c>
      <c r="BC1137" t="s">
        <v>125</v>
      </c>
      <c r="BD1137" t="s">
        <v>125</v>
      </c>
      <c r="BE1137" t="s">
        <v>125</v>
      </c>
      <c r="BF1137" t="s">
        <v>125</v>
      </c>
      <c r="BG1137" t="s">
        <v>125</v>
      </c>
      <c r="BH1137">
        <v>0</v>
      </c>
      <c r="BI1137">
        <v>0.99206300000000003</v>
      </c>
      <c r="BJ1137">
        <v>0.96</v>
      </c>
      <c r="BK1137">
        <v>1</v>
      </c>
      <c r="BL1137">
        <v>0.99206300000000003</v>
      </c>
      <c r="BM1137">
        <v>0.96</v>
      </c>
      <c r="BN1137">
        <v>1</v>
      </c>
      <c r="BO1137">
        <v>1</v>
      </c>
      <c r="BP1137">
        <v>1</v>
      </c>
      <c r="BQ1137">
        <v>1</v>
      </c>
      <c r="BR1137">
        <v>7.9665E-2</v>
      </c>
      <c r="BS1137">
        <v>44.067086000000003</v>
      </c>
      <c r="BT1137">
        <v>50</v>
      </c>
      <c r="BU1137">
        <v>0.16831699999999999</v>
      </c>
      <c r="BV1137">
        <v>26.336634</v>
      </c>
      <c r="BW1137">
        <v>50</v>
      </c>
      <c r="BX1137">
        <v>0.96652700000000003</v>
      </c>
      <c r="BY1137">
        <v>50</v>
      </c>
      <c r="BZ1137">
        <v>50</v>
      </c>
      <c r="CA1137">
        <v>0.76150600000000002</v>
      </c>
      <c r="CB1137">
        <v>50</v>
      </c>
      <c r="CC1137">
        <v>50</v>
      </c>
      <c r="CD1137">
        <v>0.96</v>
      </c>
      <c r="CE1137">
        <v>50</v>
      </c>
      <c r="CF1137">
        <v>50</v>
      </c>
      <c r="CG1137">
        <v>0.97368399999999999</v>
      </c>
      <c r="CH1137">
        <v>100</v>
      </c>
      <c r="CI1137">
        <v>100</v>
      </c>
      <c r="CJ1137">
        <v>0</v>
      </c>
      <c r="CK1137" t="s">
        <v>125</v>
      </c>
      <c r="CL1137" t="s">
        <v>125</v>
      </c>
      <c r="CM1137" t="s">
        <v>125</v>
      </c>
      <c r="CN1137">
        <v>0.83333299999999999</v>
      </c>
      <c r="CO1137">
        <v>100</v>
      </c>
      <c r="CP1137">
        <v>100</v>
      </c>
      <c r="CQ1137">
        <v>0.68367299999999998</v>
      </c>
      <c r="CR1137">
        <v>0.86725699999999994</v>
      </c>
      <c r="CS1137">
        <v>22.789116</v>
      </c>
      <c r="CT1137">
        <v>50</v>
      </c>
      <c r="CU1137">
        <v>0.61635200000000001</v>
      </c>
      <c r="CV1137">
        <v>50</v>
      </c>
      <c r="CW1137">
        <v>50</v>
      </c>
      <c r="CX1137" t="s">
        <v>125</v>
      </c>
      <c r="CY1137" t="s">
        <v>125</v>
      </c>
      <c r="CZ1137" t="s">
        <v>125</v>
      </c>
      <c r="DA1137">
        <v>15.314097</v>
      </c>
      <c r="DB1137">
        <v>17.400950000000002</v>
      </c>
      <c r="DC1137">
        <v>16.332519999999999</v>
      </c>
      <c r="DD1137">
        <v>7.9891730000000001</v>
      </c>
      <c r="DE1137">
        <v>1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Q1137" t="s">
        <v>126</v>
      </c>
    </row>
    <row r="1138" spans="1:121" x14ac:dyDescent="0.15">
      <c r="A1138">
        <v>2018</v>
      </c>
      <c r="B1138" t="s">
        <v>296</v>
      </c>
      <c r="C1138" t="str">
        <f>"2180012"</f>
        <v>2180012</v>
      </c>
      <c r="D1138" t="s">
        <v>1282</v>
      </c>
      <c r="E1138" t="str">
        <f>"2185112"</f>
        <v>2185112</v>
      </c>
      <c r="F1138" t="s">
        <v>1230</v>
      </c>
      <c r="G1138">
        <v>6</v>
      </c>
      <c r="H1138">
        <v>8</v>
      </c>
      <c r="I1138" t="s">
        <v>330</v>
      </c>
      <c r="J1138" t="s">
        <v>331</v>
      </c>
      <c r="K1138">
        <v>716.51765899999998</v>
      </c>
      <c r="L1138">
        <v>900</v>
      </c>
      <c r="M1138">
        <v>79.613073</v>
      </c>
      <c r="N1138">
        <v>2</v>
      </c>
      <c r="O1138">
        <v>0</v>
      </c>
      <c r="P1138">
        <v>80.906199000000001</v>
      </c>
      <c r="Q1138">
        <v>50</v>
      </c>
      <c r="R1138">
        <v>50</v>
      </c>
      <c r="S1138">
        <v>70.145815999999996</v>
      </c>
      <c r="T1138">
        <v>75</v>
      </c>
      <c r="U1138">
        <v>46.763877000000001</v>
      </c>
      <c r="V1138">
        <v>50</v>
      </c>
      <c r="W1138">
        <v>76.040756000000002</v>
      </c>
      <c r="X1138">
        <v>50</v>
      </c>
      <c r="Y1138">
        <v>50</v>
      </c>
      <c r="Z1138">
        <v>75</v>
      </c>
      <c r="AA1138">
        <v>67.335109000000003</v>
      </c>
      <c r="AB1138">
        <v>44.890073000000001</v>
      </c>
      <c r="AC1138">
        <v>50</v>
      </c>
      <c r="AD1138">
        <v>79.858054999999993</v>
      </c>
      <c r="AE1138">
        <v>50</v>
      </c>
      <c r="AF1138">
        <v>50</v>
      </c>
      <c r="AG1138">
        <v>70.332196999999994</v>
      </c>
      <c r="AH1138">
        <v>75</v>
      </c>
      <c r="AI1138">
        <v>46.888131000000001</v>
      </c>
      <c r="AJ1138">
        <v>50</v>
      </c>
      <c r="AK1138">
        <v>4.8499999999999996</v>
      </c>
      <c r="AL1138">
        <v>7.66</v>
      </c>
      <c r="AM1138">
        <v>4.66</v>
      </c>
      <c r="AN1138">
        <v>0.64341199999999998</v>
      </c>
      <c r="AO1138">
        <v>64.341156999999995</v>
      </c>
      <c r="AP1138">
        <v>100</v>
      </c>
      <c r="AQ1138">
        <v>0.66260699999999995</v>
      </c>
      <c r="AR1138">
        <v>66.260733999999999</v>
      </c>
      <c r="AS1138">
        <v>100</v>
      </c>
      <c r="AT1138">
        <v>0.61448000000000003</v>
      </c>
      <c r="AU1138">
        <v>0.65488999999999997</v>
      </c>
      <c r="AV1138">
        <v>61.447977000000002</v>
      </c>
      <c r="AW1138">
        <v>100</v>
      </c>
      <c r="AX1138">
        <v>0.60613799999999995</v>
      </c>
      <c r="AY1138">
        <v>0.68482500000000002</v>
      </c>
      <c r="AZ1138">
        <v>60.613767000000003</v>
      </c>
      <c r="BA1138">
        <v>100</v>
      </c>
      <c r="BB1138" t="s">
        <v>125</v>
      </c>
      <c r="BC1138" t="s">
        <v>125</v>
      </c>
      <c r="BD1138" t="s">
        <v>125</v>
      </c>
      <c r="BE1138" t="s">
        <v>125</v>
      </c>
      <c r="BF1138" t="s">
        <v>125</v>
      </c>
      <c r="BG1138" t="s">
        <v>125</v>
      </c>
      <c r="BH1138">
        <v>0</v>
      </c>
      <c r="BI1138">
        <v>0.99305600000000005</v>
      </c>
      <c r="BJ1138">
        <v>0.98888900000000002</v>
      </c>
      <c r="BK1138">
        <v>0.99494899999999997</v>
      </c>
      <c r="BL1138">
        <v>0.99305600000000005</v>
      </c>
      <c r="BM1138">
        <v>0.98888900000000002</v>
      </c>
      <c r="BN1138">
        <v>0.99494899999999997</v>
      </c>
      <c r="BO1138">
        <v>0.98058299999999998</v>
      </c>
      <c r="BP1138">
        <v>1</v>
      </c>
      <c r="BQ1138">
        <v>0.97368399999999999</v>
      </c>
      <c r="BR1138">
        <v>3.8193999999999999E-2</v>
      </c>
      <c r="BS1138">
        <v>50</v>
      </c>
      <c r="BT1138">
        <v>50</v>
      </c>
      <c r="BU1138">
        <v>4.5976999999999997E-2</v>
      </c>
      <c r="BV1138">
        <v>50</v>
      </c>
      <c r="BW1138">
        <v>50</v>
      </c>
      <c r="BX1138" t="s">
        <v>125</v>
      </c>
      <c r="BY1138" t="s">
        <v>125</v>
      </c>
      <c r="BZ1138" t="s">
        <v>125</v>
      </c>
      <c r="CA1138" t="s">
        <v>125</v>
      </c>
      <c r="CB1138" t="s">
        <v>125</v>
      </c>
      <c r="CC1138" t="s">
        <v>125</v>
      </c>
      <c r="CD1138">
        <v>0.98260899999999995</v>
      </c>
      <c r="CE1138">
        <v>50</v>
      </c>
      <c r="CF1138">
        <v>50</v>
      </c>
      <c r="CG1138" t="s">
        <v>125</v>
      </c>
      <c r="CH1138" t="s">
        <v>125</v>
      </c>
      <c r="CI1138" t="s">
        <v>125</v>
      </c>
      <c r="CJ1138" t="s">
        <v>125</v>
      </c>
      <c r="CK1138" t="s">
        <v>125</v>
      </c>
      <c r="CL1138" t="s">
        <v>125</v>
      </c>
      <c r="CM1138" t="s">
        <v>125</v>
      </c>
      <c r="CN1138" t="s">
        <v>125</v>
      </c>
      <c r="CO1138" t="s">
        <v>125</v>
      </c>
      <c r="CP1138" t="s">
        <v>125</v>
      </c>
      <c r="CQ1138">
        <v>0.37967899999999999</v>
      </c>
      <c r="CR1138">
        <v>0.94923900000000005</v>
      </c>
      <c r="CS1138">
        <v>25.311942999999999</v>
      </c>
      <c r="CT1138">
        <v>50</v>
      </c>
      <c r="CU1138" t="s">
        <v>125</v>
      </c>
      <c r="CV1138" t="s">
        <v>125</v>
      </c>
      <c r="CW1138" t="s">
        <v>125</v>
      </c>
      <c r="CX1138" t="s">
        <v>125</v>
      </c>
      <c r="CY1138" t="s">
        <v>125</v>
      </c>
      <c r="CZ1138" t="s">
        <v>125</v>
      </c>
      <c r="DA1138">
        <v>15.314097</v>
      </c>
      <c r="DB1138">
        <v>17.400950000000002</v>
      </c>
      <c r="DC1138">
        <v>16.332519999999999</v>
      </c>
      <c r="DD1138" t="s">
        <v>125</v>
      </c>
      <c r="DE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Q1138" t="s">
        <v>126</v>
      </c>
    </row>
    <row r="1139" spans="1:121" x14ac:dyDescent="0.15">
      <c r="A1139">
        <v>2018</v>
      </c>
      <c r="B1139" t="s">
        <v>296</v>
      </c>
      <c r="C1139" t="str">
        <f>"2180012"</f>
        <v>2180012</v>
      </c>
      <c r="D1139" t="s">
        <v>1283</v>
      </c>
      <c r="E1139" t="str">
        <f>"2180212"</f>
        <v>2180212</v>
      </c>
      <c r="F1139" t="s">
        <v>1230</v>
      </c>
      <c r="G1139" t="s">
        <v>339</v>
      </c>
      <c r="H1139">
        <v>5</v>
      </c>
      <c r="I1139" t="s">
        <v>330</v>
      </c>
      <c r="J1139" t="s">
        <v>331</v>
      </c>
      <c r="K1139">
        <v>736.36784799999998</v>
      </c>
      <c r="L1139">
        <v>850</v>
      </c>
      <c r="M1139">
        <v>86.631512000000001</v>
      </c>
      <c r="N1139">
        <v>1</v>
      </c>
      <c r="O1139">
        <v>0</v>
      </c>
      <c r="P1139">
        <v>83.621472999999995</v>
      </c>
      <c r="Q1139">
        <v>50</v>
      </c>
      <c r="R1139">
        <v>50</v>
      </c>
      <c r="S1139">
        <v>74.044414000000003</v>
      </c>
      <c r="T1139">
        <v>75</v>
      </c>
      <c r="U1139">
        <v>49.362941999999997</v>
      </c>
      <c r="V1139">
        <v>50</v>
      </c>
      <c r="W1139">
        <v>83.469633000000002</v>
      </c>
      <c r="X1139">
        <v>50</v>
      </c>
      <c r="Y1139">
        <v>50</v>
      </c>
      <c r="Z1139">
        <v>75</v>
      </c>
      <c r="AA1139">
        <v>72.145943000000003</v>
      </c>
      <c r="AB1139">
        <v>48.097295000000003</v>
      </c>
      <c r="AC1139">
        <v>50</v>
      </c>
      <c r="AD1139">
        <v>84.054516000000007</v>
      </c>
      <c r="AE1139">
        <v>50</v>
      </c>
      <c r="AF1139">
        <v>50</v>
      </c>
      <c r="AG1139">
        <v>73.523387</v>
      </c>
      <c r="AH1139">
        <v>75</v>
      </c>
      <c r="AI1139">
        <v>49.015591000000001</v>
      </c>
      <c r="AJ1139">
        <v>50</v>
      </c>
      <c r="AK1139">
        <v>0.95</v>
      </c>
      <c r="AL1139">
        <v>2.85</v>
      </c>
      <c r="AM1139">
        <v>1.47</v>
      </c>
      <c r="AN1139">
        <v>0.74769099999999999</v>
      </c>
      <c r="AO1139">
        <v>74.769126</v>
      </c>
      <c r="AP1139">
        <v>100</v>
      </c>
      <c r="AQ1139">
        <v>0.80183499999999996</v>
      </c>
      <c r="AR1139">
        <v>80.183524000000006</v>
      </c>
      <c r="AS1139">
        <v>100</v>
      </c>
      <c r="AT1139">
        <v>0.69535499999999995</v>
      </c>
      <c r="AU1139">
        <v>0.77676699999999999</v>
      </c>
      <c r="AV1139">
        <v>69.535465000000002</v>
      </c>
      <c r="AW1139">
        <v>100</v>
      </c>
      <c r="AX1139">
        <v>0.65403900000000004</v>
      </c>
      <c r="AY1139">
        <v>0.88394399999999995</v>
      </c>
      <c r="AZ1139">
        <v>65.403903999999997</v>
      </c>
      <c r="BA1139">
        <v>100</v>
      </c>
      <c r="BB1139" t="s">
        <v>125</v>
      </c>
      <c r="BC1139" t="s">
        <v>125</v>
      </c>
      <c r="BD1139" t="s">
        <v>125</v>
      </c>
      <c r="BE1139" t="s">
        <v>125</v>
      </c>
      <c r="BF1139" t="s">
        <v>125</v>
      </c>
      <c r="BG1139" t="s">
        <v>125</v>
      </c>
      <c r="BH1139">
        <v>0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2.8000000000000001E-2</v>
      </c>
      <c r="BS1139">
        <v>50</v>
      </c>
      <c r="BT1139">
        <v>50</v>
      </c>
      <c r="BU1139">
        <v>3.5714000000000003E-2</v>
      </c>
      <c r="BV1139">
        <v>50</v>
      </c>
      <c r="BW1139">
        <v>50</v>
      </c>
      <c r="BX1139" t="s">
        <v>125</v>
      </c>
      <c r="BY1139" t="s">
        <v>125</v>
      </c>
      <c r="BZ1139" t="s">
        <v>125</v>
      </c>
      <c r="CA1139" t="s">
        <v>125</v>
      </c>
      <c r="CB1139" t="s">
        <v>125</v>
      </c>
      <c r="CC1139" t="s">
        <v>125</v>
      </c>
      <c r="CD1139" t="s">
        <v>125</v>
      </c>
      <c r="CE1139" t="s">
        <v>125</v>
      </c>
      <c r="CF1139" t="s">
        <v>125</v>
      </c>
      <c r="CG1139" t="s">
        <v>125</v>
      </c>
      <c r="CH1139" t="s">
        <v>125</v>
      </c>
      <c r="CI1139" t="s">
        <v>125</v>
      </c>
      <c r="CJ1139" t="s">
        <v>125</v>
      </c>
      <c r="CK1139" t="s">
        <v>125</v>
      </c>
      <c r="CL1139" t="s">
        <v>125</v>
      </c>
      <c r="CM1139" t="s">
        <v>125</v>
      </c>
      <c r="CN1139" t="s">
        <v>125</v>
      </c>
      <c r="CO1139" t="s">
        <v>125</v>
      </c>
      <c r="CP1139" t="s">
        <v>125</v>
      </c>
      <c r="CQ1139">
        <v>0.769231</v>
      </c>
      <c r="CR1139">
        <v>0.95121999999999995</v>
      </c>
      <c r="CS1139">
        <v>50</v>
      </c>
      <c r="CT1139">
        <v>50</v>
      </c>
      <c r="CU1139" t="s">
        <v>125</v>
      </c>
      <c r="CV1139" t="s">
        <v>125</v>
      </c>
      <c r="CW1139" t="s">
        <v>125</v>
      </c>
      <c r="CX1139" t="s">
        <v>125</v>
      </c>
      <c r="CY1139" t="s">
        <v>125</v>
      </c>
      <c r="CZ1139" t="s">
        <v>125</v>
      </c>
      <c r="DA1139">
        <v>15.314097</v>
      </c>
      <c r="DB1139">
        <v>17.400950000000002</v>
      </c>
      <c r="DC1139">
        <v>16.332519999999999</v>
      </c>
      <c r="DD1139" t="s">
        <v>125</v>
      </c>
      <c r="DE1139">
        <v>0</v>
      </c>
      <c r="DH1139" t="s">
        <v>332</v>
      </c>
      <c r="DI1139" t="s">
        <v>333</v>
      </c>
      <c r="DJ1139">
        <v>1</v>
      </c>
      <c r="DK1139">
        <v>0</v>
      </c>
      <c r="DL1139">
        <v>0</v>
      </c>
      <c r="DM1139">
        <v>0</v>
      </c>
      <c r="DN1139">
        <v>0</v>
      </c>
      <c r="DO1139">
        <v>0</v>
      </c>
      <c r="DQ1139" t="s">
        <v>126</v>
      </c>
    </row>
    <row r="1140" spans="1:121" x14ac:dyDescent="0.15">
      <c r="A1140">
        <v>2018</v>
      </c>
      <c r="B1140" t="s">
        <v>248</v>
      </c>
      <c r="C1140" t="str">
        <f>"2190012"</f>
        <v>2190012</v>
      </c>
      <c r="D1140" t="s">
        <v>1284</v>
      </c>
      <c r="E1140" t="str">
        <f>"2196112"</f>
        <v>2196112</v>
      </c>
      <c r="F1140" t="s">
        <v>1230</v>
      </c>
      <c r="G1140">
        <v>9</v>
      </c>
      <c r="H1140">
        <v>12</v>
      </c>
      <c r="I1140" t="s">
        <v>330</v>
      </c>
      <c r="J1140" t="s">
        <v>331</v>
      </c>
      <c r="K1140">
        <v>1272.3921459999999</v>
      </c>
      <c r="L1140">
        <v>1450</v>
      </c>
      <c r="M1140">
        <v>87.751182</v>
      </c>
      <c r="N1140">
        <v>1</v>
      </c>
      <c r="O1140">
        <v>0</v>
      </c>
      <c r="P1140">
        <v>65.794105999999999</v>
      </c>
      <c r="Q1140">
        <v>131.588212</v>
      </c>
      <c r="R1140">
        <v>150</v>
      </c>
      <c r="S1140">
        <v>55.854083000000003</v>
      </c>
      <c r="T1140">
        <v>70.003400999999997</v>
      </c>
      <c r="U1140">
        <v>111.70816600000001</v>
      </c>
      <c r="V1140">
        <v>150</v>
      </c>
      <c r="W1140">
        <v>68.869375000000005</v>
      </c>
      <c r="X1140">
        <v>137.73875000000001</v>
      </c>
      <c r="Y1140">
        <v>150</v>
      </c>
      <c r="Z1140">
        <v>73.913264999999996</v>
      </c>
      <c r="AA1140">
        <v>56.958500999999998</v>
      </c>
      <c r="AB1140">
        <v>113.917001</v>
      </c>
      <c r="AC1140">
        <v>150</v>
      </c>
      <c r="AD1140">
        <v>65.582628</v>
      </c>
      <c r="AE1140">
        <v>87.443504000000004</v>
      </c>
      <c r="AF1140">
        <v>100</v>
      </c>
      <c r="AG1140">
        <v>56.796878</v>
      </c>
      <c r="AH1140">
        <v>69.367258000000007</v>
      </c>
      <c r="AI1140">
        <v>75.729169999999996</v>
      </c>
      <c r="AJ1140">
        <v>100</v>
      </c>
      <c r="AK1140">
        <v>14.14</v>
      </c>
      <c r="AL1140">
        <v>16.95</v>
      </c>
      <c r="AM1140">
        <v>12.57</v>
      </c>
      <c r="AN1140" t="s">
        <v>125</v>
      </c>
      <c r="AO1140" t="s">
        <v>125</v>
      </c>
      <c r="AP1140" t="s">
        <v>125</v>
      </c>
      <c r="AQ1140" t="s">
        <v>125</v>
      </c>
      <c r="AR1140" t="s">
        <v>125</v>
      </c>
      <c r="AS1140" t="s">
        <v>125</v>
      </c>
      <c r="AT1140" t="s">
        <v>125</v>
      </c>
      <c r="AU1140" t="s">
        <v>125</v>
      </c>
      <c r="AV1140" t="s">
        <v>125</v>
      </c>
      <c r="AW1140" t="s">
        <v>125</v>
      </c>
      <c r="AX1140" t="s">
        <v>125</v>
      </c>
      <c r="AY1140" t="s">
        <v>125</v>
      </c>
      <c r="AZ1140" t="s">
        <v>125</v>
      </c>
      <c r="BA1140" t="s">
        <v>125</v>
      </c>
      <c r="BB1140" t="s">
        <v>125</v>
      </c>
      <c r="BC1140" t="s">
        <v>125</v>
      </c>
      <c r="BD1140" t="s">
        <v>125</v>
      </c>
      <c r="BE1140" t="s">
        <v>125</v>
      </c>
      <c r="BF1140" t="s">
        <v>125</v>
      </c>
      <c r="BG1140" t="s">
        <v>125</v>
      </c>
      <c r="BH1140">
        <v>0</v>
      </c>
      <c r="BI1140">
        <v>0.98611099999999996</v>
      </c>
      <c r="BJ1140">
        <v>0.96666700000000005</v>
      </c>
      <c r="BK1140">
        <v>0.99494899999999997</v>
      </c>
      <c r="BL1140">
        <v>0.98611099999999996</v>
      </c>
      <c r="BM1140">
        <v>0.96666700000000005</v>
      </c>
      <c r="BN1140">
        <v>0.99494899999999997</v>
      </c>
      <c r="BO1140">
        <v>0.97916700000000001</v>
      </c>
      <c r="BP1140">
        <v>0.95555599999999996</v>
      </c>
      <c r="BQ1140">
        <v>0.98989899999999997</v>
      </c>
      <c r="BR1140">
        <v>2.5950000000000001E-2</v>
      </c>
      <c r="BS1140">
        <v>50</v>
      </c>
      <c r="BT1140">
        <v>50</v>
      </c>
      <c r="BU1140">
        <v>6.1281000000000002E-2</v>
      </c>
      <c r="BV1140">
        <v>47.743732999999999</v>
      </c>
      <c r="BW1140">
        <v>50</v>
      </c>
      <c r="BX1140">
        <v>0.75178599999999995</v>
      </c>
      <c r="BY1140">
        <v>50</v>
      </c>
      <c r="BZ1140">
        <v>50</v>
      </c>
      <c r="CA1140">
        <v>0.63392899999999996</v>
      </c>
      <c r="CB1140">
        <v>42.261904999999999</v>
      </c>
      <c r="CC1140">
        <v>50</v>
      </c>
      <c r="CD1140">
        <v>0.90322599999999997</v>
      </c>
      <c r="CE1140">
        <v>48.043925999999999</v>
      </c>
      <c r="CF1140">
        <v>50</v>
      </c>
      <c r="CG1140">
        <v>0.96028899999999995</v>
      </c>
      <c r="CH1140">
        <v>100</v>
      </c>
      <c r="CI1140">
        <v>100</v>
      </c>
      <c r="CJ1140">
        <v>0</v>
      </c>
      <c r="CK1140">
        <v>0.87323899999999999</v>
      </c>
      <c r="CL1140">
        <v>92.897812000000002</v>
      </c>
      <c r="CM1140">
        <v>100</v>
      </c>
      <c r="CN1140">
        <v>0.8</v>
      </c>
      <c r="CO1140">
        <v>100</v>
      </c>
      <c r="CP1140">
        <v>100</v>
      </c>
      <c r="CQ1140">
        <v>0.583673</v>
      </c>
      <c r="CR1140">
        <v>0.90405899999999995</v>
      </c>
      <c r="CS1140">
        <v>38.911565000000003</v>
      </c>
      <c r="CT1140">
        <v>50</v>
      </c>
      <c r="CU1140">
        <v>0.53290099999999996</v>
      </c>
      <c r="CV1140">
        <v>44.408403</v>
      </c>
      <c r="CW1140">
        <v>50</v>
      </c>
      <c r="CX1140">
        <v>0.87323899999999999</v>
      </c>
      <c r="CY1140">
        <v>0.94</v>
      </c>
      <c r="CZ1140">
        <v>6.6761000000000001E-2</v>
      </c>
      <c r="DA1140">
        <v>15.314097</v>
      </c>
      <c r="DB1140">
        <v>17.400950000000002</v>
      </c>
      <c r="DC1140">
        <v>16.332519999999999</v>
      </c>
      <c r="DD1140">
        <v>7.9891730000000001</v>
      </c>
      <c r="DE1140">
        <v>0</v>
      </c>
      <c r="DH1140" t="s">
        <v>332</v>
      </c>
      <c r="DI1140" t="s">
        <v>333</v>
      </c>
      <c r="DJ1140">
        <v>1</v>
      </c>
      <c r="DK1140">
        <v>0</v>
      </c>
      <c r="DL1140">
        <v>0</v>
      </c>
      <c r="DM1140">
        <v>0</v>
      </c>
      <c r="DN1140">
        <v>0</v>
      </c>
      <c r="DO1140">
        <v>0</v>
      </c>
      <c r="DQ1140" t="s">
        <v>126</v>
      </c>
    </row>
    <row r="1141" spans="1:121" x14ac:dyDescent="0.15">
      <c r="A1141">
        <v>2018</v>
      </c>
      <c r="B1141" t="s">
        <v>249</v>
      </c>
      <c r="C1141" t="str">
        <f t="shared" ref="C1141:C1156" si="53">"2410014"</f>
        <v>2410014</v>
      </c>
      <c r="D1141" t="s">
        <v>1285</v>
      </c>
      <c r="E1141" t="str">
        <f>"2410714"</f>
        <v>2410714</v>
      </c>
      <c r="F1141" t="s">
        <v>1286</v>
      </c>
      <c r="G1141" t="s">
        <v>329</v>
      </c>
      <c r="H1141">
        <v>5</v>
      </c>
      <c r="I1141" t="s">
        <v>336</v>
      </c>
      <c r="J1141" t="s">
        <v>331</v>
      </c>
      <c r="K1141">
        <v>666.67374400000006</v>
      </c>
      <c r="L1141">
        <v>950</v>
      </c>
      <c r="M1141">
        <v>70.176184000000006</v>
      </c>
      <c r="N1141">
        <v>3</v>
      </c>
      <c r="O1141">
        <v>1</v>
      </c>
      <c r="P1141">
        <v>70.481673000000001</v>
      </c>
      <c r="Q1141">
        <v>46.987782000000003</v>
      </c>
      <c r="R1141">
        <v>50</v>
      </c>
      <c r="S1141">
        <v>64.951678000000001</v>
      </c>
      <c r="T1141">
        <v>75</v>
      </c>
      <c r="U1141">
        <v>43.301118000000002</v>
      </c>
      <c r="V1141">
        <v>50</v>
      </c>
      <c r="W1141">
        <v>67.674363</v>
      </c>
      <c r="X1141">
        <v>45.116242</v>
      </c>
      <c r="Y1141">
        <v>50</v>
      </c>
      <c r="Z1141">
        <v>75</v>
      </c>
      <c r="AA1141">
        <v>60.714258999999998</v>
      </c>
      <c r="AB1141">
        <v>40.476173000000003</v>
      </c>
      <c r="AC1141">
        <v>50</v>
      </c>
      <c r="AD1141">
        <v>66.675476000000003</v>
      </c>
      <c r="AE1141">
        <v>44.450316999999998</v>
      </c>
      <c r="AF1141">
        <v>50</v>
      </c>
      <c r="AG1141">
        <v>58.43871</v>
      </c>
      <c r="AH1141">
        <v>75</v>
      </c>
      <c r="AI1141">
        <v>38.959139999999998</v>
      </c>
      <c r="AJ1141">
        <v>50</v>
      </c>
      <c r="AK1141">
        <v>10.039999999999999</v>
      </c>
      <c r="AL1141">
        <v>14.28</v>
      </c>
      <c r="AM1141">
        <v>16.559999999999999</v>
      </c>
      <c r="AN1141">
        <v>0.71421599999999996</v>
      </c>
      <c r="AO1141">
        <v>71.421588</v>
      </c>
      <c r="AP1141">
        <v>100</v>
      </c>
      <c r="AQ1141">
        <v>0.67525299999999999</v>
      </c>
      <c r="AR1141">
        <v>67.525288000000003</v>
      </c>
      <c r="AS1141">
        <v>100</v>
      </c>
      <c r="AT1141">
        <v>0.68531500000000001</v>
      </c>
      <c r="AU1141">
        <v>0.772621</v>
      </c>
      <c r="AV1141">
        <v>68.531462000000005</v>
      </c>
      <c r="AW1141">
        <v>100</v>
      </c>
      <c r="AX1141">
        <v>0.58233299999999999</v>
      </c>
      <c r="AY1141">
        <v>0.86302800000000002</v>
      </c>
      <c r="AZ1141">
        <v>58.233327000000003</v>
      </c>
      <c r="BA1141">
        <v>100</v>
      </c>
      <c r="BB1141">
        <v>0.73521300000000001</v>
      </c>
      <c r="BC1141">
        <v>36.760635999999998</v>
      </c>
      <c r="BD1141">
        <v>50</v>
      </c>
      <c r="BE1141">
        <v>0.49573200000000001</v>
      </c>
      <c r="BF1141">
        <v>24.786619000000002</v>
      </c>
      <c r="BG1141">
        <v>50</v>
      </c>
      <c r="BH1141">
        <v>0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0.157385</v>
      </c>
      <c r="BS1141">
        <v>28.523002000000002</v>
      </c>
      <c r="BT1141">
        <v>50</v>
      </c>
      <c r="BU1141">
        <v>0.20866100000000001</v>
      </c>
      <c r="BV1141">
        <v>18.267717000000001</v>
      </c>
      <c r="BW1141">
        <v>50</v>
      </c>
      <c r="BX1141" t="s">
        <v>125</v>
      </c>
      <c r="BY1141" t="s">
        <v>125</v>
      </c>
      <c r="BZ1141" t="s">
        <v>125</v>
      </c>
      <c r="CA1141" t="s">
        <v>125</v>
      </c>
      <c r="CB1141" t="s">
        <v>125</v>
      </c>
      <c r="CC1141" t="s">
        <v>125</v>
      </c>
      <c r="CD1141" t="s">
        <v>125</v>
      </c>
      <c r="CE1141" t="s">
        <v>125</v>
      </c>
      <c r="CF1141" t="s">
        <v>125</v>
      </c>
      <c r="CG1141" t="s">
        <v>125</v>
      </c>
      <c r="CH1141" t="s">
        <v>125</v>
      </c>
      <c r="CI1141" t="s">
        <v>125</v>
      </c>
      <c r="CJ1141" t="s">
        <v>125</v>
      </c>
      <c r="CK1141" t="s">
        <v>125</v>
      </c>
      <c r="CL1141" t="s">
        <v>125</v>
      </c>
      <c r="CM1141" t="s">
        <v>125</v>
      </c>
      <c r="CN1141" t="s">
        <v>125</v>
      </c>
      <c r="CO1141" t="s">
        <v>125</v>
      </c>
      <c r="CP1141" t="s">
        <v>125</v>
      </c>
      <c r="CQ1141">
        <v>0.5</v>
      </c>
      <c r="CR1141">
        <v>1.1076919999999999</v>
      </c>
      <c r="CS1141">
        <v>33.333333000000003</v>
      </c>
      <c r="CT1141">
        <v>50</v>
      </c>
      <c r="CU1141" t="s">
        <v>125</v>
      </c>
      <c r="CV1141" t="s">
        <v>125</v>
      </c>
      <c r="CW1141" t="s">
        <v>125</v>
      </c>
      <c r="CX1141" t="s">
        <v>125</v>
      </c>
      <c r="CY1141" t="s">
        <v>125</v>
      </c>
      <c r="CZ1141" t="s">
        <v>125</v>
      </c>
      <c r="DA1141">
        <v>15.314097</v>
      </c>
      <c r="DB1141">
        <v>17.400950000000002</v>
      </c>
      <c r="DC1141">
        <v>16.332519999999999</v>
      </c>
      <c r="DD1141" t="s">
        <v>125</v>
      </c>
      <c r="DE1141">
        <v>1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Q1141" t="s">
        <v>126</v>
      </c>
    </row>
    <row r="1142" spans="1:121" x14ac:dyDescent="0.15">
      <c r="A1142">
        <v>2018</v>
      </c>
      <c r="B1142" t="s">
        <v>249</v>
      </c>
      <c r="C1142" t="str">
        <f t="shared" si="53"/>
        <v>2410014</v>
      </c>
      <c r="D1142" t="s">
        <v>1287</v>
      </c>
      <c r="E1142" t="str">
        <f>"2415114"</f>
        <v>2415114</v>
      </c>
      <c r="F1142" t="s">
        <v>1286</v>
      </c>
      <c r="G1142">
        <v>6</v>
      </c>
      <c r="H1142">
        <v>12</v>
      </c>
      <c r="I1142" t="s">
        <v>336</v>
      </c>
      <c r="J1142" t="s">
        <v>331</v>
      </c>
      <c r="K1142">
        <v>962.09377400000005</v>
      </c>
      <c r="L1142">
        <v>1450</v>
      </c>
      <c r="M1142">
        <v>66.351294999999993</v>
      </c>
      <c r="N1142">
        <v>4</v>
      </c>
      <c r="O1142">
        <v>1</v>
      </c>
      <c r="P1142">
        <v>61.353667000000002</v>
      </c>
      <c r="Q1142">
        <v>40.902445</v>
      </c>
      <c r="R1142">
        <v>50</v>
      </c>
      <c r="S1142">
        <v>52.441439000000003</v>
      </c>
      <c r="T1142">
        <v>72.102082999999993</v>
      </c>
      <c r="U1142">
        <v>34.960959000000003</v>
      </c>
      <c r="V1142">
        <v>50</v>
      </c>
      <c r="W1142">
        <v>54.057661000000003</v>
      </c>
      <c r="X1142">
        <v>36.038440000000001</v>
      </c>
      <c r="Y1142">
        <v>50</v>
      </c>
      <c r="Z1142">
        <v>65.807685000000006</v>
      </c>
      <c r="AA1142">
        <v>44.225003999999998</v>
      </c>
      <c r="AB1142">
        <v>29.483336000000001</v>
      </c>
      <c r="AC1142">
        <v>50</v>
      </c>
      <c r="AD1142">
        <v>58.376469</v>
      </c>
      <c r="AE1142">
        <v>38.917645999999998</v>
      </c>
      <c r="AF1142">
        <v>50</v>
      </c>
      <c r="AG1142">
        <v>49.182478000000003</v>
      </c>
      <c r="AH1142">
        <v>68.247912999999997</v>
      </c>
      <c r="AI1142">
        <v>32.788319000000001</v>
      </c>
      <c r="AJ1142">
        <v>50</v>
      </c>
      <c r="AK1142">
        <v>19.66</v>
      </c>
      <c r="AL1142">
        <v>21.58</v>
      </c>
      <c r="AM1142">
        <v>19.059999999999999</v>
      </c>
      <c r="AN1142">
        <v>0.43212699999999998</v>
      </c>
      <c r="AO1142">
        <v>43.212721999999999</v>
      </c>
      <c r="AP1142">
        <v>100</v>
      </c>
      <c r="AQ1142">
        <v>0.31608799999999998</v>
      </c>
      <c r="AR1142">
        <v>31.608785000000001</v>
      </c>
      <c r="AS1142">
        <v>100</v>
      </c>
      <c r="AT1142">
        <v>0.41736400000000001</v>
      </c>
      <c r="AU1142">
        <v>0.450237</v>
      </c>
      <c r="AV1142">
        <v>41.736369000000003</v>
      </c>
      <c r="AW1142">
        <v>100</v>
      </c>
      <c r="AX1142">
        <v>0.30433500000000002</v>
      </c>
      <c r="AY1142">
        <v>0.33033099999999999</v>
      </c>
      <c r="AZ1142">
        <v>30.433503999999999</v>
      </c>
      <c r="BA1142">
        <v>100</v>
      </c>
      <c r="BB1142">
        <v>0.613896</v>
      </c>
      <c r="BC1142">
        <v>30.694803</v>
      </c>
      <c r="BD1142">
        <v>50</v>
      </c>
      <c r="BE1142">
        <v>0.44692300000000001</v>
      </c>
      <c r="BF1142">
        <v>22.346142</v>
      </c>
      <c r="BG1142">
        <v>50</v>
      </c>
      <c r="BH1142">
        <v>1</v>
      </c>
      <c r="BI1142">
        <v>0.97123899999999996</v>
      </c>
      <c r="BJ1142">
        <v>0.956175</v>
      </c>
      <c r="BK1142">
        <v>0.99004999999999999</v>
      </c>
      <c r="BL1142">
        <v>0.96909500000000004</v>
      </c>
      <c r="BM1142">
        <v>0.95219100000000001</v>
      </c>
      <c r="BN1142">
        <v>0.99009899999999995</v>
      </c>
      <c r="BO1142">
        <v>0.9</v>
      </c>
      <c r="BP1142">
        <v>0.86554600000000004</v>
      </c>
      <c r="BQ1142">
        <v>0.94059400000000004</v>
      </c>
      <c r="BR1142">
        <v>0.137076</v>
      </c>
      <c r="BS1142">
        <v>32.584856000000002</v>
      </c>
      <c r="BT1142">
        <v>50</v>
      </c>
      <c r="BU1142">
        <v>0.21052599999999999</v>
      </c>
      <c r="BV1142">
        <v>17.894736999999999</v>
      </c>
      <c r="BW1142">
        <v>50</v>
      </c>
      <c r="BX1142">
        <v>0.95767199999999997</v>
      </c>
      <c r="BY1142">
        <v>50</v>
      </c>
      <c r="BZ1142">
        <v>50</v>
      </c>
      <c r="CA1142">
        <v>0.56613800000000003</v>
      </c>
      <c r="CB1142">
        <v>37.742503999999997</v>
      </c>
      <c r="CC1142">
        <v>50</v>
      </c>
      <c r="CD1142">
        <v>0.95141699999999996</v>
      </c>
      <c r="CE1142">
        <v>50</v>
      </c>
      <c r="CF1142">
        <v>50</v>
      </c>
      <c r="CG1142">
        <v>0.93518500000000004</v>
      </c>
      <c r="CH1142">
        <v>99.487786</v>
      </c>
      <c r="CI1142">
        <v>100</v>
      </c>
      <c r="CJ1142">
        <v>0</v>
      </c>
      <c r="CK1142">
        <v>0.96296300000000001</v>
      </c>
      <c r="CL1142">
        <v>100</v>
      </c>
      <c r="CM1142">
        <v>100</v>
      </c>
      <c r="CN1142">
        <v>0.77358499999999997</v>
      </c>
      <c r="CO1142">
        <v>100</v>
      </c>
      <c r="CP1142">
        <v>100</v>
      </c>
      <c r="CQ1142">
        <v>0.57894699999999999</v>
      </c>
      <c r="CR1142">
        <v>0.74397599999999997</v>
      </c>
      <c r="CS1142">
        <v>19.298245999999999</v>
      </c>
      <c r="CT1142">
        <v>50</v>
      </c>
      <c r="CU1142">
        <v>0.50354600000000005</v>
      </c>
      <c r="CV1142">
        <v>41.962175000000002</v>
      </c>
      <c r="CW1142">
        <v>50</v>
      </c>
      <c r="CX1142">
        <v>0.96296300000000001</v>
      </c>
      <c r="CY1142">
        <v>0.94</v>
      </c>
      <c r="CZ1142">
        <v>-2.2963000000000001E-2</v>
      </c>
      <c r="DA1142">
        <v>15.314097</v>
      </c>
      <c r="DB1142">
        <v>17.400950000000002</v>
      </c>
      <c r="DC1142">
        <v>16.332519999999999</v>
      </c>
      <c r="DD1142">
        <v>7.9891730000000001</v>
      </c>
      <c r="DE1142">
        <v>1</v>
      </c>
      <c r="DF1142" t="s">
        <v>385</v>
      </c>
      <c r="DG1142" t="s">
        <v>418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Q1142" t="s">
        <v>126</v>
      </c>
    </row>
    <row r="1143" spans="1:121" x14ac:dyDescent="0.15">
      <c r="A1143">
        <v>2018</v>
      </c>
      <c r="B1143" t="s">
        <v>249</v>
      </c>
      <c r="C1143" t="str">
        <f t="shared" si="53"/>
        <v>2410014</v>
      </c>
      <c r="D1143" t="s">
        <v>1288</v>
      </c>
      <c r="E1143" t="str">
        <f>"2416514"</f>
        <v>2416514</v>
      </c>
      <c r="F1143" t="s">
        <v>1286</v>
      </c>
      <c r="G1143">
        <v>6</v>
      </c>
      <c r="H1143">
        <v>12</v>
      </c>
      <c r="I1143" t="s">
        <v>336</v>
      </c>
      <c r="J1143" t="s">
        <v>331</v>
      </c>
      <c r="K1143">
        <v>908.17864799999995</v>
      </c>
      <c r="L1143">
        <v>1450</v>
      </c>
      <c r="M1143">
        <v>62.633009999999999</v>
      </c>
      <c r="N1143">
        <v>3</v>
      </c>
      <c r="O1143">
        <v>1</v>
      </c>
      <c r="P1143">
        <v>58.744356000000003</v>
      </c>
      <c r="Q1143">
        <v>39.162903999999997</v>
      </c>
      <c r="R1143">
        <v>50</v>
      </c>
      <c r="S1143">
        <v>53.069828999999999</v>
      </c>
      <c r="T1143">
        <v>72.326010999999994</v>
      </c>
      <c r="U1143">
        <v>35.379885999999999</v>
      </c>
      <c r="V1143">
        <v>50</v>
      </c>
      <c r="W1143">
        <v>49.757975999999999</v>
      </c>
      <c r="X1143">
        <v>33.171984000000002</v>
      </c>
      <c r="Y1143">
        <v>50</v>
      </c>
      <c r="Z1143">
        <v>64.728408000000002</v>
      </c>
      <c r="AA1143">
        <v>43.541879999999999</v>
      </c>
      <c r="AB1143">
        <v>29.027920000000002</v>
      </c>
      <c r="AC1143">
        <v>50</v>
      </c>
      <c r="AD1143">
        <v>48.967441999999998</v>
      </c>
      <c r="AE1143">
        <v>32.644961000000002</v>
      </c>
      <c r="AF1143">
        <v>50</v>
      </c>
      <c r="AG1143">
        <v>45.996012999999998</v>
      </c>
      <c r="AH1143">
        <v>58.321936999999998</v>
      </c>
      <c r="AI1143">
        <v>30.664009</v>
      </c>
      <c r="AJ1143">
        <v>50</v>
      </c>
      <c r="AK1143">
        <v>19.25</v>
      </c>
      <c r="AL1143">
        <v>21.18</v>
      </c>
      <c r="AM1143">
        <v>12.32</v>
      </c>
      <c r="AN1143">
        <v>0.47656300000000001</v>
      </c>
      <c r="AO1143">
        <v>47.656331999999999</v>
      </c>
      <c r="AP1143">
        <v>100</v>
      </c>
      <c r="AQ1143">
        <v>0.41120699999999999</v>
      </c>
      <c r="AR1143">
        <v>41.120694999999998</v>
      </c>
      <c r="AS1143">
        <v>100</v>
      </c>
      <c r="AT1143">
        <v>0.42710799999999999</v>
      </c>
      <c r="AU1143">
        <v>0.57869899999999996</v>
      </c>
      <c r="AV1143">
        <v>42.710805999999998</v>
      </c>
      <c r="AW1143">
        <v>100</v>
      </c>
      <c r="AX1143">
        <v>0.33088099999999998</v>
      </c>
      <c r="AY1143">
        <v>0.57274099999999994</v>
      </c>
      <c r="AZ1143">
        <v>33.088143000000002</v>
      </c>
      <c r="BA1143">
        <v>100</v>
      </c>
      <c r="BB1143">
        <v>0.55409699999999995</v>
      </c>
      <c r="BC1143">
        <v>27.704854999999998</v>
      </c>
      <c r="BD1143">
        <v>50</v>
      </c>
      <c r="BE1143">
        <v>0.70448100000000002</v>
      </c>
      <c r="BF1143">
        <v>35.224027</v>
      </c>
      <c r="BG1143">
        <v>50</v>
      </c>
      <c r="BH1143">
        <v>0</v>
      </c>
      <c r="BI1143">
        <v>0.981043</v>
      </c>
      <c r="BJ1143">
        <v>0.98316499999999996</v>
      </c>
      <c r="BK1143">
        <v>0.97599999999999998</v>
      </c>
      <c r="BL1143">
        <v>0.969194</v>
      </c>
      <c r="BM1143">
        <v>0.97306400000000004</v>
      </c>
      <c r="BN1143">
        <v>0.96</v>
      </c>
      <c r="BO1143">
        <v>0.97816599999999998</v>
      </c>
      <c r="BP1143">
        <v>0.97142899999999999</v>
      </c>
      <c r="BQ1143">
        <v>1</v>
      </c>
      <c r="BR1143">
        <v>0.22838700000000001</v>
      </c>
      <c r="BS1143">
        <v>14.322581</v>
      </c>
      <c r="BT1143">
        <v>50</v>
      </c>
      <c r="BU1143">
        <v>0.27946799999999999</v>
      </c>
      <c r="BV1143">
        <v>4.1064639999999999</v>
      </c>
      <c r="BW1143">
        <v>50</v>
      </c>
      <c r="BX1143">
        <v>0.89090899999999995</v>
      </c>
      <c r="BY1143">
        <v>50</v>
      </c>
      <c r="BZ1143">
        <v>50</v>
      </c>
      <c r="CA1143">
        <v>0.25818200000000002</v>
      </c>
      <c r="CB1143">
        <v>17.212121</v>
      </c>
      <c r="CC1143">
        <v>50</v>
      </c>
      <c r="CD1143">
        <v>0.77500000000000002</v>
      </c>
      <c r="CE1143">
        <v>41.223404000000002</v>
      </c>
      <c r="CF1143">
        <v>50</v>
      </c>
      <c r="CG1143">
        <v>0.97023800000000004</v>
      </c>
      <c r="CH1143">
        <v>100</v>
      </c>
      <c r="CI1143">
        <v>100</v>
      </c>
      <c r="CJ1143">
        <v>0</v>
      </c>
      <c r="CK1143">
        <v>0.97058800000000001</v>
      </c>
      <c r="CL1143">
        <v>100</v>
      </c>
      <c r="CM1143">
        <v>100</v>
      </c>
      <c r="CN1143">
        <v>0.74233099999999996</v>
      </c>
      <c r="CO1143">
        <v>98.977504999999994</v>
      </c>
      <c r="CP1143">
        <v>100</v>
      </c>
      <c r="CQ1143">
        <v>0.35458200000000001</v>
      </c>
      <c r="CR1143">
        <v>0.77950299999999995</v>
      </c>
      <c r="CS1143">
        <v>11.819388999999999</v>
      </c>
      <c r="CT1143">
        <v>50</v>
      </c>
      <c r="CU1143">
        <v>0.51552799999999999</v>
      </c>
      <c r="CV1143">
        <v>42.960662999999997</v>
      </c>
      <c r="CW1143">
        <v>50</v>
      </c>
      <c r="CX1143">
        <v>0.97058800000000001</v>
      </c>
      <c r="CY1143" t="s">
        <v>125</v>
      </c>
      <c r="CZ1143" t="s">
        <v>125</v>
      </c>
      <c r="DA1143">
        <v>15.314097</v>
      </c>
      <c r="DB1143">
        <v>17.400950000000002</v>
      </c>
      <c r="DC1143">
        <v>16.332519999999999</v>
      </c>
      <c r="DD1143">
        <v>7.9891730000000001</v>
      </c>
      <c r="DE1143">
        <v>1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Q1143" t="s">
        <v>126</v>
      </c>
    </row>
    <row r="1144" spans="1:121" x14ac:dyDescent="0.15">
      <c r="A1144">
        <v>2018</v>
      </c>
      <c r="B1144" t="s">
        <v>249</v>
      </c>
      <c r="C1144" t="str">
        <f t="shared" si="53"/>
        <v>2410014</v>
      </c>
      <c r="D1144" t="s">
        <v>1289</v>
      </c>
      <c r="E1144" t="str">
        <f>"2410614"</f>
        <v>2410614</v>
      </c>
      <c r="F1144" t="s">
        <v>1286</v>
      </c>
      <c r="G1144" t="s">
        <v>329</v>
      </c>
      <c r="H1144">
        <v>5</v>
      </c>
      <c r="I1144" t="s">
        <v>336</v>
      </c>
      <c r="J1144" t="s">
        <v>331</v>
      </c>
      <c r="K1144">
        <v>611.05447600000002</v>
      </c>
      <c r="L1144">
        <v>950</v>
      </c>
      <c r="M1144">
        <v>64.321523999999997</v>
      </c>
      <c r="N1144">
        <v>3</v>
      </c>
      <c r="O1144">
        <v>0</v>
      </c>
      <c r="P1144">
        <v>71.814340999999999</v>
      </c>
      <c r="Q1144">
        <v>47.876227</v>
      </c>
      <c r="R1144">
        <v>50</v>
      </c>
      <c r="S1144">
        <v>67.296530000000004</v>
      </c>
      <c r="T1144">
        <v>75</v>
      </c>
      <c r="U1144">
        <v>44.864353000000001</v>
      </c>
      <c r="V1144">
        <v>50</v>
      </c>
      <c r="W1144">
        <v>66.501777000000004</v>
      </c>
      <c r="X1144">
        <v>44.334518000000003</v>
      </c>
      <c r="Y1144">
        <v>50</v>
      </c>
      <c r="Z1144">
        <v>75</v>
      </c>
      <c r="AA1144">
        <v>61.833224999999999</v>
      </c>
      <c r="AB1144">
        <v>41.222149999999999</v>
      </c>
      <c r="AC1144">
        <v>50</v>
      </c>
      <c r="AD1144">
        <v>58.317459999999997</v>
      </c>
      <c r="AE1144">
        <v>38.878307</v>
      </c>
      <c r="AF1144">
        <v>50</v>
      </c>
      <c r="AG1144">
        <v>55.574500999999998</v>
      </c>
      <c r="AH1144">
        <v>63.803379</v>
      </c>
      <c r="AI1144">
        <v>37.049666999999999</v>
      </c>
      <c r="AJ1144">
        <v>50</v>
      </c>
      <c r="AK1144">
        <v>7.7</v>
      </c>
      <c r="AL1144">
        <v>13.16</v>
      </c>
      <c r="AM1144">
        <v>8.2200000000000006</v>
      </c>
      <c r="AN1144">
        <v>0.62877799999999995</v>
      </c>
      <c r="AO1144">
        <v>62.877809999999997</v>
      </c>
      <c r="AP1144">
        <v>100</v>
      </c>
      <c r="AQ1144">
        <v>0.491651</v>
      </c>
      <c r="AR1144">
        <v>49.165149</v>
      </c>
      <c r="AS1144">
        <v>100</v>
      </c>
      <c r="AT1144">
        <v>0.599163</v>
      </c>
      <c r="AU1144">
        <v>0.68406</v>
      </c>
      <c r="AV1144">
        <v>59.916305999999999</v>
      </c>
      <c r="AW1144">
        <v>100</v>
      </c>
      <c r="AX1144">
        <v>0.42436099999999999</v>
      </c>
      <c r="AY1144">
        <v>0.61726000000000003</v>
      </c>
      <c r="AZ1144">
        <v>42.436107</v>
      </c>
      <c r="BA1144">
        <v>100</v>
      </c>
      <c r="BB1144">
        <v>1</v>
      </c>
      <c r="BC1144">
        <v>50</v>
      </c>
      <c r="BD1144">
        <v>50</v>
      </c>
      <c r="BE1144">
        <v>1</v>
      </c>
      <c r="BF1144">
        <v>50</v>
      </c>
      <c r="BG1144">
        <v>50</v>
      </c>
      <c r="BH1144">
        <v>0</v>
      </c>
      <c r="BI1144">
        <v>0.99484499999999998</v>
      </c>
      <c r="BJ1144">
        <v>1</v>
      </c>
      <c r="BK1144">
        <v>0.98412699999999997</v>
      </c>
      <c r="BL1144">
        <v>0.99484499999999998</v>
      </c>
      <c r="BM1144">
        <v>1</v>
      </c>
      <c r="BN1144">
        <v>0.98412699999999997</v>
      </c>
      <c r="BO1144">
        <v>0.984375</v>
      </c>
      <c r="BP1144">
        <v>1</v>
      </c>
      <c r="BQ1144">
        <v>0.95454499999999998</v>
      </c>
      <c r="BR1144">
        <v>0.197403</v>
      </c>
      <c r="BS1144">
        <v>20.519480999999999</v>
      </c>
      <c r="BT1144">
        <v>50</v>
      </c>
      <c r="BU1144">
        <v>0.24812000000000001</v>
      </c>
      <c r="BV1144">
        <v>10.37594</v>
      </c>
      <c r="BW1144">
        <v>50</v>
      </c>
      <c r="BX1144" t="s">
        <v>125</v>
      </c>
      <c r="BY1144" t="s">
        <v>125</v>
      </c>
      <c r="BZ1144" t="s">
        <v>125</v>
      </c>
      <c r="CA1144" t="s">
        <v>125</v>
      </c>
      <c r="CB1144" t="s">
        <v>125</v>
      </c>
      <c r="CC1144" t="s">
        <v>125</v>
      </c>
      <c r="CD1144" t="s">
        <v>125</v>
      </c>
      <c r="CE1144" t="s">
        <v>125</v>
      </c>
      <c r="CF1144" t="s">
        <v>125</v>
      </c>
      <c r="CG1144" t="s">
        <v>125</v>
      </c>
      <c r="CH1144" t="s">
        <v>125</v>
      </c>
      <c r="CI1144" t="s">
        <v>125</v>
      </c>
      <c r="CJ1144" t="s">
        <v>125</v>
      </c>
      <c r="CK1144" t="s">
        <v>125</v>
      </c>
      <c r="CL1144" t="s">
        <v>125</v>
      </c>
      <c r="CM1144" t="s">
        <v>125</v>
      </c>
      <c r="CN1144" t="s">
        <v>125</v>
      </c>
      <c r="CO1144" t="s">
        <v>125</v>
      </c>
      <c r="CP1144" t="s">
        <v>125</v>
      </c>
      <c r="CQ1144">
        <v>0.34615400000000002</v>
      </c>
      <c r="CR1144">
        <v>0.787879</v>
      </c>
      <c r="CS1144">
        <v>11.538462000000001</v>
      </c>
      <c r="CT1144">
        <v>50</v>
      </c>
      <c r="CU1144" t="s">
        <v>125</v>
      </c>
      <c r="CV1144" t="s">
        <v>125</v>
      </c>
      <c r="CW1144" t="s">
        <v>125</v>
      </c>
      <c r="CX1144" t="s">
        <v>125</v>
      </c>
      <c r="CY1144" t="s">
        <v>125</v>
      </c>
      <c r="CZ1144" t="s">
        <v>125</v>
      </c>
      <c r="DA1144">
        <v>15.314097</v>
      </c>
      <c r="DB1144">
        <v>17.400950000000002</v>
      </c>
      <c r="DC1144">
        <v>16.332519999999999</v>
      </c>
      <c r="DD1144" t="s">
        <v>125</v>
      </c>
      <c r="DE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Q1144" t="s">
        <v>126</v>
      </c>
    </row>
    <row r="1145" spans="1:121" x14ac:dyDescent="0.15">
      <c r="A1145">
        <v>2018</v>
      </c>
      <c r="B1145" t="s">
        <v>249</v>
      </c>
      <c r="C1145" t="str">
        <f t="shared" si="53"/>
        <v>2410014</v>
      </c>
      <c r="D1145" t="s">
        <v>1290</v>
      </c>
      <c r="E1145" t="str">
        <f>"2415214"</f>
        <v>2415214</v>
      </c>
      <c r="F1145" t="s">
        <v>1286</v>
      </c>
      <c r="G1145">
        <v>9</v>
      </c>
      <c r="H1145">
        <v>12</v>
      </c>
      <c r="I1145" t="s">
        <v>336</v>
      </c>
      <c r="J1145" t="s">
        <v>331</v>
      </c>
      <c r="K1145">
        <v>807.71224600000005</v>
      </c>
      <c r="L1145">
        <v>1450</v>
      </c>
      <c r="M1145">
        <v>55.704293</v>
      </c>
      <c r="N1145">
        <v>4</v>
      </c>
      <c r="O1145">
        <v>0</v>
      </c>
      <c r="P1145">
        <v>41.9375</v>
      </c>
      <c r="Q1145">
        <v>83.875</v>
      </c>
      <c r="R1145">
        <v>150</v>
      </c>
      <c r="S1145">
        <v>40.660713999999999</v>
      </c>
      <c r="T1145" t="s">
        <v>125</v>
      </c>
      <c r="U1145">
        <v>81.321428999999995</v>
      </c>
      <c r="V1145">
        <v>150</v>
      </c>
      <c r="W1145">
        <v>35.868827000000003</v>
      </c>
      <c r="X1145">
        <v>71.737654000000006</v>
      </c>
      <c r="Y1145">
        <v>150</v>
      </c>
      <c r="Z1145" t="s">
        <v>125</v>
      </c>
      <c r="AA1145">
        <v>34.462302000000001</v>
      </c>
      <c r="AB1145">
        <v>68.924603000000005</v>
      </c>
      <c r="AC1145">
        <v>150</v>
      </c>
      <c r="AD1145">
        <v>33.464474000000003</v>
      </c>
      <c r="AE1145">
        <v>44.619298999999998</v>
      </c>
      <c r="AF1145">
        <v>100</v>
      </c>
      <c r="AG1145">
        <v>31.234528999999998</v>
      </c>
      <c r="AH1145" t="s">
        <v>125</v>
      </c>
      <c r="AI1145">
        <v>41.646037999999997</v>
      </c>
      <c r="AJ1145">
        <v>100</v>
      </c>
      <c r="AK1145" t="s">
        <v>125</v>
      </c>
      <c r="AL1145" t="s">
        <v>125</v>
      </c>
      <c r="AM1145" t="s">
        <v>125</v>
      </c>
      <c r="AN1145" t="s">
        <v>125</v>
      </c>
      <c r="AO1145" t="s">
        <v>125</v>
      </c>
      <c r="AP1145" t="s">
        <v>125</v>
      </c>
      <c r="AQ1145" t="s">
        <v>125</v>
      </c>
      <c r="AR1145" t="s">
        <v>125</v>
      </c>
      <c r="AS1145" t="s">
        <v>125</v>
      </c>
      <c r="AT1145" t="s">
        <v>125</v>
      </c>
      <c r="AU1145" t="s">
        <v>125</v>
      </c>
      <c r="AV1145" t="s">
        <v>125</v>
      </c>
      <c r="AW1145" t="s">
        <v>125</v>
      </c>
      <c r="AX1145" t="s">
        <v>125</v>
      </c>
      <c r="AY1145" t="s">
        <v>125</v>
      </c>
      <c r="AZ1145" t="s">
        <v>125</v>
      </c>
      <c r="BA1145" t="s">
        <v>125</v>
      </c>
      <c r="BB1145" t="s">
        <v>125</v>
      </c>
      <c r="BC1145" t="s">
        <v>125</v>
      </c>
      <c r="BD1145" t="s">
        <v>125</v>
      </c>
      <c r="BE1145" t="s">
        <v>125</v>
      </c>
      <c r="BF1145" t="s">
        <v>125</v>
      </c>
      <c r="BG1145" t="s">
        <v>125</v>
      </c>
      <c r="BH1145">
        <v>1</v>
      </c>
      <c r="BI1145">
        <v>0.94736799999999999</v>
      </c>
      <c r="BJ1145">
        <v>0.93333299999999997</v>
      </c>
      <c r="BK1145" t="s">
        <v>125</v>
      </c>
      <c r="BL1145">
        <v>0.94736799999999999</v>
      </c>
      <c r="BM1145">
        <v>0.93333299999999997</v>
      </c>
      <c r="BN1145" t="s">
        <v>125</v>
      </c>
      <c r="BO1145">
        <v>0.96052599999999999</v>
      </c>
      <c r="BP1145">
        <v>0.95</v>
      </c>
      <c r="BQ1145" t="s">
        <v>125</v>
      </c>
      <c r="BR1145">
        <v>0.41104299999999999</v>
      </c>
      <c r="BS1145">
        <v>0</v>
      </c>
      <c r="BT1145">
        <v>50</v>
      </c>
      <c r="BU1145">
        <v>0.49576300000000001</v>
      </c>
      <c r="BV1145">
        <v>0</v>
      </c>
      <c r="BW1145">
        <v>50</v>
      </c>
      <c r="BX1145">
        <v>0.782609</v>
      </c>
      <c r="BY1145">
        <v>50</v>
      </c>
      <c r="BZ1145">
        <v>50</v>
      </c>
      <c r="CA1145">
        <v>7.2464000000000001E-2</v>
      </c>
      <c r="CB1145">
        <v>4.8309179999999996</v>
      </c>
      <c r="CC1145">
        <v>50</v>
      </c>
      <c r="CD1145">
        <v>0.90909099999999998</v>
      </c>
      <c r="CE1145">
        <v>48.355899000000001</v>
      </c>
      <c r="CF1145">
        <v>50</v>
      </c>
      <c r="CG1145">
        <v>0.89855099999999999</v>
      </c>
      <c r="CH1145">
        <v>95.590502999999998</v>
      </c>
      <c r="CI1145">
        <v>100</v>
      </c>
      <c r="CJ1145">
        <v>0</v>
      </c>
      <c r="CK1145">
        <v>0.87755099999999997</v>
      </c>
      <c r="CL1145">
        <v>93.356492000000003</v>
      </c>
      <c r="CM1145">
        <v>100</v>
      </c>
      <c r="CN1145">
        <v>0.53125</v>
      </c>
      <c r="CO1145">
        <v>70.833332999999996</v>
      </c>
      <c r="CP1145">
        <v>100</v>
      </c>
      <c r="CQ1145">
        <v>0.36585400000000001</v>
      </c>
      <c r="CR1145">
        <v>0.56944399999999995</v>
      </c>
      <c r="CS1145">
        <v>6.0975609999999998</v>
      </c>
      <c r="CT1145">
        <v>50</v>
      </c>
      <c r="CU1145">
        <v>0.55828199999999994</v>
      </c>
      <c r="CV1145">
        <v>46.523516999999998</v>
      </c>
      <c r="CW1145">
        <v>50</v>
      </c>
      <c r="CX1145">
        <v>0.87755099999999997</v>
      </c>
      <c r="CY1145" t="s">
        <v>125</v>
      </c>
      <c r="CZ1145" t="s">
        <v>125</v>
      </c>
      <c r="DA1145">
        <v>15.314097</v>
      </c>
      <c r="DB1145">
        <v>17.400950000000002</v>
      </c>
      <c r="DC1145">
        <v>16.332519999999999</v>
      </c>
      <c r="DD1145">
        <v>7.9891730000000001</v>
      </c>
      <c r="DE1145">
        <v>1</v>
      </c>
      <c r="DF1145" t="s">
        <v>385</v>
      </c>
      <c r="DG1145" t="s">
        <v>1291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Q1145" t="s">
        <v>126</v>
      </c>
    </row>
    <row r="1146" spans="1:121" x14ac:dyDescent="0.15">
      <c r="A1146">
        <v>2018</v>
      </c>
      <c r="B1146" t="s">
        <v>249</v>
      </c>
      <c r="C1146" t="str">
        <f t="shared" si="53"/>
        <v>2410014</v>
      </c>
      <c r="D1146" t="s">
        <v>1292</v>
      </c>
      <c r="E1146" t="str">
        <f>"2418114"</f>
        <v>2418114</v>
      </c>
      <c r="F1146" t="s">
        <v>1286</v>
      </c>
      <c r="G1146" t="s">
        <v>329</v>
      </c>
      <c r="H1146">
        <v>5</v>
      </c>
      <c r="I1146" t="s">
        <v>336</v>
      </c>
      <c r="J1146" t="s">
        <v>331</v>
      </c>
      <c r="K1146">
        <v>682.81004199999995</v>
      </c>
      <c r="L1146">
        <v>950</v>
      </c>
      <c r="M1146">
        <v>71.874741</v>
      </c>
      <c r="N1146">
        <v>2</v>
      </c>
      <c r="O1146">
        <v>0</v>
      </c>
      <c r="P1146">
        <v>71.882515999999995</v>
      </c>
      <c r="Q1146">
        <v>47.921677000000003</v>
      </c>
      <c r="R1146">
        <v>50</v>
      </c>
      <c r="S1146">
        <v>65.372111000000004</v>
      </c>
      <c r="T1146">
        <v>75</v>
      </c>
      <c r="U1146">
        <v>43.581406999999999</v>
      </c>
      <c r="V1146">
        <v>50</v>
      </c>
      <c r="W1146">
        <v>67.735742999999999</v>
      </c>
      <c r="X1146">
        <v>45.157162</v>
      </c>
      <c r="Y1146">
        <v>50</v>
      </c>
      <c r="Z1146">
        <v>75</v>
      </c>
      <c r="AA1146">
        <v>60.652977999999997</v>
      </c>
      <c r="AB1146">
        <v>40.435319</v>
      </c>
      <c r="AC1146">
        <v>50</v>
      </c>
      <c r="AD1146">
        <v>68.918835000000001</v>
      </c>
      <c r="AE1146">
        <v>45.945889999999999</v>
      </c>
      <c r="AF1146">
        <v>50</v>
      </c>
      <c r="AG1146">
        <v>62.317349999999998</v>
      </c>
      <c r="AH1146">
        <v>75</v>
      </c>
      <c r="AI1146">
        <v>41.544899999999998</v>
      </c>
      <c r="AJ1146">
        <v>50</v>
      </c>
      <c r="AK1146">
        <v>9.6199999999999992</v>
      </c>
      <c r="AL1146">
        <v>14.34</v>
      </c>
      <c r="AM1146">
        <v>12.68</v>
      </c>
      <c r="AN1146">
        <v>0.63680499999999995</v>
      </c>
      <c r="AO1146">
        <v>63.680467</v>
      </c>
      <c r="AP1146">
        <v>100</v>
      </c>
      <c r="AQ1146">
        <v>0.68774000000000002</v>
      </c>
      <c r="AR1146">
        <v>68.774028999999999</v>
      </c>
      <c r="AS1146">
        <v>100</v>
      </c>
      <c r="AT1146">
        <v>0.58222399999999996</v>
      </c>
      <c r="AU1146">
        <v>0.70477299999999998</v>
      </c>
      <c r="AV1146">
        <v>58.222392999999997</v>
      </c>
      <c r="AW1146">
        <v>100</v>
      </c>
      <c r="AX1146">
        <v>0.63340600000000002</v>
      </c>
      <c r="AY1146">
        <v>0.75540200000000002</v>
      </c>
      <c r="AZ1146">
        <v>63.340563000000003</v>
      </c>
      <c r="BA1146">
        <v>100</v>
      </c>
      <c r="BB1146">
        <v>0.55373099999999997</v>
      </c>
      <c r="BC1146">
        <v>27.68655</v>
      </c>
      <c r="BD1146">
        <v>50</v>
      </c>
      <c r="BE1146">
        <v>0.49106699999999998</v>
      </c>
      <c r="BF1146">
        <v>24.553346999999999</v>
      </c>
      <c r="BG1146">
        <v>50</v>
      </c>
      <c r="BH1146">
        <v>0</v>
      </c>
      <c r="BI1146">
        <v>0.98958299999999999</v>
      </c>
      <c r="BJ1146">
        <v>0.98148100000000005</v>
      </c>
      <c r="BK1146">
        <v>1</v>
      </c>
      <c r="BL1146">
        <v>0.98958299999999999</v>
      </c>
      <c r="BM1146">
        <v>0.98148100000000005</v>
      </c>
      <c r="BN1146">
        <v>1</v>
      </c>
      <c r="BO1146">
        <v>1</v>
      </c>
      <c r="BP1146">
        <v>1</v>
      </c>
      <c r="BQ1146">
        <v>1</v>
      </c>
      <c r="BR1146">
        <v>0.108586</v>
      </c>
      <c r="BS1146">
        <v>38.282828000000002</v>
      </c>
      <c r="BT1146">
        <v>50</v>
      </c>
      <c r="BU1146">
        <v>0.16595699999999999</v>
      </c>
      <c r="BV1146">
        <v>26.808510999999999</v>
      </c>
      <c r="BW1146">
        <v>50</v>
      </c>
      <c r="BX1146" t="s">
        <v>125</v>
      </c>
      <c r="BY1146" t="s">
        <v>125</v>
      </c>
      <c r="BZ1146" t="s">
        <v>125</v>
      </c>
      <c r="CA1146" t="s">
        <v>125</v>
      </c>
      <c r="CB1146" t="s">
        <v>125</v>
      </c>
      <c r="CC1146" t="s">
        <v>125</v>
      </c>
      <c r="CD1146" t="s">
        <v>125</v>
      </c>
      <c r="CE1146" t="s">
        <v>125</v>
      </c>
      <c r="CF1146" t="s">
        <v>125</v>
      </c>
      <c r="CG1146" t="s">
        <v>125</v>
      </c>
      <c r="CH1146" t="s">
        <v>125</v>
      </c>
      <c r="CI1146" t="s">
        <v>125</v>
      </c>
      <c r="CJ1146" t="s">
        <v>125</v>
      </c>
      <c r="CK1146" t="s">
        <v>125</v>
      </c>
      <c r="CL1146" t="s">
        <v>125</v>
      </c>
      <c r="CM1146" t="s">
        <v>125</v>
      </c>
      <c r="CN1146" t="s">
        <v>125</v>
      </c>
      <c r="CO1146" t="s">
        <v>125</v>
      </c>
      <c r="CP1146" t="s">
        <v>125</v>
      </c>
      <c r="CQ1146">
        <v>0.703125</v>
      </c>
      <c r="CR1146">
        <v>1.04918</v>
      </c>
      <c r="CS1146">
        <v>46.875</v>
      </c>
      <c r="CT1146">
        <v>50</v>
      </c>
      <c r="CU1146" t="s">
        <v>125</v>
      </c>
      <c r="CV1146" t="s">
        <v>125</v>
      </c>
      <c r="CW1146" t="s">
        <v>125</v>
      </c>
      <c r="CX1146" t="s">
        <v>125</v>
      </c>
      <c r="CY1146" t="s">
        <v>125</v>
      </c>
      <c r="CZ1146" t="s">
        <v>125</v>
      </c>
      <c r="DA1146">
        <v>15.314097</v>
      </c>
      <c r="DB1146">
        <v>17.400950000000002</v>
      </c>
      <c r="DC1146">
        <v>16.332519999999999</v>
      </c>
      <c r="DD1146" t="s">
        <v>125</v>
      </c>
      <c r="DE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Q1146" t="s">
        <v>126</v>
      </c>
    </row>
    <row r="1147" spans="1:121" x14ac:dyDescent="0.15">
      <c r="A1147">
        <v>2018</v>
      </c>
      <c r="B1147" t="s">
        <v>249</v>
      </c>
      <c r="C1147" t="str">
        <f t="shared" si="53"/>
        <v>2410014</v>
      </c>
      <c r="D1147" t="s">
        <v>1293</v>
      </c>
      <c r="E1147" t="str">
        <f>"2410114"</f>
        <v>2410114</v>
      </c>
      <c r="F1147" t="s">
        <v>1286</v>
      </c>
      <c r="G1147" t="s">
        <v>329</v>
      </c>
      <c r="H1147">
        <v>5</v>
      </c>
      <c r="I1147" t="s">
        <v>336</v>
      </c>
      <c r="J1147" t="s">
        <v>331</v>
      </c>
      <c r="K1147">
        <v>613.20522000000005</v>
      </c>
      <c r="L1147">
        <v>950</v>
      </c>
      <c r="M1147">
        <v>64.547917999999996</v>
      </c>
      <c r="N1147">
        <v>3</v>
      </c>
      <c r="O1147">
        <v>1</v>
      </c>
      <c r="P1147">
        <v>67.840312999999995</v>
      </c>
      <c r="Q1147">
        <v>45.226875999999997</v>
      </c>
      <c r="R1147">
        <v>50</v>
      </c>
      <c r="S1147">
        <v>58.751448000000003</v>
      </c>
      <c r="T1147">
        <v>75</v>
      </c>
      <c r="U1147">
        <v>39.167631999999998</v>
      </c>
      <c r="V1147">
        <v>50</v>
      </c>
      <c r="W1147">
        <v>59.628309000000002</v>
      </c>
      <c r="X1147">
        <v>39.752206000000001</v>
      </c>
      <c r="Y1147">
        <v>50</v>
      </c>
      <c r="Z1147">
        <v>75</v>
      </c>
      <c r="AA1147">
        <v>49.557389000000001</v>
      </c>
      <c r="AB1147">
        <v>33.038258999999996</v>
      </c>
      <c r="AC1147">
        <v>50</v>
      </c>
      <c r="AD1147">
        <v>61.764828000000001</v>
      </c>
      <c r="AE1147">
        <v>41.176552000000001</v>
      </c>
      <c r="AF1147">
        <v>50</v>
      </c>
      <c r="AG1147">
        <v>52.245775999999999</v>
      </c>
      <c r="AH1147">
        <v>75</v>
      </c>
      <c r="AI1147">
        <v>34.830517</v>
      </c>
      <c r="AJ1147">
        <v>50</v>
      </c>
      <c r="AK1147">
        <v>16.239999999999998</v>
      </c>
      <c r="AL1147">
        <v>25.44</v>
      </c>
      <c r="AM1147">
        <v>22.75</v>
      </c>
      <c r="AN1147">
        <v>0.65958099999999997</v>
      </c>
      <c r="AO1147">
        <v>65.958118999999996</v>
      </c>
      <c r="AP1147">
        <v>100</v>
      </c>
      <c r="AQ1147">
        <v>0.41719299999999998</v>
      </c>
      <c r="AR1147">
        <v>41.719318000000001</v>
      </c>
      <c r="AS1147">
        <v>100</v>
      </c>
      <c r="AT1147">
        <v>0.61795599999999995</v>
      </c>
      <c r="AU1147">
        <v>0.72201899999999997</v>
      </c>
      <c r="AV1147">
        <v>61.795566000000001</v>
      </c>
      <c r="AW1147">
        <v>100</v>
      </c>
      <c r="AX1147">
        <v>0.34107900000000002</v>
      </c>
      <c r="AY1147">
        <v>0.53136399999999995</v>
      </c>
      <c r="AZ1147">
        <v>34.107928999999999</v>
      </c>
      <c r="BA1147">
        <v>100</v>
      </c>
      <c r="BB1147">
        <v>0.79261899999999996</v>
      </c>
      <c r="BC1147">
        <v>39.630960999999999</v>
      </c>
      <c r="BD1147">
        <v>50</v>
      </c>
      <c r="BE1147">
        <v>0.51129199999999997</v>
      </c>
      <c r="BF1147">
        <v>25.564584</v>
      </c>
      <c r="BG1147">
        <v>50</v>
      </c>
      <c r="BH1147">
        <v>0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0.109375</v>
      </c>
      <c r="BS1147">
        <v>38.125</v>
      </c>
      <c r="BT1147">
        <v>50</v>
      </c>
      <c r="BU1147">
        <v>0.15319099999999999</v>
      </c>
      <c r="BV1147">
        <v>29.361702000000001</v>
      </c>
      <c r="BW1147">
        <v>50</v>
      </c>
      <c r="BX1147" t="s">
        <v>125</v>
      </c>
      <c r="BY1147" t="s">
        <v>125</v>
      </c>
      <c r="BZ1147" t="s">
        <v>125</v>
      </c>
      <c r="CA1147" t="s">
        <v>125</v>
      </c>
      <c r="CB1147" t="s">
        <v>125</v>
      </c>
      <c r="CC1147" t="s">
        <v>125</v>
      </c>
      <c r="CD1147" t="s">
        <v>125</v>
      </c>
      <c r="CE1147" t="s">
        <v>125</v>
      </c>
      <c r="CF1147" t="s">
        <v>125</v>
      </c>
      <c r="CG1147" t="s">
        <v>125</v>
      </c>
      <c r="CH1147" t="s">
        <v>125</v>
      </c>
      <c r="CI1147" t="s">
        <v>125</v>
      </c>
      <c r="CJ1147" t="s">
        <v>125</v>
      </c>
      <c r="CK1147" t="s">
        <v>125</v>
      </c>
      <c r="CL1147" t="s">
        <v>125</v>
      </c>
      <c r="CM1147" t="s">
        <v>125</v>
      </c>
      <c r="CN1147" t="s">
        <v>125</v>
      </c>
      <c r="CO1147" t="s">
        <v>125</v>
      </c>
      <c r="CP1147" t="s">
        <v>125</v>
      </c>
      <c r="CQ1147">
        <v>0.65625</v>
      </c>
      <c r="CR1147">
        <v>0.98461500000000002</v>
      </c>
      <c r="CS1147">
        <v>43.75</v>
      </c>
      <c r="CT1147">
        <v>50</v>
      </c>
      <c r="CU1147" t="s">
        <v>125</v>
      </c>
      <c r="CV1147" t="s">
        <v>125</v>
      </c>
      <c r="CW1147" t="s">
        <v>125</v>
      </c>
      <c r="CX1147" t="s">
        <v>125</v>
      </c>
      <c r="CY1147" t="s">
        <v>125</v>
      </c>
      <c r="CZ1147" t="s">
        <v>125</v>
      </c>
      <c r="DA1147">
        <v>15.314097</v>
      </c>
      <c r="DB1147">
        <v>17.400950000000002</v>
      </c>
      <c r="DC1147">
        <v>16.332519999999999</v>
      </c>
      <c r="DD1147" t="s">
        <v>125</v>
      </c>
      <c r="DE1147">
        <v>1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Q1147" t="s">
        <v>126</v>
      </c>
    </row>
    <row r="1148" spans="1:121" x14ac:dyDescent="0.15">
      <c r="A1148">
        <v>2018</v>
      </c>
      <c r="B1148" t="s">
        <v>249</v>
      </c>
      <c r="C1148" t="str">
        <f t="shared" si="53"/>
        <v>2410014</v>
      </c>
      <c r="D1148" t="s">
        <v>1294</v>
      </c>
      <c r="E1148" t="str">
        <f>"2416414"</f>
        <v>2416414</v>
      </c>
      <c r="F1148" t="s">
        <v>1286</v>
      </c>
      <c r="G1148">
        <v>9</v>
      </c>
      <c r="H1148">
        <v>12</v>
      </c>
      <c r="I1148" t="s">
        <v>336</v>
      </c>
      <c r="J1148" t="s">
        <v>331</v>
      </c>
      <c r="K1148">
        <v>910.19835399999999</v>
      </c>
      <c r="L1148">
        <v>1450</v>
      </c>
      <c r="M1148">
        <v>62.772300000000001</v>
      </c>
      <c r="N1148">
        <v>3</v>
      </c>
      <c r="O1148">
        <v>1</v>
      </c>
      <c r="P1148">
        <v>52.241100000000003</v>
      </c>
      <c r="Q1148">
        <v>104.482201</v>
      </c>
      <c r="R1148">
        <v>150</v>
      </c>
      <c r="S1148">
        <v>44.709676999999999</v>
      </c>
      <c r="T1148">
        <v>63.630080999999997</v>
      </c>
      <c r="U1148">
        <v>89.419354999999996</v>
      </c>
      <c r="V1148">
        <v>150</v>
      </c>
      <c r="W1148">
        <v>44.017798999999997</v>
      </c>
      <c r="X1148">
        <v>88.035599000000005</v>
      </c>
      <c r="Y1148">
        <v>150</v>
      </c>
      <c r="Z1148">
        <v>51.378048999999997</v>
      </c>
      <c r="AA1148">
        <v>39.150537999999997</v>
      </c>
      <c r="AB1148">
        <v>78.301074999999997</v>
      </c>
      <c r="AC1148">
        <v>150</v>
      </c>
      <c r="AD1148">
        <v>52.126269999999998</v>
      </c>
      <c r="AE1148">
        <v>69.501693000000003</v>
      </c>
      <c r="AF1148">
        <v>100</v>
      </c>
      <c r="AG1148">
        <v>45.835503000000003</v>
      </c>
      <c r="AH1148">
        <v>62.099437000000002</v>
      </c>
      <c r="AI1148">
        <v>61.114004000000001</v>
      </c>
      <c r="AJ1148">
        <v>100</v>
      </c>
      <c r="AK1148">
        <v>18.920000000000002</v>
      </c>
      <c r="AL1148">
        <v>12.22</v>
      </c>
      <c r="AM1148">
        <v>16.260000000000002</v>
      </c>
      <c r="AN1148" t="s">
        <v>125</v>
      </c>
      <c r="AO1148" t="s">
        <v>125</v>
      </c>
      <c r="AP1148" t="s">
        <v>125</v>
      </c>
      <c r="AQ1148" t="s">
        <v>125</v>
      </c>
      <c r="AR1148" t="s">
        <v>125</v>
      </c>
      <c r="AS1148" t="s">
        <v>125</v>
      </c>
      <c r="AT1148" t="s">
        <v>125</v>
      </c>
      <c r="AU1148" t="s">
        <v>125</v>
      </c>
      <c r="AV1148" t="s">
        <v>125</v>
      </c>
      <c r="AW1148" t="s">
        <v>125</v>
      </c>
      <c r="AX1148" t="s">
        <v>125</v>
      </c>
      <c r="AY1148" t="s">
        <v>125</v>
      </c>
      <c r="AZ1148" t="s">
        <v>125</v>
      </c>
      <c r="BA1148" t="s">
        <v>125</v>
      </c>
      <c r="BB1148" t="s">
        <v>125</v>
      </c>
      <c r="BC1148" t="s">
        <v>125</v>
      </c>
      <c r="BD1148" t="s">
        <v>125</v>
      </c>
      <c r="BE1148" t="s">
        <v>125</v>
      </c>
      <c r="BF1148" t="s">
        <v>125</v>
      </c>
      <c r="BG1148" t="s">
        <v>125</v>
      </c>
      <c r="BH1148">
        <v>1</v>
      </c>
      <c r="BI1148">
        <v>0.95412799999999998</v>
      </c>
      <c r="BJ1148">
        <v>0.925373</v>
      </c>
      <c r="BK1148">
        <v>1</v>
      </c>
      <c r="BL1148">
        <v>0.95412799999999998</v>
      </c>
      <c r="BM1148">
        <v>0.925373</v>
      </c>
      <c r="BN1148">
        <v>1</v>
      </c>
      <c r="BO1148">
        <v>0.98165100000000005</v>
      </c>
      <c r="BP1148">
        <v>0.97014900000000004</v>
      </c>
      <c r="BQ1148">
        <v>1</v>
      </c>
      <c r="BR1148">
        <v>0.42191099999999998</v>
      </c>
      <c r="BS1148">
        <v>0</v>
      </c>
      <c r="BT1148">
        <v>50</v>
      </c>
      <c r="BU1148">
        <v>0.50365000000000004</v>
      </c>
      <c r="BV1148">
        <v>0</v>
      </c>
      <c r="BW1148">
        <v>50</v>
      </c>
      <c r="BX1148">
        <v>0.41062799999999999</v>
      </c>
      <c r="BY1148">
        <v>27.375201000000001</v>
      </c>
      <c r="BZ1148">
        <v>50</v>
      </c>
      <c r="CA1148">
        <v>0.27053100000000002</v>
      </c>
      <c r="CB1148">
        <v>18.035426999999999</v>
      </c>
      <c r="CC1148">
        <v>50</v>
      </c>
      <c r="CD1148">
        <v>0.97368399999999999</v>
      </c>
      <c r="CE1148">
        <v>50</v>
      </c>
      <c r="CF1148">
        <v>50</v>
      </c>
      <c r="CG1148">
        <v>0.95412799999999998</v>
      </c>
      <c r="CH1148">
        <v>100</v>
      </c>
      <c r="CI1148">
        <v>100</v>
      </c>
      <c r="CJ1148">
        <v>0</v>
      </c>
      <c r="CK1148">
        <v>0.92307700000000004</v>
      </c>
      <c r="CL1148">
        <v>98.199673000000004</v>
      </c>
      <c r="CM1148">
        <v>100</v>
      </c>
      <c r="CN1148">
        <v>0.55238100000000001</v>
      </c>
      <c r="CO1148">
        <v>73.650794000000005</v>
      </c>
      <c r="CP1148">
        <v>100</v>
      </c>
      <c r="CQ1148">
        <v>6.25E-2</v>
      </c>
      <c r="CR1148">
        <v>0.74074099999999998</v>
      </c>
      <c r="CS1148">
        <v>2.0833330000000001</v>
      </c>
      <c r="CT1148">
        <v>50</v>
      </c>
      <c r="CU1148">
        <v>0.99533799999999995</v>
      </c>
      <c r="CV1148">
        <v>50</v>
      </c>
      <c r="CW1148">
        <v>50</v>
      </c>
      <c r="CX1148">
        <v>0.92307700000000004</v>
      </c>
      <c r="CY1148">
        <v>0.92105300000000001</v>
      </c>
      <c r="CZ1148">
        <v>-2.0240000000000002E-3</v>
      </c>
      <c r="DA1148">
        <v>15.314097</v>
      </c>
      <c r="DB1148">
        <v>17.400950000000002</v>
      </c>
      <c r="DC1148">
        <v>16.332519999999999</v>
      </c>
      <c r="DD1148">
        <v>7.9891730000000001</v>
      </c>
      <c r="DE1148">
        <v>1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Q1148" t="s">
        <v>126</v>
      </c>
    </row>
    <row r="1149" spans="1:121" x14ac:dyDescent="0.15">
      <c r="A1149">
        <v>2018</v>
      </c>
      <c r="B1149" t="s">
        <v>249</v>
      </c>
      <c r="C1149" t="str">
        <f t="shared" si="53"/>
        <v>2410014</v>
      </c>
      <c r="D1149" t="s">
        <v>1295</v>
      </c>
      <c r="E1149" t="str">
        <f>"2415314"</f>
        <v>2415314</v>
      </c>
      <c r="F1149" t="s">
        <v>1286</v>
      </c>
      <c r="G1149">
        <v>6</v>
      </c>
      <c r="H1149">
        <v>8</v>
      </c>
      <c r="I1149" t="s">
        <v>336</v>
      </c>
      <c r="J1149" t="s">
        <v>331</v>
      </c>
      <c r="K1149">
        <v>469.21818999999999</v>
      </c>
      <c r="L1149">
        <v>900</v>
      </c>
      <c r="M1149">
        <v>52.135354</v>
      </c>
      <c r="N1149">
        <v>3</v>
      </c>
      <c r="O1149">
        <v>1</v>
      </c>
      <c r="P1149">
        <v>58.266204000000002</v>
      </c>
      <c r="Q1149">
        <v>38.844135999999999</v>
      </c>
      <c r="R1149">
        <v>50</v>
      </c>
      <c r="S1149">
        <v>52.571319000000003</v>
      </c>
      <c r="T1149">
        <v>74.985802000000007</v>
      </c>
      <c r="U1149">
        <v>35.047545999999997</v>
      </c>
      <c r="V1149">
        <v>50</v>
      </c>
      <c r="W1149">
        <v>48.760142000000002</v>
      </c>
      <c r="X1149">
        <v>32.506760999999997</v>
      </c>
      <c r="Y1149">
        <v>50</v>
      </c>
      <c r="Z1149">
        <v>65.349005000000005</v>
      </c>
      <c r="AA1149">
        <v>43.029443999999998</v>
      </c>
      <c r="AB1149">
        <v>28.686295999999999</v>
      </c>
      <c r="AC1149">
        <v>50</v>
      </c>
      <c r="AD1149">
        <v>54.25752</v>
      </c>
      <c r="AE1149">
        <v>36.171680000000002</v>
      </c>
      <c r="AF1149">
        <v>50</v>
      </c>
      <c r="AG1149">
        <v>46.902025000000002</v>
      </c>
      <c r="AH1149">
        <v>69.205783999999994</v>
      </c>
      <c r="AI1149">
        <v>31.268017</v>
      </c>
      <c r="AJ1149">
        <v>50</v>
      </c>
      <c r="AK1149">
        <v>22.41</v>
      </c>
      <c r="AL1149">
        <v>22.31</v>
      </c>
      <c r="AM1149">
        <v>22.3</v>
      </c>
      <c r="AN1149">
        <v>0.42276000000000002</v>
      </c>
      <c r="AO1149">
        <v>42.276010999999997</v>
      </c>
      <c r="AP1149">
        <v>100</v>
      </c>
      <c r="AQ1149">
        <v>0.434867</v>
      </c>
      <c r="AR1149">
        <v>43.486713000000002</v>
      </c>
      <c r="AS1149">
        <v>100</v>
      </c>
      <c r="AT1149">
        <v>0.38941199999999998</v>
      </c>
      <c r="AU1149">
        <v>0.51562699999999995</v>
      </c>
      <c r="AV1149">
        <v>38.941245000000002</v>
      </c>
      <c r="AW1149">
        <v>100</v>
      </c>
      <c r="AX1149">
        <v>0.40041500000000002</v>
      </c>
      <c r="AY1149">
        <v>0.52806399999999998</v>
      </c>
      <c r="AZ1149">
        <v>40.041522000000001</v>
      </c>
      <c r="BA1149">
        <v>100</v>
      </c>
      <c r="BB1149" t="s">
        <v>125</v>
      </c>
      <c r="BC1149" t="s">
        <v>125</v>
      </c>
      <c r="BD1149" t="s">
        <v>125</v>
      </c>
      <c r="BE1149" t="s">
        <v>125</v>
      </c>
      <c r="BF1149" t="s">
        <v>125</v>
      </c>
      <c r="BG1149" t="s">
        <v>125</v>
      </c>
      <c r="BH1149">
        <v>1</v>
      </c>
      <c r="BI1149">
        <v>0.94769199999999998</v>
      </c>
      <c r="BJ1149">
        <v>0.96234299999999995</v>
      </c>
      <c r="BK1149">
        <v>0.90697700000000003</v>
      </c>
      <c r="BL1149">
        <v>0.91384600000000005</v>
      </c>
      <c r="BM1149">
        <v>0.92468600000000001</v>
      </c>
      <c r="BN1149">
        <v>0.88372099999999998</v>
      </c>
      <c r="BO1149">
        <v>0.94</v>
      </c>
      <c r="BP1149">
        <v>0.95454499999999998</v>
      </c>
      <c r="BQ1149">
        <v>0.91176500000000005</v>
      </c>
      <c r="BR1149">
        <v>0.191358</v>
      </c>
      <c r="BS1149">
        <v>21.728394999999999</v>
      </c>
      <c r="BT1149">
        <v>50</v>
      </c>
      <c r="BU1149">
        <v>0.23109199999999999</v>
      </c>
      <c r="BV1149">
        <v>13.781513</v>
      </c>
      <c r="BW1149">
        <v>50</v>
      </c>
      <c r="BX1149" t="s">
        <v>125</v>
      </c>
      <c r="BY1149" t="s">
        <v>125</v>
      </c>
      <c r="BZ1149" t="s">
        <v>125</v>
      </c>
      <c r="CA1149" t="s">
        <v>125</v>
      </c>
      <c r="CB1149" t="s">
        <v>125</v>
      </c>
      <c r="CC1149" t="s">
        <v>125</v>
      </c>
      <c r="CD1149">
        <v>0.953704</v>
      </c>
      <c r="CE1149">
        <v>50</v>
      </c>
      <c r="CF1149">
        <v>50</v>
      </c>
      <c r="CG1149" t="s">
        <v>125</v>
      </c>
      <c r="CH1149" t="s">
        <v>125</v>
      </c>
      <c r="CI1149" t="s">
        <v>125</v>
      </c>
      <c r="CJ1149" t="s">
        <v>125</v>
      </c>
      <c r="CK1149" t="s">
        <v>125</v>
      </c>
      <c r="CL1149" t="s">
        <v>125</v>
      </c>
      <c r="CM1149" t="s">
        <v>125</v>
      </c>
      <c r="CN1149" t="s">
        <v>125</v>
      </c>
      <c r="CO1149" t="s">
        <v>125</v>
      </c>
      <c r="CP1149" t="s">
        <v>125</v>
      </c>
      <c r="CQ1149">
        <v>0.24657499999999999</v>
      </c>
      <c r="CR1149">
        <v>0.99545499999999998</v>
      </c>
      <c r="CS1149">
        <v>16.438355999999999</v>
      </c>
      <c r="CT1149">
        <v>50</v>
      </c>
      <c r="CU1149" t="s">
        <v>125</v>
      </c>
      <c r="CV1149" t="s">
        <v>125</v>
      </c>
      <c r="CW1149" t="s">
        <v>125</v>
      </c>
      <c r="CX1149" t="s">
        <v>125</v>
      </c>
      <c r="CY1149" t="s">
        <v>125</v>
      </c>
      <c r="CZ1149" t="s">
        <v>125</v>
      </c>
      <c r="DA1149">
        <v>15.314097</v>
      </c>
      <c r="DB1149">
        <v>17.400950000000002</v>
      </c>
      <c r="DC1149">
        <v>16.332519999999999</v>
      </c>
      <c r="DD1149" t="s">
        <v>125</v>
      </c>
      <c r="DE1149">
        <v>1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Q1149" t="s">
        <v>126</v>
      </c>
    </row>
    <row r="1150" spans="1:121" x14ac:dyDescent="0.15">
      <c r="A1150">
        <v>2018</v>
      </c>
      <c r="B1150" t="s">
        <v>249</v>
      </c>
      <c r="C1150" t="str">
        <f t="shared" si="53"/>
        <v>2410014</v>
      </c>
      <c r="D1150" t="s">
        <v>1296</v>
      </c>
      <c r="E1150" t="str">
        <f>"2410414"</f>
        <v>2410414</v>
      </c>
      <c r="F1150" t="s">
        <v>1286</v>
      </c>
      <c r="G1150" t="s">
        <v>329</v>
      </c>
      <c r="H1150">
        <v>5</v>
      </c>
      <c r="I1150" t="s">
        <v>336</v>
      </c>
      <c r="J1150" t="s">
        <v>331</v>
      </c>
      <c r="K1150">
        <v>586.99392399999999</v>
      </c>
      <c r="L1150">
        <v>950</v>
      </c>
      <c r="M1150">
        <v>61.788834000000001</v>
      </c>
      <c r="N1150">
        <v>3</v>
      </c>
      <c r="O1150">
        <v>1</v>
      </c>
      <c r="P1150">
        <v>61.934888999999998</v>
      </c>
      <c r="Q1150">
        <v>41.289926000000001</v>
      </c>
      <c r="R1150">
        <v>50</v>
      </c>
      <c r="S1150">
        <v>57.114057000000003</v>
      </c>
      <c r="T1150">
        <v>75</v>
      </c>
      <c r="U1150">
        <v>38.076037999999997</v>
      </c>
      <c r="V1150">
        <v>50</v>
      </c>
      <c r="W1150">
        <v>59.052942999999999</v>
      </c>
      <c r="X1150">
        <v>39.368628999999999</v>
      </c>
      <c r="Y1150">
        <v>50</v>
      </c>
      <c r="Z1150">
        <v>73.143598999999995</v>
      </c>
      <c r="AA1150">
        <v>53.897824999999997</v>
      </c>
      <c r="AB1150">
        <v>35.931882999999999</v>
      </c>
      <c r="AC1150">
        <v>50</v>
      </c>
      <c r="AD1150">
        <v>55.007885000000002</v>
      </c>
      <c r="AE1150">
        <v>36.671923999999997</v>
      </c>
      <c r="AF1150">
        <v>50</v>
      </c>
      <c r="AG1150">
        <v>51.905017999999998</v>
      </c>
      <c r="AH1150" t="s">
        <v>125</v>
      </c>
      <c r="AI1150">
        <v>34.603344999999997</v>
      </c>
      <c r="AJ1150">
        <v>50</v>
      </c>
      <c r="AK1150">
        <v>17.88</v>
      </c>
      <c r="AL1150">
        <v>19.239999999999998</v>
      </c>
      <c r="AM1150" t="s">
        <v>125</v>
      </c>
      <c r="AN1150">
        <v>0.56491499999999994</v>
      </c>
      <c r="AO1150">
        <v>56.491539000000003</v>
      </c>
      <c r="AP1150">
        <v>100</v>
      </c>
      <c r="AQ1150">
        <v>0.52888599999999997</v>
      </c>
      <c r="AR1150">
        <v>52.888620000000003</v>
      </c>
      <c r="AS1150">
        <v>100</v>
      </c>
      <c r="AT1150">
        <v>0.54780700000000004</v>
      </c>
      <c r="AU1150">
        <v>0.60768599999999995</v>
      </c>
      <c r="AV1150">
        <v>54.780726999999999</v>
      </c>
      <c r="AW1150">
        <v>100</v>
      </c>
      <c r="AX1150">
        <v>0.52883800000000003</v>
      </c>
      <c r="AY1150">
        <v>0.52900499999999995</v>
      </c>
      <c r="AZ1150">
        <v>52.883817999999998</v>
      </c>
      <c r="BA1150">
        <v>100</v>
      </c>
      <c r="BB1150">
        <v>0.89463800000000004</v>
      </c>
      <c r="BC1150">
        <v>44.731906000000002</v>
      </c>
      <c r="BD1150">
        <v>50</v>
      </c>
      <c r="BE1150">
        <v>0.61492000000000002</v>
      </c>
      <c r="BF1150">
        <v>30.746015</v>
      </c>
      <c r="BG1150">
        <v>50</v>
      </c>
      <c r="BH1150">
        <v>0</v>
      </c>
      <c r="BI1150">
        <v>0.97687900000000005</v>
      </c>
      <c r="BJ1150">
        <v>0.98412699999999997</v>
      </c>
      <c r="BK1150">
        <v>0.95744700000000005</v>
      </c>
      <c r="BL1150">
        <v>0.97109800000000002</v>
      </c>
      <c r="BM1150">
        <v>0.97619</v>
      </c>
      <c r="BN1150">
        <v>0.95744700000000005</v>
      </c>
      <c r="BO1150">
        <v>0.97826100000000005</v>
      </c>
      <c r="BP1150">
        <v>0.97297299999999998</v>
      </c>
      <c r="BQ1150" t="s">
        <v>125</v>
      </c>
      <c r="BR1150">
        <v>0.16208800000000001</v>
      </c>
      <c r="BS1150">
        <v>27.582418000000001</v>
      </c>
      <c r="BT1150">
        <v>50</v>
      </c>
      <c r="BU1150">
        <v>0.22026399999999999</v>
      </c>
      <c r="BV1150">
        <v>15.947137</v>
      </c>
      <c r="BW1150">
        <v>50</v>
      </c>
      <c r="BX1150" t="s">
        <v>125</v>
      </c>
      <c r="BY1150" t="s">
        <v>125</v>
      </c>
      <c r="BZ1150" t="s">
        <v>125</v>
      </c>
      <c r="CA1150" t="s">
        <v>125</v>
      </c>
      <c r="CB1150" t="s">
        <v>125</v>
      </c>
      <c r="CC1150" t="s">
        <v>125</v>
      </c>
      <c r="CD1150" t="s">
        <v>125</v>
      </c>
      <c r="CE1150" t="s">
        <v>125</v>
      </c>
      <c r="CF1150" t="s">
        <v>125</v>
      </c>
      <c r="CG1150" t="s">
        <v>125</v>
      </c>
      <c r="CH1150" t="s">
        <v>125</v>
      </c>
      <c r="CI1150" t="s">
        <v>125</v>
      </c>
      <c r="CJ1150" t="s">
        <v>125</v>
      </c>
      <c r="CK1150" t="s">
        <v>125</v>
      </c>
      <c r="CL1150" t="s">
        <v>125</v>
      </c>
      <c r="CM1150" t="s">
        <v>125</v>
      </c>
      <c r="CN1150" t="s">
        <v>125</v>
      </c>
      <c r="CO1150" t="s">
        <v>125</v>
      </c>
      <c r="CP1150" t="s">
        <v>125</v>
      </c>
      <c r="CQ1150">
        <v>0.375</v>
      </c>
      <c r="CR1150">
        <v>1.0322579999999999</v>
      </c>
      <c r="CS1150">
        <v>25</v>
      </c>
      <c r="CT1150">
        <v>50</v>
      </c>
      <c r="CU1150" t="s">
        <v>125</v>
      </c>
      <c r="CV1150" t="s">
        <v>125</v>
      </c>
      <c r="CW1150" t="s">
        <v>125</v>
      </c>
      <c r="CX1150" t="s">
        <v>125</v>
      </c>
      <c r="CY1150" t="s">
        <v>125</v>
      </c>
      <c r="CZ1150" t="s">
        <v>125</v>
      </c>
      <c r="DA1150">
        <v>15.314097</v>
      </c>
      <c r="DB1150">
        <v>17.400950000000002</v>
      </c>
      <c r="DC1150">
        <v>16.332519999999999</v>
      </c>
      <c r="DD1150" t="s">
        <v>125</v>
      </c>
      <c r="DE1150">
        <v>1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Q1150" t="s">
        <v>126</v>
      </c>
    </row>
    <row r="1151" spans="1:121" x14ac:dyDescent="0.15">
      <c r="A1151">
        <v>2018</v>
      </c>
      <c r="B1151" t="s">
        <v>249</v>
      </c>
      <c r="C1151" t="str">
        <f t="shared" si="53"/>
        <v>2410014</v>
      </c>
      <c r="D1151" t="s">
        <v>1297</v>
      </c>
      <c r="E1151" t="str">
        <f>"2416114"</f>
        <v>2416114</v>
      </c>
      <c r="F1151" t="s">
        <v>1286</v>
      </c>
      <c r="G1151">
        <v>6</v>
      </c>
      <c r="H1151">
        <v>12</v>
      </c>
      <c r="I1151" t="s">
        <v>336</v>
      </c>
      <c r="J1151" t="s">
        <v>331</v>
      </c>
      <c r="K1151">
        <v>973.56028400000002</v>
      </c>
      <c r="L1151">
        <v>1350</v>
      </c>
      <c r="M1151">
        <v>72.115577000000002</v>
      </c>
      <c r="N1151">
        <v>2</v>
      </c>
      <c r="O1151">
        <v>0</v>
      </c>
      <c r="P1151">
        <v>63.680235000000003</v>
      </c>
      <c r="Q1151">
        <v>42.453490000000002</v>
      </c>
      <c r="R1151">
        <v>50</v>
      </c>
      <c r="S1151">
        <v>58.939658999999999</v>
      </c>
      <c r="T1151">
        <v>70.921972999999994</v>
      </c>
      <c r="U1151">
        <v>39.293106000000002</v>
      </c>
      <c r="V1151">
        <v>50</v>
      </c>
      <c r="W1151">
        <v>51.145302000000001</v>
      </c>
      <c r="X1151">
        <v>34.096868000000001</v>
      </c>
      <c r="Y1151">
        <v>50</v>
      </c>
      <c r="Z1151">
        <v>58.277473000000001</v>
      </c>
      <c r="AA1151">
        <v>46.476450999999997</v>
      </c>
      <c r="AB1151">
        <v>30.984300999999999</v>
      </c>
      <c r="AC1151">
        <v>50</v>
      </c>
      <c r="AD1151">
        <v>52.689031</v>
      </c>
      <c r="AE1151">
        <v>35.126021000000001</v>
      </c>
      <c r="AF1151">
        <v>50</v>
      </c>
      <c r="AG1151">
        <v>48.465282000000002</v>
      </c>
      <c r="AH1151">
        <v>58.338296</v>
      </c>
      <c r="AI1151">
        <v>32.310187999999997</v>
      </c>
      <c r="AJ1151">
        <v>50</v>
      </c>
      <c r="AK1151">
        <v>11.98</v>
      </c>
      <c r="AL1151">
        <v>11.8</v>
      </c>
      <c r="AM1151">
        <v>9.8699999999999992</v>
      </c>
      <c r="AN1151">
        <v>0.51257699999999995</v>
      </c>
      <c r="AO1151">
        <v>51.257665000000003</v>
      </c>
      <c r="AP1151">
        <v>100</v>
      </c>
      <c r="AQ1151">
        <v>0.40307399999999999</v>
      </c>
      <c r="AR1151">
        <v>40.307429999999997</v>
      </c>
      <c r="AS1151">
        <v>100</v>
      </c>
      <c r="AT1151">
        <v>0.49289699999999997</v>
      </c>
      <c r="AU1151">
        <v>0.54722700000000002</v>
      </c>
      <c r="AV1151">
        <v>49.289684000000001</v>
      </c>
      <c r="AW1151">
        <v>100</v>
      </c>
      <c r="AX1151">
        <v>0.389378</v>
      </c>
      <c r="AY1151">
        <v>0.426869</v>
      </c>
      <c r="AZ1151">
        <v>38.937758000000002</v>
      </c>
      <c r="BA1151">
        <v>100</v>
      </c>
      <c r="BB1151" t="s">
        <v>125</v>
      </c>
      <c r="BC1151" t="s">
        <v>125</v>
      </c>
      <c r="BD1151" t="s">
        <v>125</v>
      </c>
      <c r="BE1151" t="s">
        <v>125</v>
      </c>
      <c r="BF1151" t="s">
        <v>125</v>
      </c>
      <c r="BG1151" t="s">
        <v>125</v>
      </c>
      <c r="BH1151">
        <v>0</v>
      </c>
      <c r="BI1151">
        <v>0.98568</v>
      </c>
      <c r="BJ1151">
        <v>0.98039200000000004</v>
      </c>
      <c r="BK1151">
        <v>0.99390199999999995</v>
      </c>
      <c r="BL1151">
        <v>0.98568</v>
      </c>
      <c r="BM1151">
        <v>0.98039200000000004</v>
      </c>
      <c r="BN1151">
        <v>0.99390199999999995</v>
      </c>
      <c r="BO1151">
        <v>0.97395799999999999</v>
      </c>
      <c r="BP1151">
        <v>0.99074099999999998</v>
      </c>
      <c r="BQ1151">
        <v>0.95238100000000003</v>
      </c>
      <c r="BR1151">
        <v>0.124457</v>
      </c>
      <c r="BS1151">
        <v>35.108538000000003</v>
      </c>
      <c r="BT1151">
        <v>50</v>
      </c>
      <c r="BU1151">
        <v>0.163462</v>
      </c>
      <c r="BV1151">
        <v>27.307691999999999</v>
      </c>
      <c r="BW1151">
        <v>50</v>
      </c>
      <c r="BX1151">
        <v>1</v>
      </c>
      <c r="BY1151">
        <v>50</v>
      </c>
      <c r="BZ1151">
        <v>50</v>
      </c>
      <c r="CA1151">
        <v>0.375</v>
      </c>
      <c r="CB1151">
        <v>25</v>
      </c>
      <c r="CC1151">
        <v>50</v>
      </c>
      <c r="CD1151">
        <v>0.97029699999999997</v>
      </c>
      <c r="CE1151">
        <v>50</v>
      </c>
      <c r="CF1151">
        <v>50</v>
      </c>
      <c r="CG1151">
        <v>0.986842</v>
      </c>
      <c r="CH1151">
        <v>100</v>
      </c>
      <c r="CI1151">
        <v>100</v>
      </c>
      <c r="CJ1151">
        <v>0</v>
      </c>
      <c r="CK1151">
        <v>0.96551699999999996</v>
      </c>
      <c r="CL1151">
        <v>100</v>
      </c>
      <c r="CM1151">
        <v>100</v>
      </c>
      <c r="CN1151">
        <v>0.72727299999999995</v>
      </c>
      <c r="CO1151">
        <v>96.969696999999996</v>
      </c>
      <c r="CP1151">
        <v>100</v>
      </c>
      <c r="CQ1151">
        <v>0.67676800000000004</v>
      </c>
      <c r="CR1151">
        <v>0.96428599999999998</v>
      </c>
      <c r="CS1151">
        <v>45.117845000000003</v>
      </c>
      <c r="CT1151">
        <v>50</v>
      </c>
      <c r="CU1151">
        <v>0.72857099999999997</v>
      </c>
      <c r="CV1151">
        <v>50</v>
      </c>
      <c r="CW1151">
        <v>50</v>
      </c>
      <c r="CX1151">
        <v>0.96551699999999996</v>
      </c>
      <c r="CY1151">
        <v>0.94</v>
      </c>
      <c r="CZ1151">
        <v>-2.5517000000000001E-2</v>
      </c>
      <c r="DA1151">
        <v>15.314097</v>
      </c>
      <c r="DB1151">
        <v>17.400950000000002</v>
      </c>
      <c r="DC1151">
        <v>16.332519999999999</v>
      </c>
      <c r="DD1151">
        <v>7.9891730000000001</v>
      </c>
      <c r="DE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Q1151" t="s">
        <v>126</v>
      </c>
    </row>
    <row r="1152" spans="1:121" x14ac:dyDescent="0.15">
      <c r="A1152">
        <v>2018</v>
      </c>
      <c r="B1152" t="s">
        <v>249</v>
      </c>
      <c r="C1152" t="str">
        <f t="shared" si="53"/>
        <v>2410014</v>
      </c>
      <c r="D1152" t="s">
        <v>1298</v>
      </c>
      <c r="E1152" t="str">
        <f>"2413114"</f>
        <v>2413114</v>
      </c>
      <c r="F1152" t="s">
        <v>1286</v>
      </c>
      <c r="G1152" t="s">
        <v>329</v>
      </c>
      <c r="H1152">
        <v>6</v>
      </c>
      <c r="I1152" t="s">
        <v>336</v>
      </c>
      <c r="J1152" t="s">
        <v>331</v>
      </c>
      <c r="K1152">
        <v>562.561328</v>
      </c>
      <c r="L1152">
        <v>950</v>
      </c>
      <c r="M1152">
        <v>59.216982000000002</v>
      </c>
      <c r="N1152">
        <v>3</v>
      </c>
      <c r="O1152">
        <v>1</v>
      </c>
      <c r="P1152">
        <v>63.099167000000001</v>
      </c>
      <c r="Q1152">
        <v>42.066110999999999</v>
      </c>
      <c r="R1152">
        <v>50</v>
      </c>
      <c r="S1152">
        <v>57.608756999999997</v>
      </c>
      <c r="T1152">
        <v>75</v>
      </c>
      <c r="U1152">
        <v>38.405838000000003</v>
      </c>
      <c r="V1152">
        <v>50</v>
      </c>
      <c r="W1152">
        <v>54.670673999999998</v>
      </c>
      <c r="X1152">
        <v>36.447116000000001</v>
      </c>
      <c r="Y1152">
        <v>50</v>
      </c>
      <c r="Z1152">
        <v>69.088452000000004</v>
      </c>
      <c r="AA1152">
        <v>48.280976000000003</v>
      </c>
      <c r="AB1152">
        <v>32.187317999999998</v>
      </c>
      <c r="AC1152">
        <v>50</v>
      </c>
      <c r="AD1152">
        <v>58.067383999999997</v>
      </c>
      <c r="AE1152">
        <v>38.711588999999996</v>
      </c>
      <c r="AF1152">
        <v>50</v>
      </c>
      <c r="AG1152">
        <v>52.560484000000002</v>
      </c>
      <c r="AH1152" t="s">
        <v>125</v>
      </c>
      <c r="AI1152">
        <v>35.040323000000001</v>
      </c>
      <c r="AJ1152">
        <v>50</v>
      </c>
      <c r="AK1152">
        <v>17.39</v>
      </c>
      <c r="AL1152">
        <v>20.8</v>
      </c>
      <c r="AM1152" t="s">
        <v>125</v>
      </c>
      <c r="AN1152">
        <v>0.50055499999999997</v>
      </c>
      <c r="AO1152">
        <v>50.055467999999998</v>
      </c>
      <c r="AP1152">
        <v>100</v>
      </c>
      <c r="AQ1152">
        <v>0.47256799999999999</v>
      </c>
      <c r="AR1152">
        <v>47.256807999999999</v>
      </c>
      <c r="AS1152">
        <v>100</v>
      </c>
      <c r="AT1152">
        <v>0.47620699999999999</v>
      </c>
      <c r="AU1152">
        <v>0.55955100000000002</v>
      </c>
      <c r="AV1152">
        <v>47.620719999999999</v>
      </c>
      <c r="AW1152">
        <v>100</v>
      </c>
      <c r="AX1152">
        <v>0.38419399999999998</v>
      </c>
      <c r="AY1152">
        <v>0.68670600000000004</v>
      </c>
      <c r="AZ1152">
        <v>38.419376999999997</v>
      </c>
      <c r="BA1152">
        <v>100</v>
      </c>
      <c r="BB1152">
        <v>0.73048000000000002</v>
      </c>
      <c r="BC1152">
        <v>36.523978</v>
      </c>
      <c r="BD1152">
        <v>50</v>
      </c>
      <c r="BE1152">
        <v>0.53496100000000002</v>
      </c>
      <c r="BF1152">
        <v>26.748031999999998</v>
      </c>
      <c r="BG1152">
        <v>50</v>
      </c>
      <c r="BH1152">
        <v>1</v>
      </c>
      <c r="BI1152">
        <v>0.96240599999999998</v>
      </c>
      <c r="BJ1152">
        <v>0.94680900000000001</v>
      </c>
      <c r="BK1152">
        <v>1</v>
      </c>
      <c r="BL1152">
        <v>0.95488700000000004</v>
      </c>
      <c r="BM1152">
        <v>0.93616999999999995</v>
      </c>
      <c r="BN1152">
        <v>1</v>
      </c>
      <c r="BO1152">
        <v>0.97826100000000005</v>
      </c>
      <c r="BP1152">
        <v>0.96969700000000003</v>
      </c>
      <c r="BQ1152" t="s">
        <v>125</v>
      </c>
      <c r="BR1152">
        <v>0.157303</v>
      </c>
      <c r="BS1152">
        <v>28.539325999999999</v>
      </c>
      <c r="BT1152">
        <v>50</v>
      </c>
      <c r="BU1152">
        <v>0.157303</v>
      </c>
      <c r="BV1152">
        <v>28.539325999999999</v>
      </c>
      <c r="BW1152">
        <v>50</v>
      </c>
      <c r="BX1152" t="s">
        <v>125</v>
      </c>
      <c r="BY1152" t="s">
        <v>125</v>
      </c>
      <c r="BZ1152" t="s">
        <v>125</v>
      </c>
      <c r="CA1152" t="s">
        <v>125</v>
      </c>
      <c r="CB1152" t="s">
        <v>125</v>
      </c>
      <c r="CC1152" t="s">
        <v>125</v>
      </c>
      <c r="CD1152" t="s">
        <v>125</v>
      </c>
      <c r="CE1152" t="s">
        <v>125</v>
      </c>
      <c r="CF1152" t="s">
        <v>125</v>
      </c>
      <c r="CG1152" t="s">
        <v>125</v>
      </c>
      <c r="CH1152" t="s">
        <v>125</v>
      </c>
      <c r="CI1152" t="s">
        <v>125</v>
      </c>
      <c r="CJ1152" t="s">
        <v>125</v>
      </c>
      <c r="CK1152" t="s">
        <v>125</v>
      </c>
      <c r="CL1152" t="s">
        <v>125</v>
      </c>
      <c r="CM1152" t="s">
        <v>125</v>
      </c>
      <c r="CN1152" t="s">
        <v>125</v>
      </c>
      <c r="CO1152" t="s">
        <v>125</v>
      </c>
      <c r="CP1152" t="s">
        <v>125</v>
      </c>
      <c r="CQ1152">
        <v>0.54</v>
      </c>
      <c r="CR1152">
        <v>1</v>
      </c>
      <c r="CS1152">
        <v>36</v>
      </c>
      <c r="CT1152">
        <v>50</v>
      </c>
      <c r="CU1152" t="s">
        <v>125</v>
      </c>
      <c r="CV1152" t="s">
        <v>125</v>
      </c>
      <c r="CW1152" t="s">
        <v>125</v>
      </c>
      <c r="CX1152" t="s">
        <v>125</v>
      </c>
      <c r="CY1152" t="s">
        <v>125</v>
      </c>
      <c r="CZ1152" t="s">
        <v>125</v>
      </c>
      <c r="DA1152">
        <v>15.314097</v>
      </c>
      <c r="DB1152">
        <v>17.400950000000002</v>
      </c>
      <c r="DC1152">
        <v>16.332519999999999</v>
      </c>
      <c r="DD1152" t="s">
        <v>125</v>
      </c>
      <c r="DE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Q1152" t="s">
        <v>126</v>
      </c>
    </row>
    <row r="1153" spans="1:121" x14ac:dyDescent="0.15">
      <c r="A1153">
        <v>2018</v>
      </c>
      <c r="B1153" t="s">
        <v>249</v>
      </c>
      <c r="C1153" t="str">
        <f t="shared" si="53"/>
        <v>2410014</v>
      </c>
      <c r="D1153" t="s">
        <v>1299</v>
      </c>
      <c r="E1153" t="str">
        <f>"2410514"</f>
        <v>2410514</v>
      </c>
      <c r="F1153" t="s">
        <v>1286</v>
      </c>
      <c r="G1153" t="s">
        <v>329</v>
      </c>
      <c r="H1153">
        <v>5</v>
      </c>
      <c r="I1153" t="s">
        <v>336</v>
      </c>
      <c r="J1153" t="s">
        <v>331</v>
      </c>
      <c r="K1153">
        <v>669.569659</v>
      </c>
      <c r="L1153">
        <v>950</v>
      </c>
      <c r="M1153">
        <v>70.481016999999994</v>
      </c>
      <c r="N1153">
        <v>2</v>
      </c>
      <c r="O1153">
        <v>0</v>
      </c>
      <c r="P1153">
        <v>71.080223000000004</v>
      </c>
      <c r="Q1153">
        <v>47.386814999999999</v>
      </c>
      <c r="R1153">
        <v>50</v>
      </c>
      <c r="S1153">
        <v>66.104028</v>
      </c>
      <c r="T1153">
        <v>75</v>
      </c>
      <c r="U1153">
        <v>44.069352000000002</v>
      </c>
      <c r="V1153">
        <v>50</v>
      </c>
      <c r="W1153">
        <v>67.371212</v>
      </c>
      <c r="X1153">
        <v>44.914141000000001</v>
      </c>
      <c r="Y1153">
        <v>50</v>
      </c>
      <c r="Z1153">
        <v>75</v>
      </c>
      <c r="AA1153">
        <v>61.674016999999999</v>
      </c>
      <c r="AB1153">
        <v>41.116011999999998</v>
      </c>
      <c r="AC1153">
        <v>50</v>
      </c>
      <c r="AD1153">
        <v>63.568482000000003</v>
      </c>
      <c r="AE1153">
        <v>42.378988</v>
      </c>
      <c r="AF1153">
        <v>50</v>
      </c>
      <c r="AG1153">
        <v>60.540942999999999</v>
      </c>
      <c r="AH1153">
        <v>68.935484000000002</v>
      </c>
      <c r="AI1153">
        <v>40.360629000000003</v>
      </c>
      <c r="AJ1153">
        <v>50</v>
      </c>
      <c r="AK1153">
        <v>8.89</v>
      </c>
      <c r="AL1153">
        <v>13.32</v>
      </c>
      <c r="AM1153">
        <v>8.39</v>
      </c>
      <c r="AN1153">
        <v>0.63617500000000005</v>
      </c>
      <c r="AO1153">
        <v>63.617503999999997</v>
      </c>
      <c r="AP1153">
        <v>100</v>
      </c>
      <c r="AQ1153">
        <v>0.65461899999999995</v>
      </c>
      <c r="AR1153">
        <v>65.461911000000001</v>
      </c>
      <c r="AS1153">
        <v>100</v>
      </c>
      <c r="AT1153">
        <v>0.63689799999999996</v>
      </c>
      <c r="AU1153">
        <v>0.63490199999999997</v>
      </c>
      <c r="AV1153">
        <v>63.689776999999999</v>
      </c>
      <c r="AW1153">
        <v>100</v>
      </c>
      <c r="AX1153">
        <v>0.59690699999999997</v>
      </c>
      <c r="AY1153">
        <v>0.75630200000000003</v>
      </c>
      <c r="AZ1153">
        <v>59.690693000000003</v>
      </c>
      <c r="BA1153">
        <v>100</v>
      </c>
      <c r="BB1153">
        <v>0.479659</v>
      </c>
      <c r="BC1153">
        <v>23.982975</v>
      </c>
      <c r="BD1153">
        <v>50</v>
      </c>
      <c r="BE1153">
        <v>0.47160800000000003</v>
      </c>
      <c r="BF1153">
        <v>23.580380000000002</v>
      </c>
      <c r="BG1153">
        <v>50</v>
      </c>
      <c r="BH1153">
        <v>0</v>
      </c>
      <c r="BI1153">
        <v>0.98395699999999997</v>
      </c>
      <c r="BJ1153">
        <v>0.98387100000000005</v>
      </c>
      <c r="BK1153">
        <v>0.98412699999999997</v>
      </c>
      <c r="BL1153">
        <v>0.98395699999999997</v>
      </c>
      <c r="BM1153">
        <v>0.98387100000000005</v>
      </c>
      <c r="BN1153">
        <v>0.98412699999999997</v>
      </c>
      <c r="BO1153">
        <v>1</v>
      </c>
      <c r="BP1153">
        <v>1</v>
      </c>
      <c r="BQ1153">
        <v>1</v>
      </c>
      <c r="BR1153">
        <v>7.5915999999999997E-2</v>
      </c>
      <c r="BS1153">
        <v>44.816754000000003</v>
      </c>
      <c r="BT1153">
        <v>50</v>
      </c>
      <c r="BU1153">
        <v>0.108434</v>
      </c>
      <c r="BV1153">
        <v>38.313253000000003</v>
      </c>
      <c r="BW1153">
        <v>50</v>
      </c>
      <c r="BX1153" t="s">
        <v>125</v>
      </c>
      <c r="BY1153" t="s">
        <v>125</v>
      </c>
      <c r="BZ1153" t="s">
        <v>125</v>
      </c>
      <c r="CA1153" t="s">
        <v>125</v>
      </c>
      <c r="CB1153" t="s">
        <v>125</v>
      </c>
      <c r="CC1153" t="s">
        <v>125</v>
      </c>
      <c r="CD1153" t="s">
        <v>125</v>
      </c>
      <c r="CE1153" t="s">
        <v>125</v>
      </c>
      <c r="CF1153" t="s">
        <v>125</v>
      </c>
      <c r="CG1153" t="s">
        <v>125</v>
      </c>
      <c r="CH1153" t="s">
        <v>125</v>
      </c>
      <c r="CI1153" t="s">
        <v>125</v>
      </c>
      <c r="CJ1153" t="s">
        <v>125</v>
      </c>
      <c r="CK1153" t="s">
        <v>125</v>
      </c>
      <c r="CL1153" t="s">
        <v>125</v>
      </c>
      <c r="CM1153" t="s">
        <v>125</v>
      </c>
      <c r="CN1153" t="s">
        <v>125</v>
      </c>
      <c r="CO1153" t="s">
        <v>125</v>
      </c>
      <c r="CP1153" t="s">
        <v>125</v>
      </c>
      <c r="CQ1153">
        <v>0.39285700000000001</v>
      </c>
      <c r="CR1153">
        <v>0.94915300000000002</v>
      </c>
      <c r="CS1153">
        <v>26.190476</v>
      </c>
      <c r="CT1153">
        <v>50</v>
      </c>
      <c r="CU1153" t="s">
        <v>125</v>
      </c>
      <c r="CV1153" t="s">
        <v>125</v>
      </c>
      <c r="CW1153" t="s">
        <v>125</v>
      </c>
      <c r="CX1153" t="s">
        <v>125</v>
      </c>
      <c r="CY1153" t="s">
        <v>125</v>
      </c>
      <c r="CZ1153" t="s">
        <v>125</v>
      </c>
      <c r="DA1153">
        <v>15.314097</v>
      </c>
      <c r="DB1153">
        <v>17.400950000000002</v>
      </c>
      <c r="DC1153">
        <v>16.332519999999999</v>
      </c>
      <c r="DD1153" t="s">
        <v>125</v>
      </c>
      <c r="DE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Q1153" t="s">
        <v>126</v>
      </c>
    </row>
    <row r="1154" spans="1:121" x14ac:dyDescent="0.15">
      <c r="A1154">
        <v>2018</v>
      </c>
      <c r="B1154" t="s">
        <v>249</v>
      </c>
      <c r="C1154" t="str">
        <f t="shared" si="53"/>
        <v>2410014</v>
      </c>
      <c r="D1154" t="s">
        <v>1300</v>
      </c>
      <c r="E1154" t="str">
        <f>"2410314"</f>
        <v>2410314</v>
      </c>
      <c r="F1154" t="s">
        <v>1286</v>
      </c>
      <c r="G1154" t="s">
        <v>329</v>
      </c>
      <c r="H1154">
        <v>5</v>
      </c>
      <c r="I1154" t="s">
        <v>336</v>
      </c>
      <c r="J1154" t="s">
        <v>331</v>
      </c>
      <c r="K1154">
        <v>657.92846899999995</v>
      </c>
      <c r="L1154">
        <v>950</v>
      </c>
      <c r="M1154">
        <v>69.255628000000002</v>
      </c>
      <c r="N1154">
        <v>3</v>
      </c>
      <c r="O1154">
        <v>1</v>
      </c>
      <c r="P1154">
        <v>64.670305999999997</v>
      </c>
      <c r="Q1154">
        <v>43.113537000000001</v>
      </c>
      <c r="R1154">
        <v>50</v>
      </c>
      <c r="S1154">
        <v>59.518723999999999</v>
      </c>
      <c r="T1154">
        <v>75</v>
      </c>
      <c r="U1154">
        <v>39.679149000000002</v>
      </c>
      <c r="V1154">
        <v>50</v>
      </c>
      <c r="W1154">
        <v>59.719313999999997</v>
      </c>
      <c r="X1154">
        <v>39.812876000000003</v>
      </c>
      <c r="Y1154">
        <v>50</v>
      </c>
      <c r="Z1154">
        <v>74.696222000000006</v>
      </c>
      <c r="AA1154">
        <v>54.408354000000003</v>
      </c>
      <c r="AB1154">
        <v>36.272235999999999</v>
      </c>
      <c r="AC1154">
        <v>50</v>
      </c>
      <c r="AD1154">
        <v>66.454637000000005</v>
      </c>
      <c r="AE1154">
        <v>44.303091000000002</v>
      </c>
      <c r="AF1154">
        <v>50</v>
      </c>
      <c r="AG1154">
        <v>60.751344000000003</v>
      </c>
      <c r="AH1154" t="s">
        <v>125</v>
      </c>
      <c r="AI1154">
        <v>40.500895999999997</v>
      </c>
      <c r="AJ1154">
        <v>50</v>
      </c>
      <c r="AK1154">
        <v>15.48</v>
      </c>
      <c r="AL1154">
        <v>20.28</v>
      </c>
      <c r="AM1154" t="s">
        <v>125</v>
      </c>
      <c r="AN1154">
        <v>0.744452</v>
      </c>
      <c r="AO1154">
        <v>74.445240999999996</v>
      </c>
      <c r="AP1154">
        <v>100</v>
      </c>
      <c r="AQ1154">
        <v>0.84671600000000002</v>
      </c>
      <c r="AR1154">
        <v>84.671599999999998</v>
      </c>
      <c r="AS1154">
        <v>100</v>
      </c>
      <c r="AT1154">
        <v>0.67390399999999995</v>
      </c>
      <c r="AU1154">
        <v>0.90906600000000004</v>
      </c>
      <c r="AV1154">
        <v>67.390355999999997</v>
      </c>
      <c r="AW1154">
        <v>100</v>
      </c>
      <c r="AX1154">
        <v>0.81567400000000001</v>
      </c>
      <c r="AY1154">
        <v>0.91914799999999997</v>
      </c>
      <c r="AZ1154">
        <v>81.567364999999995</v>
      </c>
      <c r="BA1154">
        <v>100</v>
      </c>
      <c r="BB1154">
        <v>0.26608100000000001</v>
      </c>
      <c r="BC1154">
        <v>13.304057999999999</v>
      </c>
      <c r="BD1154">
        <v>50</v>
      </c>
      <c r="BE1154">
        <v>0.469999</v>
      </c>
      <c r="BF1154">
        <v>23.499963000000001</v>
      </c>
      <c r="BG1154">
        <v>50</v>
      </c>
      <c r="BH1154">
        <v>0</v>
      </c>
      <c r="BI1154">
        <v>0.99479200000000001</v>
      </c>
      <c r="BJ1154">
        <v>0.99295800000000001</v>
      </c>
      <c r="BK1154">
        <v>1</v>
      </c>
      <c r="BL1154">
        <v>0.99479200000000001</v>
      </c>
      <c r="BM1154">
        <v>0.99295800000000001</v>
      </c>
      <c r="BN1154">
        <v>1</v>
      </c>
      <c r="BO1154">
        <v>1</v>
      </c>
      <c r="BP1154">
        <v>1</v>
      </c>
      <c r="BQ1154" t="s">
        <v>125</v>
      </c>
      <c r="BR1154">
        <v>0.18346299999999999</v>
      </c>
      <c r="BS1154">
        <v>23.307493999999998</v>
      </c>
      <c r="BT1154">
        <v>50</v>
      </c>
      <c r="BU1154">
        <v>0.23636399999999999</v>
      </c>
      <c r="BV1154">
        <v>12.727273</v>
      </c>
      <c r="BW1154">
        <v>50</v>
      </c>
      <c r="BX1154" t="s">
        <v>125</v>
      </c>
      <c r="BY1154" t="s">
        <v>125</v>
      </c>
      <c r="BZ1154" t="s">
        <v>125</v>
      </c>
      <c r="CA1154" t="s">
        <v>125</v>
      </c>
      <c r="CB1154" t="s">
        <v>125</v>
      </c>
      <c r="CC1154" t="s">
        <v>125</v>
      </c>
      <c r="CD1154" t="s">
        <v>125</v>
      </c>
      <c r="CE1154" t="s">
        <v>125</v>
      </c>
      <c r="CF1154" t="s">
        <v>125</v>
      </c>
      <c r="CG1154" t="s">
        <v>125</v>
      </c>
      <c r="CH1154" t="s">
        <v>125</v>
      </c>
      <c r="CI1154" t="s">
        <v>125</v>
      </c>
      <c r="CJ1154" t="s">
        <v>125</v>
      </c>
      <c r="CK1154" t="s">
        <v>125</v>
      </c>
      <c r="CL1154" t="s">
        <v>125</v>
      </c>
      <c r="CM1154" t="s">
        <v>125</v>
      </c>
      <c r="CN1154" t="s">
        <v>125</v>
      </c>
      <c r="CO1154" t="s">
        <v>125</v>
      </c>
      <c r="CP1154" t="s">
        <v>125</v>
      </c>
      <c r="CQ1154">
        <v>0.5</v>
      </c>
      <c r="CR1154">
        <v>1.0163930000000001</v>
      </c>
      <c r="CS1154">
        <v>33.333333000000003</v>
      </c>
      <c r="CT1154">
        <v>50</v>
      </c>
      <c r="CU1154" t="s">
        <v>125</v>
      </c>
      <c r="CV1154" t="s">
        <v>125</v>
      </c>
      <c r="CW1154" t="s">
        <v>125</v>
      </c>
      <c r="CX1154" t="s">
        <v>125</v>
      </c>
      <c r="CY1154" t="s">
        <v>125</v>
      </c>
      <c r="CZ1154" t="s">
        <v>125</v>
      </c>
      <c r="DA1154">
        <v>15.314097</v>
      </c>
      <c r="DB1154">
        <v>17.400950000000002</v>
      </c>
      <c r="DC1154">
        <v>16.332519999999999</v>
      </c>
      <c r="DD1154" t="s">
        <v>125</v>
      </c>
      <c r="DE1154">
        <v>1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Q1154" t="s">
        <v>126</v>
      </c>
    </row>
    <row r="1155" spans="1:121" x14ac:dyDescent="0.15">
      <c r="A1155">
        <v>2018</v>
      </c>
      <c r="B1155" t="s">
        <v>249</v>
      </c>
      <c r="C1155" t="str">
        <f t="shared" si="53"/>
        <v>2410014</v>
      </c>
      <c r="D1155" t="s">
        <v>1301</v>
      </c>
      <c r="E1155" t="str">
        <f>"2415014"</f>
        <v>2415014</v>
      </c>
      <c r="F1155" t="s">
        <v>1286</v>
      </c>
      <c r="G1155">
        <v>6</v>
      </c>
      <c r="H1155">
        <v>8</v>
      </c>
      <c r="I1155" t="s">
        <v>336</v>
      </c>
      <c r="J1155" t="s">
        <v>331</v>
      </c>
      <c r="K1155">
        <v>596.966812</v>
      </c>
      <c r="L1155">
        <v>1000</v>
      </c>
      <c r="M1155">
        <v>59.696680999999998</v>
      </c>
      <c r="N1155">
        <v>3</v>
      </c>
      <c r="O1155">
        <v>1</v>
      </c>
      <c r="P1155">
        <v>64.009268000000006</v>
      </c>
      <c r="Q1155">
        <v>42.672845000000002</v>
      </c>
      <c r="R1155">
        <v>50</v>
      </c>
      <c r="S1155">
        <v>59.041069</v>
      </c>
      <c r="T1155">
        <v>75</v>
      </c>
      <c r="U1155">
        <v>39.360712999999997</v>
      </c>
      <c r="V1155">
        <v>50</v>
      </c>
      <c r="W1155">
        <v>51.092818999999999</v>
      </c>
      <c r="X1155">
        <v>34.061878999999998</v>
      </c>
      <c r="Y1155">
        <v>50</v>
      </c>
      <c r="Z1155">
        <v>63.420327</v>
      </c>
      <c r="AA1155">
        <v>45.997449000000003</v>
      </c>
      <c r="AB1155">
        <v>30.664966</v>
      </c>
      <c r="AC1155">
        <v>50</v>
      </c>
      <c r="AD1155">
        <v>62.413966000000002</v>
      </c>
      <c r="AE1155">
        <v>41.609310999999998</v>
      </c>
      <c r="AF1155">
        <v>50</v>
      </c>
      <c r="AG1155">
        <v>57.795924999999997</v>
      </c>
      <c r="AH1155">
        <v>70.838769999999997</v>
      </c>
      <c r="AI1155">
        <v>38.530616999999999</v>
      </c>
      <c r="AJ1155">
        <v>50</v>
      </c>
      <c r="AK1155">
        <v>15.95</v>
      </c>
      <c r="AL1155">
        <v>17.420000000000002</v>
      </c>
      <c r="AM1155">
        <v>13.04</v>
      </c>
      <c r="AN1155">
        <v>0.62872399999999995</v>
      </c>
      <c r="AO1155">
        <v>62.872411</v>
      </c>
      <c r="AP1155">
        <v>100</v>
      </c>
      <c r="AQ1155">
        <v>0.49475400000000003</v>
      </c>
      <c r="AR1155">
        <v>49.475366000000001</v>
      </c>
      <c r="AS1155">
        <v>100</v>
      </c>
      <c r="AT1155">
        <v>0.59641500000000003</v>
      </c>
      <c r="AU1155">
        <v>0.70185299999999995</v>
      </c>
      <c r="AV1155">
        <v>59.641522999999999</v>
      </c>
      <c r="AW1155">
        <v>100</v>
      </c>
      <c r="AX1155">
        <v>0.44627800000000001</v>
      </c>
      <c r="AY1155">
        <v>0.60480599999999995</v>
      </c>
      <c r="AZ1155">
        <v>44.627800999999998</v>
      </c>
      <c r="BA1155">
        <v>100</v>
      </c>
      <c r="BB1155">
        <v>0.40096900000000002</v>
      </c>
      <c r="BC1155">
        <v>20.048461</v>
      </c>
      <c r="BD1155">
        <v>50</v>
      </c>
      <c r="BE1155">
        <v>0.51356199999999996</v>
      </c>
      <c r="BF1155">
        <v>25.678103</v>
      </c>
      <c r="BG1155">
        <v>50</v>
      </c>
      <c r="BH1155">
        <v>0</v>
      </c>
      <c r="BI1155">
        <v>0.99531999999999998</v>
      </c>
      <c r="BJ1155">
        <v>0.99340700000000004</v>
      </c>
      <c r="BK1155">
        <v>1</v>
      </c>
      <c r="BL1155">
        <v>0.99375999999999998</v>
      </c>
      <c r="BM1155">
        <v>0.99120900000000001</v>
      </c>
      <c r="BN1155">
        <v>1</v>
      </c>
      <c r="BO1155">
        <v>0.99523799999999996</v>
      </c>
      <c r="BP1155">
        <v>0.99264699999999995</v>
      </c>
      <c r="BQ1155">
        <v>1</v>
      </c>
      <c r="BR1155">
        <v>0.15288599999999999</v>
      </c>
      <c r="BS1155">
        <v>29.422777</v>
      </c>
      <c r="BT1155">
        <v>50</v>
      </c>
      <c r="BU1155">
        <v>0.187225</v>
      </c>
      <c r="BV1155">
        <v>22.555066</v>
      </c>
      <c r="BW1155">
        <v>50</v>
      </c>
      <c r="BX1155" t="s">
        <v>125</v>
      </c>
      <c r="BY1155" t="s">
        <v>125</v>
      </c>
      <c r="BZ1155" t="s">
        <v>125</v>
      </c>
      <c r="CA1155" t="s">
        <v>125</v>
      </c>
      <c r="CB1155" t="s">
        <v>125</v>
      </c>
      <c r="CC1155" t="s">
        <v>125</v>
      </c>
      <c r="CD1155">
        <v>0.93500000000000005</v>
      </c>
      <c r="CE1155">
        <v>49.734043</v>
      </c>
      <c r="CF1155">
        <v>50</v>
      </c>
      <c r="CG1155" t="s">
        <v>125</v>
      </c>
      <c r="CH1155" t="s">
        <v>125</v>
      </c>
      <c r="CI1155" t="s">
        <v>125</v>
      </c>
      <c r="CJ1155" t="s">
        <v>125</v>
      </c>
      <c r="CK1155" t="s">
        <v>125</v>
      </c>
      <c r="CL1155" t="s">
        <v>125</v>
      </c>
      <c r="CM1155" t="s">
        <v>125</v>
      </c>
      <c r="CN1155" t="s">
        <v>125</v>
      </c>
      <c r="CO1155" t="s">
        <v>125</v>
      </c>
      <c r="CP1155" t="s">
        <v>125</v>
      </c>
      <c r="CQ1155">
        <v>0.18032799999999999</v>
      </c>
      <c r="CR1155">
        <v>0.72104000000000001</v>
      </c>
      <c r="CS1155">
        <v>6.010929</v>
      </c>
      <c r="CT1155">
        <v>50</v>
      </c>
      <c r="CU1155" t="s">
        <v>125</v>
      </c>
      <c r="CV1155" t="s">
        <v>125</v>
      </c>
      <c r="CW1155" t="s">
        <v>125</v>
      </c>
      <c r="CX1155" t="s">
        <v>125</v>
      </c>
      <c r="CY1155" t="s">
        <v>125</v>
      </c>
      <c r="CZ1155" t="s">
        <v>125</v>
      </c>
      <c r="DA1155">
        <v>15.314097</v>
      </c>
      <c r="DB1155">
        <v>17.400950000000002</v>
      </c>
      <c r="DC1155">
        <v>16.332519999999999</v>
      </c>
      <c r="DD1155" t="s">
        <v>125</v>
      </c>
      <c r="DE1155">
        <v>1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Q1155" t="s">
        <v>126</v>
      </c>
    </row>
    <row r="1156" spans="1:121" x14ac:dyDescent="0.15">
      <c r="A1156">
        <v>2018</v>
      </c>
      <c r="B1156" t="s">
        <v>249</v>
      </c>
      <c r="C1156" t="str">
        <f t="shared" si="53"/>
        <v>2410014</v>
      </c>
      <c r="D1156" t="s">
        <v>1302</v>
      </c>
      <c r="E1156" t="str">
        <f>"2410214"</f>
        <v>2410214</v>
      </c>
      <c r="F1156" t="s">
        <v>1286</v>
      </c>
      <c r="G1156" t="s">
        <v>329</v>
      </c>
      <c r="H1156">
        <v>5</v>
      </c>
      <c r="I1156" t="s">
        <v>336</v>
      </c>
      <c r="J1156" t="s">
        <v>331</v>
      </c>
      <c r="K1156">
        <v>687.36631199999999</v>
      </c>
      <c r="L1156">
        <v>950</v>
      </c>
      <c r="M1156">
        <v>72.354348999999999</v>
      </c>
      <c r="N1156">
        <v>2</v>
      </c>
      <c r="O1156">
        <v>0</v>
      </c>
      <c r="P1156">
        <v>66.768534000000002</v>
      </c>
      <c r="Q1156">
        <v>44.512355999999997</v>
      </c>
      <c r="R1156">
        <v>50</v>
      </c>
      <c r="S1156">
        <v>63.183627000000001</v>
      </c>
      <c r="T1156">
        <v>75</v>
      </c>
      <c r="U1156">
        <v>42.122418000000003</v>
      </c>
      <c r="V1156">
        <v>50</v>
      </c>
      <c r="W1156">
        <v>61.150399999999998</v>
      </c>
      <c r="X1156">
        <v>40.766933999999999</v>
      </c>
      <c r="Y1156">
        <v>50</v>
      </c>
      <c r="Z1156">
        <v>71.495566999999994</v>
      </c>
      <c r="AA1156">
        <v>57.772387000000002</v>
      </c>
      <c r="AB1156">
        <v>38.514924999999998</v>
      </c>
      <c r="AC1156">
        <v>50</v>
      </c>
      <c r="AD1156">
        <v>63.015385000000002</v>
      </c>
      <c r="AE1156">
        <v>42.010255999999998</v>
      </c>
      <c r="AF1156">
        <v>50</v>
      </c>
      <c r="AG1156">
        <v>61.603164999999997</v>
      </c>
      <c r="AH1156" t="s">
        <v>125</v>
      </c>
      <c r="AI1156">
        <v>41.068776999999997</v>
      </c>
      <c r="AJ1156">
        <v>50</v>
      </c>
      <c r="AK1156">
        <v>11.81</v>
      </c>
      <c r="AL1156">
        <v>13.72</v>
      </c>
      <c r="AM1156" t="s">
        <v>125</v>
      </c>
      <c r="AN1156">
        <v>0.72440700000000002</v>
      </c>
      <c r="AO1156">
        <v>72.440717000000006</v>
      </c>
      <c r="AP1156">
        <v>100</v>
      </c>
      <c r="AQ1156">
        <v>0.71084800000000004</v>
      </c>
      <c r="AR1156">
        <v>71.084845999999999</v>
      </c>
      <c r="AS1156">
        <v>100</v>
      </c>
      <c r="AT1156">
        <v>0.69274599999999997</v>
      </c>
      <c r="AU1156">
        <v>0.84167000000000003</v>
      </c>
      <c r="AV1156">
        <v>69.274608000000001</v>
      </c>
      <c r="AW1156">
        <v>100</v>
      </c>
      <c r="AX1156">
        <v>0.67359800000000003</v>
      </c>
      <c r="AY1156">
        <v>0.84881099999999998</v>
      </c>
      <c r="AZ1156">
        <v>67.359843999999995</v>
      </c>
      <c r="BA1156">
        <v>100</v>
      </c>
      <c r="BB1156">
        <v>0.83836500000000003</v>
      </c>
      <c r="BC1156">
        <v>41.918253999999997</v>
      </c>
      <c r="BD1156">
        <v>50</v>
      </c>
      <c r="BE1156">
        <v>0.556315</v>
      </c>
      <c r="BF1156">
        <v>27.815774000000001</v>
      </c>
      <c r="BG1156">
        <v>50</v>
      </c>
      <c r="BH1156">
        <v>0</v>
      </c>
      <c r="BI1156">
        <v>0.99489799999999995</v>
      </c>
      <c r="BJ1156">
        <v>1</v>
      </c>
      <c r="BK1156">
        <v>0.97959200000000002</v>
      </c>
      <c r="BL1156">
        <v>0.99489799999999995</v>
      </c>
      <c r="BM1156">
        <v>1</v>
      </c>
      <c r="BN1156">
        <v>0.97959200000000002</v>
      </c>
      <c r="BO1156">
        <v>1</v>
      </c>
      <c r="BP1156">
        <v>1</v>
      </c>
      <c r="BQ1156" t="s">
        <v>125</v>
      </c>
      <c r="BR1156">
        <v>0.13265299999999999</v>
      </c>
      <c r="BS1156">
        <v>33.469388000000002</v>
      </c>
      <c r="BT1156">
        <v>50</v>
      </c>
      <c r="BU1156">
        <v>0.171429</v>
      </c>
      <c r="BV1156">
        <v>25.714286000000001</v>
      </c>
      <c r="BW1156">
        <v>50</v>
      </c>
      <c r="BX1156" t="s">
        <v>125</v>
      </c>
      <c r="BY1156" t="s">
        <v>125</v>
      </c>
      <c r="BZ1156" t="s">
        <v>125</v>
      </c>
      <c r="CA1156" t="s">
        <v>125</v>
      </c>
      <c r="CB1156" t="s">
        <v>125</v>
      </c>
      <c r="CC1156" t="s">
        <v>125</v>
      </c>
      <c r="CD1156" t="s">
        <v>125</v>
      </c>
      <c r="CE1156" t="s">
        <v>125</v>
      </c>
      <c r="CF1156" t="s">
        <v>125</v>
      </c>
      <c r="CG1156" t="s">
        <v>125</v>
      </c>
      <c r="CH1156" t="s">
        <v>125</v>
      </c>
      <c r="CI1156" t="s">
        <v>125</v>
      </c>
      <c r="CJ1156" t="s">
        <v>125</v>
      </c>
      <c r="CK1156" t="s">
        <v>125</v>
      </c>
      <c r="CL1156" t="s">
        <v>125</v>
      </c>
      <c r="CM1156" t="s">
        <v>125</v>
      </c>
      <c r="CN1156" t="s">
        <v>125</v>
      </c>
      <c r="CO1156" t="s">
        <v>125</v>
      </c>
      <c r="CP1156" t="s">
        <v>125</v>
      </c>
      <c r="CQ1156">
        <v>0.43939400000000001</v>
      </c>
      <c r="CR1156">
        <v>1</v>
      </c>
      <c r="CS1156">
        <v>29.292929000000001</v>
      </c>
      <c r="CT1156">
        <v>50</v>
      </c>
      <c r="CU1156" t="s">
        <v>125</v>
      </c>
      <c r="CV1156" t="s">
        <v>125</v>
      </c>
      <c r="CW1156" t="s">
        <v>125</v>
      </c>
      <c r="CX1156" t="s">
        <v>125</v>
      </c>
      <c r="CY1156" t="s">
        <v>125</v>
      </c>
      <c r="CZ1156" t="s">
        <v>125</v>
      </c>
      <c r="DA1156">
        <v>15.314097</v>
      </c>
      <c r="DB1156">
        <v>17.400950000000002</v>
      </c>
      <c r="DC1156">
        <v>16.332519999999999</v>
      </c>
      <c r="DD1156" t="s">
        <v>125</v>
      </c>
      <c r="DE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Q1156" t="s">
        <v>126</v>
      </c>
    </row>
    <row r="1157" spans="1:121" x14ac:dyDescent="0.15">
      <c r="A1157">
        <v>2018</v>
      </c>
      <c r="B1157" t="s">
        <v>262</v>
      </c>
      <c r="C1157" t="str">
        <f>"2430014"</f>
        <v>2430014</v>
      </c>
      <c r="D1157" t="s">
        <v>1303</v>
      </c>
      <c r="E1157" t="str">
        <f>"2430114"</f>
        <v>2430114</v>
      </c>
      <c r="F1157" t="s">
        <v>1286</v>
      </c>
      <c r="G1157" t="s">
        <v>329</v>
      </c>
      <c r="H1157">
        <v>8</v>
      </c>
      <c r="I1157" t="s">
        <v>336</v>
      </c>
      <c r="J1157" t="s">
        <v>331</v>
      </c>
      <c r="K1157">
        <v>689.14802199999997</v>
      </c>
      <c r="L1157">
        <v>900</v>
      </c>
      <c r="M1157">
        <v>76.572001999999998</v>
      </c>
      <c r="N1157">
        <v>2</v>
      </c>
      <c r="O1157">
        <v>0</v>
      </c>
      <c r="P1157">
        <v>69.222786999999997</v>
      </c>
      <c r="Q1157">
        <v>46.148524999999999</v>
      </c>
      <c r="R1157">
        <v>50</v>
      </c>
      <c r="S1157">
        <v>63.639527999999999</v>
      </c>
      <c r="T1157">
        <v>73.108433000000005</v>
      </c>
      <c r="U1157">
        <v>42.426352000000001</v>
      </c>
      <c r="V1157">
        <v>50</v>
      </c>
      <c r="W1157">
        <v>62.721778</v>
      </c>
      <c r="X1157">
        <v>41.814518999999997</v>
      </c>
      <c r="Y1157">
        <v>50</v>
      </c>
      <c r="Z1157">
        <v>66.325841999999994</v>
      </c>
      <c r="AA1157">
        <v>57.543123000000001</v>
      </c>
      <c r="AB1157">
        <v>38.362082000000001</v>
      </c>
      <c r="AC1157">
        <v>50</v>
      </c>
      <c r="AD1157">
        <v>65.676505000000006</v>
      </c>
      <c r="AE1157">
        <v>43.784337000000001</v>
      </c>
      <c r="AF1157">
        <v>50</v>
      </c>
      <c r="AG1157">
        <v>61.046241999999999</v>
      </c>
      <c r="AH1157">
        <v>68.557558</v>
      </c>
      <c r="AI1157">
        <v>40.697495000000004</v>
      </c>
      <c r="AJ1157">
        <v>50</v>
      </c>
      <c r="AK1157">
        <v>9.4600000000000009</v>
      </c>
      <c r="AL1157">
        <v>8.7799999999999994</v>
      </c>
      <c r="AM1157">
        <v>7.51</v>
      </c>
      <c r="AN1157">
        <v>0.64076</v>
      </c>
      <c r="AO1157">
        <v>64.075984000000005</v>
      </c>
      <c r="AP1157">
        <v>100</v>
      </c>
      <c r="AQ1157">
        <v>0.6119</v>
      </c>
      <c r="AR1157">
        <v>61.189988999999997</v>
      </c>
      <c r="AS1157">
        <v>100</v>
      </c>
      <c r="AT1157">
        <v>0.65585199999999999</v>
      </c>
      <c r="AU1157">
        <v>0.63039199999999995</v>
      </c>
      <c r="AV1157">
        <v>65.5852</v>
      </c>
      <c r="AW1157">
        <v>100</v>
      </c>
      <c r="AX1157">
        <v>0.58903700000000003</v>
      </c>
      <c r="AY1157">
        <v>0.627606</v>
      </c>
      <c r="AZ1157">
        <v>58.903702000000003</v>
      </c>
      <c r="BA1157">
        <v>100</v>
      </c>
      <c r="BB1157" t="s">
        <v>125</v>
      </c>
      <c r="BC1157" t="s">
        <v>125</v>
      </c>
      <c r="BD1157" t="s">
        <v>125</v>
      </c>
      <c r="BE1157" t="s">
        <v>125</v>
      </c>
      <c r="BF1157" t="s">
        <v>125</v>
      </c>
      <c r="BG1157" t="s">
        <v>125</v>
      </c>
      <c r="BH1157">
        <v>0</v>
      </c>
      <c r="BI1157">
        <v>0.99603200000000003</v>
      </c>
      <c r="BJ1157">
        <v>0.99038499999999996</v>
      </c>
      <c r="BK1157">
        <v>1</v>
      </c>
      <c r="BL1157">
        <v>0.99603200000000003</v>
      </c>
      <c r="BM1157">
        <v>0.99038499999999996</v>
      </c>
      <c r="BN1157">
        <v>1</v>
      </c>
      <c r="BO1157">
        <v>1</v>
      </c>
      <c r="BP1157">
        <v>1</v>
      </c>
      <c r="BQ1157">
        <v>1</v>
      </c>
      <c r="BR1157">
        <v>5.0666999999999997E-2</v>
      </c>
      <c r="BS1157">
        <v>49.866667</v>
      </c>
      <c r="BT1157">
        <v>50</v>
      </c>
      <c r="BU1157">
        <v>5.0632999999999997E-2</v>
      </c>
      <c r="BV1157">
        <v>49.873418000000001</v>
      </c>
      <c r="BW1157">
        <v>50</v>
      </c>
      <c r="BX1157" t="s">
        <v>125</v>
      </c>
      <c r="BY1157" t="s">
        <v>125</v>
      </c>
      <c r="BZ1157" t="s">
        <v>125</v>
      </c>
      <c r="CA1157" t="s">
        <v>125</v>
      </c>
      <c r="CB1157" t="s">
        <v>125</v>
      </c>
      <c r="CC1157" t="s">
        <v>125</v>
      </c>
      <c r="CD1157">
        <v>1</v>
      </c>
      <c r="CE1157">
        <v>50</v>
      </c>
      <c r="CF1157">
        <v>50</v>
      </c>
      <c r="CG1157" t="s">
        <v>125</v>
      </c>
      <c r="CH1157" t="s">
        <v>125</v>
      </c>
      <c r="CI1157" t="s">
        <v>125</v>
      </c>
      <c r="CJ1157" t="s">
        <v>125</v>
      </c>
      <c r="CK1157" t="s">
        <v>125</v>
      </c>
      <c r="CL1157" t="s">
        <v>125</v>
      </c>
      <c r="CM1157" t="s">
        <v>125</v>
      </c>
      <c r="CN1157" t="s">
        <v>125</v>
      </c>
      <c r="CO1157" t="s">
        <v>125</v>
      </c>
      <c r="CP1157" t="s">
        <v>125</v>
      </c>
      <c r="CQ1157">
        <v>0.546296</v>
      </c>
      <c r="CR1157">
        <v>1</v>
      </c>
      <c r="CS1157">
        <v>36.419753</v>
      </c>
      <c r="CT1157">
        <v>50</v>
      </c>
      <c r="CU1157" t="s">
        <v>125</v>
      </c>
      <c r="CV1157" t="s">
        <v>125</v>
      </c>
      <c r="CW1157" t="s">
        <v>125</v>
      </c>
      <c r="CX1157" t="s">
        <v>125</v>
      </c>
      <c r="CY1157" t="s">
        <v>125</v>
      </c>
      <c r="CZ1157" t="s">
        <v>125</v>
      </c>
      <c r="DA1157">
        <v>15.314097</v>
      </c>
      <c r="DB1157">
        <v>17.400950000000002</v>
      </c>
      <c r="DC1157">
        <v>16.332519999999999</v>
      </c>
      <c r="DD1157" t="s">
        <v>125</v>
      </c>
      <c r="DE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Q1157" t="s">
        <v>126</v>
      </c>
    </row>
    <row r="1158" spans="1:121" x14ac:dyDescent="0.15">
      <c r="A1158">
        <v>2018</v>
      </c>
      <c r="B1158" t="s">
        <v>263</v>
      </c>
      <c r="C1158" t="str">
        <f>"2440014"</f>
        <v>2440014</v>
      </c>
      <c r="D1158" t="s">
        <v>1304</v>
      </c>
      <c r="E1158" t="str">
        <f>"2445114"</f>
        <v>2445114</v>
      </c>
      <c r="F1158" t="s">
        <v>1286</v>
      </c>
      <c r="G1158">
        <v>6</v>
      </c>
      <c r="H1158">
        <v>8</v>
      </c>
      <c r="I1158" t="s">
        <v>330</v>
      </c>
      <c r="J1158" t="s">
        <v>331</v>
      </c>
      <c r="K1158">
        <v>671.51512500000001</v>
      </c>
      <c r="L1158">
        <v>1000</v>
      </c>
      <c r="M1158">
        <v>67.151512999999994</v>
      </c>
      <c r="N1158">
        <v>3</v>
      </c>
      <c r="O1158">
        <v>0</v>
      </c>
      <c r="P1158">
        <v>65.062106</v>
      </c>
      <c r="Q1158">
        <v>43.374737000000003</v>
      </c>
      <c r="R1158">
        <v>50</v>
      </c>
      <c r="S1158">
        <v>59.174405999999998</v>
      </c>
      <c r="T1158">
        <v>72.460464999999999</v>
      </c>
      <c r="U1158">
        <v>39.449604000000001</v>
      </c>
      <c r="V1158">
        <v>50</v>
      </c>
      <c r="W1158">
        <v>60.130963000000001</v>
      </c>
      <c r="X1158">
        <v>40.087308999999998</v>
      </c>
      <c r="Y1158">
        <v>50</v>
      </c>
      <c r="Z1158">
        <v>68.132268999999994</v>
      </c>
      <c r="AA1158">
        <v>53.784377999999997</v>
      </c>
      <c r="AB1158">
        <v>35.856251999999998</v>
      </c>
      <c r="AC1158">
        <v>50</v>
      </c>
      <c r="AD1158">
        <v>64.980496000000002</v>
      </c>
      <c r="AE1158">
        <v>43.320331000000003</v>
      </c>
      <c r="AF1158">
        <v>50</v>
      </c>
      <c r="AG1158">
        <v>60.953732000000002</v>
      </c>
      <c r="AH1158">
        <v>75</v>
      </c>
      <c r="AI1158">
        <v>40.635821</v>
      </c>
      <c r="AJ1158">
        <v>50</v>
      </c>
      <c r="AK1158">
        <v>13.28</v>
      </c>
      <c r="AL1158">
        <v>14.34</v>
      </c>
      <c r="AM1158">
        <v>14.04</v>
      </c>
      <c r="AN1158">
        <v>0.56658699999999995</v>
      </c>
      <c r="AO1158">
        <v>56.658676</v>
      </c>
      <c r="AP1158">
        <v>100</v>
      </c>
      <c r="AQ1158">
        <v>0.59946900000000003</v>
      </c>
      <c r="AR1158">
        <v>59.946871000000002</v>
      </c>
      <c r="AS1158">
        <v>100</v>
      </c>
      <c r="AT1158">
        <v>0.56656700000000004</v>
      </c>
      <c r="AU1158">
        <v>0.566608</v>
      </c>
      <c r="AV1158">
        <v>56.656703999999998</v>
      </c>
      <c r="AW1158">
        <v>100</v>
      </c>
      <c r="AX1158">
        <v>0.56558799999999998</v>
      </c>
      <c r="AY1158">
        <v>0.636382</v>
      </c>
      <c r="AZ1158">
        <v>56.558829000000003</v>
      </c>
      <c r="BA1158">
        <v>100</v>
      </c>
      <c r="BB1158">
        <v>0.48747800000000002</v>
      </c>
      <c r="BC1158">
        <v>24.373908</v>
      </c>
      <c r="BD1158">
        <v>50</v>
      </c>
      <c r="BE1158">
        <v>0.47533599999999998</v>
      </c>
      <c r="BF1158">
        <v>23.766780000000001</v>
      </c>
      <c r="BG1158">
        <v>50</v>
      </c>
      <c r="BH1158">
        <v>0</v>
      </c>
      <c r="BI1158">
        <v>0.99855700000000003</v>
      </c>
      <c r="BJ1158">
        <v>0.99742299999999995</v>
      </c>
      <c r="BK1158">
        <v>1</v>
      </c>
      <c r="BL1158">
        <v>0.99855499999999997</v>
      </c>
      <c r="BM1158">
        <v>0.99742299999999995</v>
      </c>
      <c r="BN1158">
        <v>1</v>
      </c>
      <c r="BO1158">
        <v>1</v>
      </c>
      <c r="BP1158">
        <v>1</v>
      </c>
      <c r="BQ1158">
        <v>1</v>
      </c>
      <c r="BR1158">
        <v>0.12300999999999999</v>
      </c>
      <c r="BS1158">
        <v>35.397973999999998</v>
      </c>
      <c r="BT1158">
        <v>50</v>
      </c>
      <c r="BU1158">
        <v>0.14978900000000001</v>
      </c>
      <c r="BV1158">
        <v>30.042193999999999</v>
      </c>
      <c r="BW1158">
        <v>50</v>
      </c>
      <c r="BX1158" t="s">
        <v>125</v>
      </c>
      <c r="BY1158" t="s">
        <v>125</v>
      </c>
      <c r="BZ1158" t="s">
        <v>125</v>
      </c>
      <c r="CA1158" t="s">
        <v>125</v>
      </c>
      <c r="CB1158" t="s">
        <v>125</v>
      </c>
      <c r="CC1158" t="s">
        <v>125</v>
      </c>
      <c r="CD1158">
        <v>0.96035199999999998</v>
      </c>
      <c r="CE1158">
        <v>50</v>
      </c>
      <c r="CF1158">
        <v>50</v>
      </c>
      <c r="CG1158" t="s">
        <v>125</v>
      </c>
      <c r="CH1158" t="s">
        <v>125</v>
      </c>
      <c r="CI1158" t="s">
        <v>125</v>
      </c>
      <c r="CJ1158" t="s">
        <v>125</v>
      </c>
      <c r="CK1158" t="s">
        <v>125</v>
      </c>
      <c r="CL1158" t="s">
        <v>125</v>
      </c>
      <c r="CM1158" t="s">
        <v>125</v>
      </c>
      <c r="CN1158" t="s">
        <v>125</v>
      </c>
      <c r="CO1158" t="s">
        <v>125</v>
      </c>
      <c r="CP1158" t="s">
        <v>125</v>
      </c>
      <c r="CQ1158">
        <v>0.530837</v>
      </c>
      <c r="CR1158">
        <v>0.98056200000000004</v>
      </c>
      <c r="CS1158">
        <v>35.389133999999999</v>
      </c>
      <c r="CT1158">
        <v>50</v>
      </c>
      <c r="CU1158" t="s">
        <v>125</v>
      </c>
      <c r="CV1158" t="s">
        <v>125</v>
      </c>
      <c r="CW1158" t="s">
        <v>125</v>
      </c>
      <c r="CX1158" t="s">
        <v>125</v>
      </c>
      <c r="CY1158" t="s">
        <v>125</v>
      </c>
      <c r="CZ1158" t="s">
        <v>125</v>
      </c>
      <c r="DA1158">
        <v>15.314097</v>
      </c>
      <c r="DB1158">
        <v>17.400950000000002</v>
      </c>
      <c r="DC1158">
        <v>16.332519999999999</v>
      </c>
      <c r="DD1158" t="s">
        <v>125</v>
      </c>
      <c r="DE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Q1158" t="s">
        <v>126</v>
      </c>
    </row>
    <row r="1159" spans="1:121" x14ac:dyDescent="0.15">
      <c r="A1159">
        <v>2018</v>
      </c>
      <c r="B1159" t="s">
        <v>263</v>
      </c>
      <c r="C1159" t="str">
        <f>"2440014"</f>
        <v>2440014</v>
      </c>
      <c r="D1159" t="s">
        <v>1305</v>
      </c>
      <c r="E1159" t="str">
        <f>"2440314"</f>
        <v>2440314</v>
      </c>
      <c r="F1159" t="s">
        <v>1286</v>
      </c>
      <c r="G1159" t="s">
        <v>339</v>
      </c>
      <c r="H1159">
        <v>8</v>
      </c>
      <c r="I1159" t="s">
        <v>330</v>
      </c>
      <c r="J1159" t="s">
        <v>331</v>
      </c>
      <c r="K1159">
        <v>565.527288</v>
      </c>
      <c r="L1159">
        <v>900</v>
      </c>
      <c r="M1159">
        <v>62.836365000000001</v>
      </c>
      <c r="N1159">
        <v>3</v>
      </c>
      <c r="O1159">
        <v>0</v>
      </c>
      <c r="P1159">
        <v>61.527011999999999</v>
      </c>
      <c r="Q1159">
        <v>41.018008000000002</v>
      </c>
      <c r="R1159">
        <v>50</v>
      </c>
      <c r="S1159">
        <v>54.814489000000002</v>
      </c>
      <c r="T1159">
        <v>70.058413999999999</v>
      </c>
      <c r="U1159">
        <v>36.542991999999998</v>
      </c>
      <c r="V1159">
        <v>50</v>
      </c>
      <c r="W1159">
        <v>53.837094</v>
      </c>
      <c r="X1159">
        <v>35.891396</v>
      </c>
      <c r="Y1159">
        <v>50</v>
      </c>
      <c r="Z1159">
        <v>61.631323000000002</v>
      </c>
      <c r="AA1159">
        <v>47.704579000000003</v>
      </c>
      <c r="AB1159">
        <v>31.803052999999998</v>
      </c>
      <c r="AC1159">
        <v>50</v>
      </c>
      <c r="AD1159">
        <v>54.631813000000001</v>
      </c>
      <c r="AE1159">
        <v>36.421208999999998</v>
      </c>
      <c r="AF1159">
        <v>50</v>
      </c>
      <c r="AG1159">
        <v>49.781131999999999</v>
      </c>
      <c r="AH1159">
        <v>61.133789</v>
      </c>
      <c r="AI1159">
        <v>33.187421999999998</v>
      </c>
      <c r="AJ1159">
        <v>50</v>
      </c>
      <c r="AK1159">
        <v>15.24</v>
      </c>
      <c r="AL1159">
        <v>13.92</v>
      </c>
      <c r="AM1159">
        <v>11.35</v>
      </c>
      <c r="AN1159">
        <v>0.548647</v>
      </c>
      <c r="AO1159">
        <v>54.864682000000002</v>
      </c>
      <c r="AP1159">
        <v>100</v>
      </c>
      <c r="AQ1159">
        <v>0.54278300000000002</v>
      </c>
      <c r="AR1159">
        <v>54.278291000000003</v>
      </c>
      <c r="AS1159">
        <v>100</v>
      </c>
      <c r="AT1159">
        <v>0.53057100000000001</v>
      </c>
      <c r="AU1159">
        <v>0.56959800000000005</v>
      </c>
      <c r="AV1159">
        <v>53.057111999999996</v>
      </c>
      <c r="AW1159">
        <v>100</v>
      </c>
      <c r="AX1159">
        <v>0.49983499999999997</v>
      </c>
      <c r="AY1159">
        <v>0.59256399999999998</v>
      </c>
      <c r="AZ1159">
        <v>49.983491000000001</v>
      </c>
      <c r="BA1159">
        <v>100</v>
      </c>
      <c r="BB1159" t="s">
        <v>125</v>
      </c>
      <c r="BC1159" t="s">
        <v>125</v>
      </c>
      <c r="BD1159" t="s">
        <v>125</v>
      </c>
      <c r="BE1159" t="s">
        <v>125</v>
      </c>
      <c r="BF1159" t="s">
        <v>125</v>
      </c>
      <c r="BG1159" t="s">
        <v>125</v>
      </c>
      <c r="BH1159">
        <v>0</v>
      </c>
      <c r="BI1159">
        <v>0.99436599999999997</v>
      </c>
      <c r="BJ1159">
        <v>0.98995</v>
      </c>
      <c r="BK1159">
        <v>1</v>
      </c>
      <c r="BL1159">
        <v>0.99436599999999997</v>
      </c>
      <c r="BM1159">
        <v>0.98995</v>
      </c>
      <c r="BN1159">
        <v>1</v>
      </c>
      <c r="BO1159">
        <v>0.99099099999999996</v>
      </c>
      <c r="BP1159">
        <v>0.984375</v>
      </c>
      <c r="BQ1159">
        <v>1</v>
      </c>
      <c r="BR1159">
        <v>0.13636400000000001</v>
      </c>
      <c r="BS1159">
        <v>32.727272999999997</v>
      </c>
      <c r="BT1159">
        <v>50</v>
      </c>
      <c r="BU1159">
        <v>0.17350199999999999</v>
      </c>
      <c r="BV1159">
        <v>25.299685</v>
      </c>
      <c r="BW1159">
        <v>50</v>
      </c>
      <c r="BX1159" t="s">
        <v>125</v>
      </c>
      <c r="BY1159" t="s">
        <v>125</v>
      </c>
      <c r="BZ1159" t="s">
        <v>125</v>
      </c>
      <c r="CA1159" t="s">
        <v>125</v>
      </c>
      <c r="CB1159" t="s">
        <v>125</v>
      </c>
      <c r="CC1159" t="s">
        <v>125</v>
      </c>
      <c r="CD1159">
        <v>0.96428599999999998</v>
      </c>
      <c r="CE1159">
        <v>50</v>
      </c>
      <c r="CF1159">
        <v>50</v>
      </c>
      <c r="CG1159" t="s">
        <v>125</v>
      </c>
      <c r="CH1159" t="s">
        <v>125</v>
      </c>
      <c r="CI1159" t="s">
        <v>125</v>
      </c>
      <c r="CJ1159" t="s">
        <v>125</v>
      </c>
      <c r="CK1159" t="s">
        <v>125</v>
      </c>
      <c r="CL1159" t="s">
        <v>125</v>
      </c>
      <c r="CM1159" t="s">
        <v>125</v>
      </c>
      <c r="CN1159" t="s">
        <v>125</v>
      </c>
      <c r="CO1159" t="s">
        <v>125</v>
      </c>
      <c r="CP1159" t="s">
        <v>125</v>
      </c>
      <c r="CQ1159">
        <v>0.45678999999999997</v>
      </c>
      <c r="CR1159">
        <v>0.97590399999999999</v>
      </c>
      <c r="CS1159">
        <v>30.452674999999999</v>
      </c>
      <c r="CT1159">
        <v>50</v>
      </c>
      <c r="CU1159" t="s">
        <v>125</v>
      </c>
      <c r="CV1159" t="s">
        <v>125</v>
      </c>
      <c r="CW1159" t="s">
        <v>125</v>
      </c>
      <c r="CX1159" t="s">
        <v>125</v>
      </c>
      <c r="CY1159" t="s">
        <v>125</v>
      </c>
      <c r="CZ1159" t="s">
        <v>125</v>
      </c>
      <c r="DA1159">
        <v>15.314097</v>
      </c>
      <c r="DB1159">
        <v>17.400950000000002</v>
      </c>
      <c r="DC1159">
        <v>16.332519999999999</v>
      </c>
      <c r="DD1159" t="s">
        <v>125</v>
      </c>
      <c r="DE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Q1159" t="s">
        <v>126</v>
      </c>
    </row>
    <row r="1160" spans="1:121" x14ac:dyDescent="0.15">
      <c r="A1160">
        <v>2018</v>
      </c>
      <c r="B1160" t="s">
        <v>264</v>
      </c>
      <c r="C1160" t="str">
        <f t="shared" ref="C1160:C1166" si="54">"2450014"</f>
        <v>2450014</v>
      </c>
      <c r="D1160" t="s">
        <v>1306</v>
      </c>
      <c r="E1160" t="str">
        <f>"2456014"</f>
        <v>2456014</v>
      </c>
      <c r="F1160" t="s">
        <v>1286</v>
      </c>
      <c r="G1160">
        <v>9</v>
      </c>
      <c r="H1160">
        <v>12</v>
      </c>
      <c r="J1160" t="s">
        <v>331</v>
      </c>
      <c r="K1160">
        <v>1022.743702</v>
      </c>
      <c r="L1160">
        <v>1550</v>
      </c>
      <c r="M1160">
        <v>65.983464999999995</v>
      </c>
      <c r="N1160">
        <v>3</v>
      </c>
      <c r="O1160">
        <v>1</v>
      </c>
      <c r="P1160">
        <v>52.759259</v>
      </c>
      <c r="Q1160">
        <v>105.518519</v>
      </c>
      <c r="R1160">
        <v>150</v>
      </c>
      <c r="S1160">
        <v>48.820988</v>
      </c>
      <c r="T1160">
        <v>64.574073999999996</v>
      </c>
      <c r="U1160">
        <v>97.641975000000002</v>
      </c>
      <c r="V1160">
        <v>150</v>
      </c>
      <c r="W1160">
        <v>47.027262999999998</v>
      </c>
      <c r="X1160">
        <v>94.054526999999993</v>
      </c>
      <c r="Y1160">
        <v>150</v>
      </c>
      <c r="Z1160">
        <v>53.709876999999999</v>
      </c>
      <c r="AA1160">
        <v>44.799726</v>
      </c>
      <c r="AB1160">
        <v>89.599451000000002</v>
      </c>
      <c r="AC1160">
        <v>150</v>
      </c>
      <c r="AD1160">
        <v>48.978912999999999</v>
      </c>
      <c r="AE1160">
        <v>65.305216999999999</v>
      </c>
      <c r="AF1160">
        <v>100</v>
      </c>
      <c r="AG1160">
        <v>46.247776000000002</v>
      </c>
      <c r="AH1160">
        <v>57.475783</v>
      </c>
      <c r="AI1160">
        <v>61.663701000000003</v>
      </c>
      <c r="AJ1160">
        <v>100</v>
      </c>
      <c r="AK1160">
        <v>15.75</v>
      </c>
      <c r="AL1160">
        <v>8.91</v>
      </c>
      <c r="AM1160">
        <v>11.22</v>
      </c>
      <c r="AN1160" t="s">
        <v>125</v>
      </c>
      <c r="AO1160" t="s">
        <v>125</v>
      </c>
      <c r="AP1160" t="s">
        <v>125</v>
      </c>
      <c r="AQ1160" t="s">
        <v>125</v>
      </c>
      <c r="AR1160" t="s">
        <v>125</v>
      </c>
      <c r="AS1160" t="s">
        <v>125</v>
      </c>
      <c r="AT1160" t="s">
        <v>125</v>
      </c>
      <c r="AU1160" t="s">
        <v>125</v>
      </c>
      <c r="AV1160" t="s">
        <v>125</v>
      </c>
      <c r="AW1160" t="s">
        <v>125</v>
      </c>
      <c r="AX1160" t="s">
        <v>125</v>
      </c>
      <c r="AY1160" t="s">
        <v>125</v>
      </c>
      <c r="AZ1160" t="s">
        <v>125</v>
      </c>
      <c r="BA1160" t="s">
        <v>125</v>
      </c>
      <c r="BB1160">
        <v>0.52264900000000003</v>
      </c>
      <c r="BC1160">
        <v>26.132451</v>
      </c>
      <c r="BD1160">
        <v>50</v>
      </c>
      <c r="BE1160">
        <v>0.55683199999999999</v>
      </c>
      <c r="BF1160">
        <v>27.841605000000001</v>
      </c>
      <c r="BG1160">
        <v>50</v>
      </c>
      <c r="BH1160">
        <v>1</v>
      </c>
      <c r="BI1160">
        <v>0.94782599999999995</v>
      </c>
      <c r="BJ1160">
        <v>0.93181800000000004</v>
      </c>
      <c r="BK1160">
        <v>1</v>
      </c>
      <c r="BL1160">
        <v>0.94782599999999995</v>
      </c>
      <c r="BM1160">
        <v>0.93181800000000004</v>
      </c>
      <c r="BN1160">
        <v>1</v>
      </c>
      <c r="BO1160">
        <v>0.96521699999999999</v>
      </c>
      <c r="BP1160">
        <v>0.95454499999999998</v>
      </c>
      <c r="BQ1160">
        <v>1</v>
      </c>
      <c r="BR1160">
        <v>0.282609</v>
      </c>
      <c r="BS1160">
        <v>3.4782609999999998</v>
      </c>
      <c r="BT1160">
        <v>50</v>
      </c>
      <c r="BU1160">
        <v>0.35087699999999999</v>
      </c>
      <c r="BV1160">
        <v>0</v>
      </c>
      <c r="BW1160">
        <v>50</v>
      </c>
      <c r="BX1160">
        <v>0.57466099999999998</v>
      </c>
      <c r="BY1160">
        <v>38.310709000000003</v>
      </c>
      <c r="BZ1160">
        <v>50</v>
      </c>
      <c r="CA1160">
        <v>0.221719</v>
      </c>
      <c r="CB1160">
        <v>14.781297</v>
      </c>
      <c r="CC1160">
        <v>50</v>
      </c>
      <c r="CD1160">
        <v>0.93650800000000001</v>
      </c>
      <c r="CE1160">
        <v>49.814252000000003</v>
      </c>
      <c r="CF1160">
        <v>50</v>
      </c>
      <c r="CG1160">
        <v>0.87378599999999995</v>
      </c>
      <c r="CH1160">
        <v>92.956001000000001</v>
      </c>
      <c r="CI1160">
        <v>100</v>
      </c>
      <c r="CJ1160">
        <v>0</v>
      </c>
      <c r="CK1160">
        <v>0.86885199999999996</v>
      </c>
      <c r="CL1160">
        <v>92.431112999999996</v>
      </c>
      <c r="CM1160">
        <v>100</v>
      </c>
      <c r="CN1160">
        <v>0.59574499999999997</v>
      </c>
      <c r="CO1160">
        <v>79.432624000000004</v>
      </c>
      <c r="CP1160">
        <v>100</v>
      </c>
      <c r="CQ1160">
        <v>0.54205599999999998</v>
      </c>
      <c r="CR1160">
        <v>0.93043500000000001</v>
      </c>
      <c r="CS1160">
        <v>36.137072000000003</v>
      </c>
      <c r="CT1160">
        <v>50</v>
      </c>
      <c r="CU1160">
        <v>0.571739</v>
      </c>
      <c r="CV1160">
        <v>47.644928</v>
      </c>
      <c r="CW1160">
        <v>50</v>
      </c>
      <c r="CX1160">
        <v>0.86885199999999996</v>
      </c>
      <c r="CY1160">
        <v>0.94</v>
      </c>
      <c r="CZ1160">
        <v>7.1148000000000003E-2</v>
      </c>
      <c r="DA1160">
        <v>15.314097</v>
      </c>
      <c r="DB1160">
        <v>17.400950000000002</v>
      </c>
      <c r="DC1160">
        <v>16.332519999999999</v>
      </c>
      <c r="DD1160">
        <v>7.9891730000000001</v>
      </c>
      <c r="DE1160">
        <v>1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Q1160" t="s">
        <v>126</v>
      </c>
    </row>
    <row r="1161" spans="1:121" x14ac:dyDescent="0.15">
      <c r="A1161">
        <v>2018</v>
      </c>
      <c r="B1161" t="s">
        <v>264</v>
      </c>
      <c r="C1161" t="str">
        <f t="shared" si="54"/>
        <v>2450014</v>
      </c>
      <c r="D1161" t="s">
        <v>1307</v>
      </c>
      <c r="E1161" t="str">
        <f>"2455014"</f>
        <v>2455014</v>
      </c>
      <c r="F1161" t="s">
        <v>1286</v>
      </c>
      <c r="G1161">
        <v>6</v>
      </c>
      <c r="H1161">
        <v>8</v>
      </c>
      <c r="I1161" t="s">
        <v>336</v>
      </c>
      <c r="J1161" t="s">
        <v>331</v>
      </c>
      <c r="K1161">
        <v>605.84646099999998</v>
      </c>
      <c r="L1161">
        <v>900</v>
      </c>
      <c r="M1161">
        <v>67.316272999999995</v>
      </c>
      <c r="N1161">
        <v>3</v>
      </c>
      <c r="O1161">
        <v>0</v>
      </c>
      <c r="P1161">
        <v>64.526608999999993</v>
      </c>
      <c r="Q1161">
        <v>43.017740000000003</v>
      </c>
      <c r="R1161">
        <v>50</v>
      </c>
      <c r="S1161">
        <v>60.883726000000003</v>
      </c>
      <c r="T1161">
        <v>75</v>
      </c>
      <c r="U1161">
        <v>40.589151000000001</v>
      </c>
      <c r="V1161">
        <v>50</v>
      </c>
      <c r="W1161">
        <v>51.274320000000003</v>
      </c>
      <c r="X1161">
        <v>34.182879999999997</v>
      </c>
      <c r="Y1161">
        <v>50</v>
      </c>
      <c r="Z1161">
        <v>63.028536000000003</v>
      </c>
      <c r="AA1161">
        <v>47.682754000000003</v>
      </c>
      <c r="AB1161">
        <v>31.788502999999999</v>
      </c>
      <c r="AC1161">
        <v>50</v>
      </c>
      <c r="AD1161">
        <v>60.183908000000002</v>
      </c>
      <c r="AE1161">
        <v>40.122605</v>
      </c>
      <c r="AF1161">
        <v>50</v>
      </c>
      <c r="AG1161">
        <v>52</v>
      </c>
      <c r="AH1161" t="s">
        <v>125</v>
      </c>
      <c r="AI1161">
        <v>34.666666999999997</v>
      </c>
      <c r="AJ1161">
        <v>50</v>
      </c>
      <c r="AK1161">
        <v>14.11</v>
      </c>
      <c r="AL1161">
        <v>15.34</v>
      </c>
      <c r="AM1161" t="s">
        <v>125</v>
      </c>
      <c r="AN1161">
        <v>0.56369400000000003</v>
      </c>
      <c r="AO1161">
        <v>56.369354999999999</v>
      </c>
      <c r="AP1161">
        <v>100</v>
      </c>
      <c r="AQ1161">
        <v>0.55317300000000003</v>
      </c>
      <c r="AR1161">
        <v>55.317312999999999</v>
      </c>
      <c r="AS1161">
        <v>100</v>
      </c>
      <c r="AT1161">
        <v>0.59073200000000003</v>
      </c>
      <c r="AU1161">
        <v>0.47684399999999999</v>
      </c>
      <c r="AV1161">
        <v>59.073172999999997</v>
      </c>
      <c r="AW1161">
        <v>100</v>
      </c>
      <c r="AX1161">
        <v>0.56190499999999999</v>
      </c>
      <c r="AY1161">
        <v>0.52512499999999995</v>
      </c>
      <c r="AZ1161">
        <v>56.190520999999997</v>
      </c>
      <c r="BA1161">
        <v>100</v>
      </c>
      <c r="BB1161" t="s">
        <v>125</v>
      </c>
      <c r="BC1161" t="s">
        <v>125</v>
      </c>
      <c r="BD1161" t="s">
        <v>125</v>
      </c>
      <c r="BE1161" t="s">
        <v>125</v>
      </c>
      <c r="BF1161" t="s">
        <v>125</v>
      </c>
      <c r="BG1161" t="s">
        <v>125</v>
      </c>
      <c r="BH1161">
        <v>0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 t="s">
        <v>125</v>
      </c>
      <c r="BR1161">
        <v>0.112676</v>
      </c>
      <c r="BS1161">
        <v>37.464789000000003</v>
      </c>
      <c r="BT1161">
        <v>50</v>
      </c>
      <c r="BU1161">
        <v>0.12963</v>
      </c>
      <c r="BV1161">
        <v>34.074074000000003</v>
      </c>
      <c r="BW1161">
        <v>50</v>
      </c>
      <c r="BX1161" t="s">
        <v>125</v>
      </c>
      <c r="BY1161" t="s">
        <v>125</v>
      </c>
      <c r="BZ1161" t="s">
        <v>125</v>
      </c>
      <c r="CA1161" t="s">
        <v>125</v>
      </c>
      <c r="CB1161" t="s">
        <v>125</v>
      </c>
      <c r="CC1161" t="s">
        <v>125</v>
      </c>
      <c r="CD1161">
        <v>0.95833299999999999</v>
      </c>
      <c r="CE1161">
        <v>50</v>
      </c>
      <c r="CF1161">
        <v>50</v>
      </c>
      <c r="CG1161" t="s">
        <v>125</v>
      </c>
      <c r="CH1161" t="s">
        <v>125</v>
      </c>
      <c r="CI1161" t="s">
        <v>125</v>
      </c>
      <c r="CJ1161" t="s">
        <v>125</v>
      </c>
      <c r="CK1161" t="s">
        <v>125</v>
      </c>
      <c r="CL1161" t="s">
        <v>125</v>
      </c>
      <c r="CM1161" t="s">
        <v>125</v>
      </c>
      <c r="CN1161" t="s">
        <v>125</v>
      </c>
      <c r="CO1161" t="s">
        <v>125</v>
      </c>
      <c r="CP1161" t="s">
        <v>125</v>
      </c>
      <c r="CQ1161">
        <v>0.49484499999999998</v>
      </c>
      <c r="CR1161">
        <v>0.97</v>
      </c>
      <c r="CS1161">
        <v>32.989691000000001</v>
      </c>
      <c r="CT1161">
        <v>50</v>
      </c>
      <c r="CU1161" t="s">
        <v>125</v>
      </c>
      <c r="CV1161" t="s">
        <v>125</v>
      </c>
      <c r="CW1161" t="s">
        <v>125</v>
      </c>
      <c r="CX1161" t="s">
        <v>125</v>
      </c>
      <c r="CY1161" t="s">
        <v>125</v>
      </c>
      <c r="CZ1161" t="s">
        <v>125</v>
      </c>
      <c r="DA1161">
        <v>15.314097</v>
      </c>
      <c r="DB1161">
        <v>17.400950000000002</v>
      </c>
      <c r="DC1161">
        <v>16.332519999999999</v>
      </c>
      <c r="DD1161" t="s">
        <v>125</v>
      </c>
      <c r="DE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Q1161" t="s">
        <v>126</v>
      </c>
    </row>
    <row r="1162" spans="1:121" x14ac:dyDescent="0.15">
      <c r="A1162">
        <v>2018</v>
      </c>
      <c r="B1162" t="s">
        <v>264</v>
      </c>
      <c r="C1162" t="str">
        <f t="shared" si="54"/>
        <v>2450014</v>
      </c>
      <c r="D1162" t="s">
        <v>1308</v>
      </c>
      <c r="E1162" t="str">
        <f>"2456114"</f>
        <v>2456114</v>
      </c>
      <c r="F1162" t="s">
        <v>1286</v>
      </c>
      <c r="G1162">
        <v>9</v>
      </c>
      <c r="H1162">
        <v>12</v>
      </c>
      <c r="J1162" t="s">
        <v>331</v>
      </c>
      <c r="K1162">
        <v>990.308807</v>
      </c>
      <c r="L1162">
        <v>1050</v>
      </c>
      <c r="M1162">
        <v>94.315123999999997</v>
      </c>
      <c r="N1162">
        <v>1</v>
      </c>
      <c r="O1162">
        <v>0</v>
      </c>
      <c r="P1162">
        <v>71.383598000000006</v>
      </c>
      <c r="Q1162">
        <v>142.76719600000001</v>
      </c>
      <c r="R1162">
        <v>150</v>
      </c>
      <c r="S1162" t="s">
        <v>125</v>
      </c>
      <c r="T1162">
        <v>73.071428999999995</v>
      </c>
      <c r="U1162" t="s">
        <v>125</v>
      </c>
      <c r="V1162" t="s">
        <v>125</v>
      </c>
      <c r="W1162">
        <v>65.534391999999997</v>
      </c>
      <c r="X1162">
        <v>131.068783</v>
      </c>
      <c r="Y1162">
        <v>150</v>
      </c>
      <c r="Z1162">
        <v>66.411564999999996</v>
      </c>
      <c r="AA1162" t="s">
        <v>125</v>
      </c>
      <c r="AB1162" t="s">
        <v>125</v>
      </c>
      <c r="AC1162" t="s">
        <v>125</v>
      </c>
      <c r="AD1162">
        <v>78.484024000000005</v>
      </c>
      <c r="AE1162">
        <v>100</v>
      </c>
      <c r="AF1162">
        <v>100</v>
      </c>
      <c r="AG1162" t="s">
        <v>125</v>
      </c>
      <c r="AH1162">
        <v>75</v>
      </c>
      <c r="AI1162" t="s">
        <v>125</v>
      </c>
      <c r="AJ1162" t="s">
        <v>125</v>
      </c>
      <c r="AK1162" t="s">
        <v>125</v>
      </c>
      <c r="AL1162" t="s">
        <v>125</v>
      </c>
      <c r="AM1162" t="s">
        <v>125</v>
      </c>
      <c r="AN1162" t="s">
        <v>125</v>
      </c>
      <c r="AO1162" t="s">
        <v>125</v>
      </c>
      <c r="AP1162" t="s">
        <v>125</v>
      </c>
      <c r="AQ1162" t="s">
        <v>125</v>
      </c>
      <c r="AR1162" t="s">
        <v>125</v>
      </c>
      <c r="AS1162" t="s">
        <v>125</v>
      </c>
      <c r="AT1162" t="s">
        <v>125</v>
      </c>
      <c r="AU1162" t="s">
        <v>125</v>
      </c>
      <c r="AV1162" t="s">
        <v>125</v>
      </c>
      <c r="AW1162" t="s">
        <v>125</v>
      </c>
      <c r="AX1162" t="s">
        <v>125</v>
      </c>
      <c r="AY1162" t="s">
        <v>125</v>
      </c>
      <c r="AZ1162" t="s">
        <v>125</v>
      </c>
      <c r="BA1162" t="s">
        <v>125</v>
      </c>
      <c r="BB1162" t="s">
        <v>125</v>
      </c>
      <c r="BC1162" t="s">
        <v>125</v>
      </c>
      <c r="BD1162" t="s">
        <v>125</v>
      </c>
      <c r="BE1162" t="s">
        <v>125</v>
      </c>
      <c r="BF1162" t="s">
        <v>125</v>
      </c>
      <c r="BG1162" t="s">
        <v>125</v>
      </c>
      <c r="BH1162">
        <v>0</v>
      </c>
      <c r="BI1162">
        <v>0.95454499999999998</v>
      </c>
      <c r="BJ1162" t="s">
        <v>125</v>
      </c>
      <c r="BK1162">
        <v>1</v>
      </c>
      <c r="BL1162">
        <v>0.95454499999999998</v>
      </c>
      <c r="BM1162" t="s">
        <v>125</v>
      </c>
      <c r="BN1162">
        <v>1</v>
      </c>
      <c r="BO1162">
        <v>0.98484799999999995</v>
      </c>
      <c r="BP1162" t="s">
        <v>125</v>
      </c>
      <c r="BQ1162">
        <v>1</v>
      </c>
      <c r="BR1162">
        <v>5.2631999999999998E-2</v>
      </c>
      <c r="BS1162">
        <v>49.473683999999999</v>
      </c>
      <c r="BT1162">
        <v>50</v>
      </c>
      <c r="BU1162">
        <v>8.2192000000000001E-2</v>
      </c>
      <c r="BV1162">
        <v>43.561644000000001</v>
      </c>
      <c r="BW1162">
        <v>50</v>
      </c>
      <c r="BX1162">
        <v>1</v>
      </c>
      <c r="BY1162">
        <v>50</v>
      </c>
      <c r="BZ1162">
        <v>50</v>
      </c>
      <c r="CA1162">
        <v>0.72656299999999996</v>
      </c>
      <c r="CB1162">
        <v>48.4375</v>
      </c>
      <c r="CC1162">
        <v>50</v>
      </c>
      <c r="CD1162">
        <v>1</v>
      </c>
      <c r="CE1162">
        <v>50</v>
      </c>
      <c r="CF1162">
        <v>50</v>
      </c>
      <c r="CG1162">
        <v>1</v>
      </c>
      <c r="CH1162">
        <v>100</v>
      </c>
      <c r="CI1162">
        <v>100</v>
      </c>
      <c r="CJ1162">
        <v>0</v>
      </c>
      <c r="CK1162">
        <v>1</v>
      </c>
      <c r="CL1162">
        <v>100</v>
      </c>
      <c r="CM1162">
        <v>100</v>
      </c>
      <c r="CN1162">
        <v>0.81818199999999996</v>
      </c>
      <c r="CO1162">
        <v>100</v>
      </c>
      <c r="CP1162">
        <v>100</v>
      </c>
      <c r="CQ1162">
        <v>0.85714299999999999</v>
      </c>
      <c r="CR1162">
        <v>0.875</v>
      </c>
      <c r="CS1162">
        <v>25</v>
      </c>
      <c r="CT1162">
        <v>50</v>
      </c>
      <c r="CU1162">
        <v>0.74812000000000001</v>
      </c>
      <c r="CV1162">
        <v>50</v>
      </c>
      <c r="CW1162">
        <v>50</v>
      </c>
      <c r="CX1162">
        <v>1</v>
      </c>
      <c r="CY1162">
        <v>0.94</v>
      </c>
      <c r="CZ1162">
        <v>-0.06</v>
      </c>
      <c r="DA1162">
        <v>15.314097</v>
      </c>
      <c r="DB1162">
        <v>17.400950000000002</v>
      </c>
      <c r="DC1162">
        <v>16.332519999999999</v>
      </c>
      <c r="DD1162">
        <v>7.9891730000000001</v>
      </c>
      <c r="DE1162">
        <v>0</v>
      </c>
      <c r="DH1162" t="s">
        <v>332</v>
      </c>
      <c r="DI1162" t="s">
        <v>333</v>
      </c>
      <c r="DJ1162">
        <v>1</v>
      </c>
      <c r="DK1162">
        <v>0</v>
      </c>
      <c r="DL1162">
        <v>0</v>
      </c>
      <c r="DM1162">
        <v>0</v>
      </c>
      <c r="DN1162">
        <v>0</v>
      </c>
      <c r="DO1162">
        <v>0</v>
      </c>
      <c r="DQ1162" t="s">
        <v>126</v>
      </c>
    </row>
    <row r="1163" spans="1:121" x14ac:dyDescent="0.15">
      <c r="A1163">
        <v>2018</v>
      </c>
      <c r="B1163" t="s">
        <v>264</v>
      </c>
      <c r="C1163" t="str">
        <f t="shared" si="54"/>
        <v>2450014</v>
      </c>
      <c r="D1163" t="s">
        <v>1309</v>
      </c>
      <c r="E1163" t="str">
        <f>"2450114"</f>
        <v>2450114</v>
      </c>
      <c r="F1163" t="s">
        <v>1286</v>
      </c>
      <c r="G1163" t="s">
        <v>339</v>
      </c>
      <c r="H1163">
        <v>5</v>
      </c>
      <c r="I1163" t="s">
        <v>336</v>
      </c>
      <c r="J1163" t="s">
        <v>331</v>
      </c>
      <c r="K1163">
        <v>697.61051899999995</v>
      </c>
      <c r="L1163">
        <v>950</v>
      </c>
      <c r="M1163">
        <v>73.432686000000004</v>
      </c>
      <c r="N1163">
        <v>2</v>
      </c>
      <c r="O1163">
        <v>0</v>
      </c>
      <c r="P1163">
        <v>66.084475999999995</v>
      </c>
      <c r="Q1163">
        <v>44.056317</v>
      </c>
      <c r="R1163">
        <v>50</v>
      </c>
      <c r="S1163">
        <v>62.502440999999997</v>
      </c>
      <c r="T1163">
        <v>75</v>
      </c>
      <c r="U1163">
        <v>41.668294000000003</v>
      </c>
      <c r="V1163">
        <v>50</v>
      </c>
      <c r="W1163">
        <v>58.457697000000003</v>
      </c>
      <c r="X1163">
        <v>38.971798</v>
      </c>
      <c r="Y1163">
        <v>50</v>
      </c>
      <c r="Z1163">
        <v>70.368897000000004</v>
      </c>
      <c r="AA1163">
        <v>53.999313999999998</v>
      </c>
      <c r="AB1163">
        <v>35.999543000000003</v>
      </c>
      <c r="AC1163">
        <v>50</v>
      </c>
      <c r="AD1163">
        <v>65.076656</v>
      </c>
      <c r="AE1163">
        <v>43.384438000000003</v>
      </c>
      <c r="AF1163">
        <v>50</v>
      </c>
      <c r="AG1163">
        <v>59.058467999999998</v>
      </c>
      <c r="AH1163">
        <v>75</v>
      </c>
      <c r="AI1163">
        <v>39.372312000000001</v>
      </c>
      <c r="AJ1163">
        <v>50</v>
      </c>
      <c r="AK1163">
        <v>12.49</v>
      </c>
      <c r="AL1163">
        <v>16.36</v>
      </c>
      <c r="AM1163">
        <v>15.94</v>
      </c>
      <c r="AN1163">
        <v>0.72036599999999995</v>
      </c>
      <c r="AO1163">
        <v>72.036620999999997</v>
      </c>
      <c r="AP1163">
        <v>100</v>
      </c>
      <c r="AQ1163">
        <v>0.77694300000000005</v>
      </c>
      <c r="AR1163">
        <v>77.694265000000001</v>
      </c>
      <c r="AS1163">
        <v>100</v>
      </c>
      <c r="AT1163">
        <v>0.71118700000000001</v>
      </c>
      <c r="AU1163">
        <v>0.74312400000000001</v>
      </c>
      <c r="AV1163">
        <v>71.118673000000001</v>
      </c>
      <c r="AW1163">
        <v>100</v>
      </c>
      <c r="AX1163">
        <v>0.72229299999999996</v>
      </c>
      <c r="AY1163">
        <v>0.91242900000000005</v>
      </c>
      <c r="AZ1163">
        <v>72.229253</v>
      </c>
      <c r="BA1163">
        <v>100</v>
      </c>
      <c r="BB1163">
        <v>0.71203399999999994</v>
      </c>
      <c r="BC1163">
        <v>35.601694999999999</v>
      </c>
      <c r="BD1163">
        <v>50</v>
      </c>
      <c r="BE1163">
        <v>0.55244599999999999</v>
      </c>
      <c r="BF1163">
        <v>27.622319000000001</v>
      </c>
      <c r="BG1163">
        <v>50</v>
      </c>
      <c r="BH1163">
        <v>0</v>
      </c>
      <c r="BI1163">
        <v>0.97656299999999996</v>
      </c>
      <c r="BJ1163">
        <v>0.98387100000000005</v>
      </c>
      <c r="BK1163">
        <v>0.95714299999999997</v>
      </c>
      <c r="BL1163">
        <v>0.97656299999999996</v>
      </c>
      <c r="BM1163">
        <v>0.98387100000000005</v>
      </c>
      <c r="BN1163">
        <v>0.95714299999999997</v>
      </c>
      <c r="BO1163">
        <v>0.96875</v>
      </c>
      <c r="BP1163">
        <v>0.96969700000000003</v>
      </c>
      <c r="BQ1163">
        <v>0.96666700000000005</v>
      </c>
      <c r="BR1163">
        <v>9.8196000000000006E-2</v>
      </c>
      <c r="BS1163">
        <v>40.360720999999998</v>
      </c>
      <c r="BT1163">
        <v>50</v>
      </c>
      <c r="BU1163">
        <v>0.129412</v>
      </c>
      <c r="BV1163">
        <v>34.117646999999998</v>
      </c>
      <c r="BW1163">
        <v>50</v>
      </c>
      <c r="BX1163" t="s">
        <v>125</v>
      </c>
      <c r="BY1163" t="s">
        <v>125</v>
      </c>
      <c r="BZ1163" t="s">
        <v>125</v>
      </c>
      <c r="CA1163" t="s">
        <v>125</v>
      </c>
      <c r="CB1163" t="s">
        <v>125</v>
      </c>
      <c r="CC1163" t="s">
        <v>125</v>
      </c>
      <c r="CD1163" t="s">
        <v>125</v>
      </c>
      <c r="CE1163" t="s">
        <v>125</v>
      </c>
      <c r="CF1163" t="s">
        <v>125</v>
      </c>
      <c r="CG1163" t="s">
        <v>125</v>
      </c>
      <c r="CH1163" t="s">
        <v>125</v>
      </c>
      <c r="CI1163" t="s">
        <v>125</v>
      </c>
      <c r="CJ1163" t="s">
        <v>125</v>
      </c>
      <c r="CK1163" t="s">
        <v>125</v>
      </c>
      <c r="CL1163" t="s">
        <v>125</v>
      </c>
      <c r="CM1163" t="s">
        <v>125</v>
      </c>
      <c r="CN1163" t="s">
        <v>125</v>
      </c>
      <c r="CO1163" t="s">
        <v>125</v>
      </c>
      <c r="CP1163" t="s">
        <v>125</v>
      </c>
      <c r="CQ1163">
        <v>0.35064899999999999</v>
      </c>
      <c r="CR1163">
        <v>1.013158</v>
      </c>
      <c r="CS1163">
        <v>23.376622999999999</v>
      </c>
      <c r="CT1163">
        <v>50</v>
      </c>
      <c r="CU1163" t="s">
        <v>125</v>
      </c>
      <c r="CV1163" t="s">
        <v>125</v>
      </c>
      <c r="CW1163" t="s">
        <v>125</v>
      </c>
      <c r="CX1163" t="s">
        <v>125</v>
      </c>
      <c r="CY1163" t="s">
        <v>125</v>
      </c>
      <c r="CZ1163" t="s">
        <v>125</v>
      </c>
      <c r="DA1163">
        <v>15.314097</v>
      </c>
      <c r="DB1163">
        <v>17.400950000000002</v>
      </c>
      <c r="DC1163">
        <v>16.332519999999999</v>
      </c>
      <c r="DD1163" t="s">
        <v>125</v>
      </c>
      <c r="DE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Q1163" t="s">
        <v>126</v>
      </c>
    </row>
    <row r="1164" spans="1:121" x14ac:dyDescent="0.15">
      <c r="A1164">
        <v>2018</v>
      </c>
      <c r="B1164" t="s">
        <v>264</v>
      </c>
      <c r="C1164" t="str">
        <f t="shared" si="54"/>
        <v>2450014</v>
      </c>
      <c r="D1164" t="s">
        <v>1310</v>
      </c>
      <c r="E1164" t="str">
        <f>"2450314"</f>
        <v>2450314</v>
      </c>
      <c r="F1164" t="s">
        <v>1286</v>
      </c>
      <c r="G1164" t="s">
        <v>329</v>
      </c>
      <c r="H1164">
        <v>5</v>
      </c>
      <c r="J1164" t="s">
        <v>331</v>
      </c>
      <c r="K1164">
        <v>554.68397400000003</v>
      </c>
      <c r="L1164">
        <v>950</v>
      </c>
      <c r="M1164">
        <v>58.387787000000003</v>
      </c>
      <c r="N1164">
        <v>3</v>
      </c>
      <c r="O1164">
        <v>0</v>
      </c>
      <c r="P1164">
        <v>62.262447999999999</v>
      </c>
      <c r="Q1164">
        <v>41.508299000000001</v>
      </c>
      <c r="R1164">
        <v>50</v>
      </c>
      <c r="S1164">
        <v>60.154280999999997</v>
      </c>
      <c r="T1164">
        <v>70.153013999999999</v>
      </c>
      <c r="U1164">
        <v>40.102854000000001</v>
      </c>
      <c r="V1164">
        <v>50</v>
      </c>
      <c r="W1164">
        <v>52.742801</v>
      </c>
      <c r="X1164">
        <v>35.161867000000001</v>
      </c>
      <c r="Y1164">
        <v>50</v>
      </c>
      <c r="Z1164">
        <v>64.194318999999993</v>
      </c>
      <c r="AA1164">
        <v>49.683236000000001</v>
      </c>
      <c r="AB1164">
        <v>33.122157000000001</v>
      </c>
      <c r="AC1164">
        <v>50</v>
      </c>
      <c r="AD1164">
        <v>55.865307999999999</v>
      </c>
      <c r="AE1164">
        <v>37.243538999999998</v>
      </c>
      <c r="AF1164">
        <v>50</v>
      </c>
      <c r="AG1164">
        <v>54.818638</v>
      </c>
      <c r="AH1164" t="s">
        <v>125</v>
      </c>
      <c r="AI1164">
        <v>36.545758999999997</v>
      </c>
      <c r="AJ1164">
        <v>50</v>
      </c>
      <c r="AK1164">
        <v>9.99</v>
      </c>
      <c r="AL1164">
        <v>14.51</v>
      </c>
      <c r="AM1164" t="s">
        <v>125</v>
      </c>
      <c r="AN1164">
        <v>0.57327700000000004</v>
      </c>
      <c r="AO1164">
        <v>57.327683</v>
      </c>
      <c r="AP1164">
        <v>100</v>
      </c>
      <c r="AQ1164">
        <v>0.54164299999999999</v>
      </c>
      <c r="AR1164">
        <v>54.164301999999999</v>
      </c>
      <c r="AS1164">
        <v>100</v>
      </c>
      <c r="AT1164">
        <v>0.60197400000000001</v>
      </c>
      <c r="AU1164">
        <v>0.48821100000000001</v>
      </c>
      <c r="AV1164">
        <v>60.197377000000003</v>
      </c>
      <c r="AW1164">
        <v>100</v>
      </c>
      <c r="AX1164">
        <v>0.48005300000000001</v>
      </c>
      <c r="AY1164">
        <v>0.72421199999999997</v>
      </c>
      <c r="AZ1164">
        <v>48.005343000000003</v>
      </c>
      <c r="BA1164">
        <v>100</v>
      </c>
      <c r="BB1164">
        <v>0.50869200000000003</v>
      </c>
      <c r="BC1164">
        <v>25.43458</v>
      </c>
      <c r="BD1164">
        <v>50</v>
      </c>
      <c r="BE1164">
        <v>0.387548</v>
      </c>
      <c r="BF1164">
        <v>19.377403999999999</v>
      </c>
      <c r="BG1164">
        <v>50</v>
      </c>
      <c r="BH1164">
        <v>0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1</v>
      </c>
      <c r="BO1164">
        <v>1</v>
      </c>
      <c r="BP1164">
        <v>1</v>
      </c>
      <c r="BQ1164" t="s">
        <v>125</v>
      </c>
      <c r="BR1164">
        <v>0.15803800000000001</v>
      </c>
      <c r="BS1164">
        <v>28.392371000000001</v>
      </c>
      <c r="BT1164">
        <v>50</v>
      </c>
      <c r="BU1164">
        <v>0.19434599999999999</v>
      </c>
      <c r="BV1164">
        <v>21.130742000000001</v>
      </c>
      <c r="BW1164">
        <v>50</v>
      </c>
      <c r="BX1164" t="s">
        <v>125</v>
      </c>
      <c r="BY1164" t="s">
        <v>125</v>
      </c>
      <c r="BZ1164" t="s">
        <v>125</v>
      </c>
      <c r="CA1164" t="s">
        <v>125</v>
      </c>
      <c r="CB1164" t="s">
        <v>125</v>
      </c>
      <c r="CC1164" t="s">
        <v>125</v>
      </c>
      <c r="CD1164" t="s">
        <v>125</v>
      </c>
      <c r="CE1164" t="s">
        <v>125</v>
      </c>
      <c r="CF1164" t="s">
        <v>125</v>
      </c>
      <c r="CG1164" t="s">
        <v>125</v>
      </c>
      <c r="CH1164" t="s">
        <v>125</v>
      </c>
      <c r="CI1164" t="s">
        <v>125</v>
      </c>
      <c r="CJ1164" t="s">
        <v>125</v>
      </c>
      <c r="CK1164" t="s">
        <v>125</v>
      </c>
      <c r="CL1164" t="s">
        <v>125</v>
      </c>
      <c r="CM1164" t="s">
        <v>125</v>
      </c>
      <c r="CN1164" t="s">
        <v>125</v>
      </c>
      <c r="CO1164" t="s">
        <v>125</v>
      </c>
      <c r="CP1164" t="s">
        <v>125</v>
      </c>
      <c r="CQ1164">
        <v>0.25454500000000002</v>
      </c>
      <c r="CR1164">
        <v>1</v>
      </c>
      <c r="CS1164">
        <v>16.969697</v>
      </c>
      <c r="CT1164">
        <v>50</v>
      </c>
      <c r="CU1164" t="s">
        <v>125</v>
      </c>
      <c r="CV1164" t="s">
        <v>125</v>
      </c>
      <c r="CW1164" t="s">
        <v>125</v>
      </c>
      <c r="CX1164" t="s">
        <v>125</v>
      </c>
      <c r="CY1164" t="s">
        <v>125</v>
      </c>
      <c r="CZ1164" t="s">
        <v>125</v>
      </c>
      <c r="DA1164">
        <v>15.314097</v>
      </c>
      <c r="DB1164">
        <v>17.400950000000002</v>
      </c>
      <c r="DC1164">
        <v>16.332519999999999</v>
      </c>
      <c r="DD1164" t="s">
        <v>125</v>
      </c>
      <c r="DE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Q1164" t="s">
        <v>126</v>
      </c>
    </row>
    <row r="1165" spans="1:121" x14ac:dyDescent="0.15">
      <c r="A1165">
        <v>2018</v>
      </c>
      <c r="B1165" t="s">
        <v>264</v>
      </c>
      <c r="C1165" t="str">
        <f t="shared" si="54"/>
        <v>2450014</v>
      </c>
      <c r="D1165" t="s">
        <v>1311</v>
      </c>
      <c r="E1165" t="str">
        <f>"2450214"</f>
        <v>2450214</v>
      </c>
      <c r="F1165" t="s">
        <v>1286</v>
      </c>
      <c r="G1165" t="s">
        <v>329</v>
      </c>
      <c r="H1165" t="s">
        <v>339</v>
      </c>
      <c r="I1165" t="s">
        <v>336</v>
      </c>
      <c r="J1165" t="s">
        <v>331</v>
      </c>
      <c r="K1165">
        <v>46.722420999999997</v>
      </c>
      <c r="L1165">
        <v>100</v>
      </c>
      <c r="M1165">
        <v>46.722420999999997</v>
      </c>
      <c r="N1165" t="s">
        <v>125</v>
      </c>
      <c r="O1165" t="s">
        <v>125</v>
      </c>
      <c r="P1165" t="s">
        <v>125</v>
      </c>
      <c r="Q1165" t="s">
        <v>125</v>
      </c>
      <c r="R1165" t="s">
        <v>125</v>
      </c>
      <c r="S1165" t="s">
        <v>125</v>
      </c>
      <c r="T1165" t="s">
        <v>125</v>
      </c>
      <c r="U1165" t="s">
        <v>125</v>
      </c>
      <c r="V1165" t="s">
        <v>125</v>
      </c>
      <c r="W1165" t="s">
        <v>125</v>
      </c>
      <c r="X1165" t="s">
        <v>125</v>
      </c>
      <c r="Y1165" t="s">
        <v>125</v>
      </c>
      <c r="Z1165" t="s">
        <v>125</v>
      </c>
      <c r="AA1165" t="s">
        <v>125</v>
      </c>
      <c r="AB1165" t="s">
        <v>125</v>
      </c>
      <c r="AC1165" t="s">
        <v>125</v>
      </c>
      <c r="AD1165" t="s">
        <v>125</v>
      </c>
      <c r="AE1165" t="s">
        <v>125</v>
      </c>
      <c r="AF1165" t="s">
        <v>125</v>
      </c>
      <c r="AG1165" t="s">
        <v>125</v>
      </c>
      <c r="AH1165" t="s">
        <v>125</v>
      </c>
      <c r="AI1165" t="s">
        <v>125</v>
      </c>
      <c r="AJ1165" t="s">
        <v>125</v>
      </c>
      <c r="AK1165" t="s">
        <v>125</v>
      </c>
      <c r="AL1165" t="s">
        <v>125</v>
      </c>
      <c r="AM1165" t="s">
        <v>125</v>
      </c>
      <c r="AN1165" t="s">
        <v>125</v>
      </c>
      <c r="AO1165" t="s">
        <v>125</v>
      </c>
      <c r="AP1165" t="s">
        <v>125</v>
      </c>
      <c r="AQ1165" t="s">
        <v>125</v>
      </c>
      <c r="AR1165" t="s">
        <v>125</v>
      </c>
      <c r="AS1165" t="s">
        <v>125</v>
      </c>
      <c r="AT1165" t="s">
        <v>125</v>
      </c>
      <c r="AU1165" t="s">
        <v>125</v>
      </c>
      <c r="AV1165" t="s">
        <v>125</v>
      </c>
      <c r="AW1165" t="s">
        <v>125</v>
      </c>
      <c r="AX1165" t="s">
        <v>125</v>
      </c>
      <c r="AY1165" t="s">
        <v>125</v>
      </c>
      <c r="AZ1165" t="s">
        <v>125</v>
      </c>
      <c r="BA1165" t="s">
        <v>125</v>
      </c>
      <c r="BB1165" t="s">
        <v>125</v>
      </c>
      <c r="BC1165" t="s">
        <v>125</v>
      </c>
      <c r="BD1165" t="s">
        <v>125</v>
      </c>
      <c r="BE1165" t="s">
        <v>125</v>
      </c>
      <c r="BF1165" t="s">
        <v>125</v>
      </c>
      <c r="BG1165" t="s">
        <v>125</v>
      </c>
      <c r="BH1165" t="s">
        <v>125</v>
      </c>
      <c r="BI1165" t="s">
        <v>125</v>
      </c>
      <c r="BJ1165" t="s">
        <v>125</v>
      </c>
      <c r="BK1165" t="s">
        <v>125</v>
      </c>
      <c r="BL1165" t="s">
        <v>125</v>
      </c>
      <c r="BM1165" t="s">
        <v>125</v>
      </c>
      <c r="BN1165" t="s">
        <v>125</v>
      </c>
      <c r="BO1165" t="s">
        <v>125</v>
      </c>
      <c r="BP1165" t="s">
        <v>125</v>
      </c>
      <c r="BQ1165" t="s">
        <v>125</v>
      </c>
      <c r="BR1165">
        <v>0.17283999999999999</v>
      </c>
      <c r="BS1165">
        <v>25.432099000000001</v>
      </c>
      <c r="BT1165">
        <v>50</v>
      </c>
      <c r="BU1165">
        <v>0.193548</v>
      </c>
      <c r="BV1165">
        <v>21.290323000000001</v>
      </c>
      <c r="BW1165">
        <v>50</v>
      </c>
      <c r="BX1165" t="s">
        <v>125</v>
      </c>
      <c r="BY1165" t="s">
        <v>125</v>
      </c>
      <c r="BZ1165" t="s">
        <v>125</v>
      </c>
      <c r="CA1165" t="s">
        <v>125</v>
      </c>
      <c r="CB1165" t="s">
        <v>125</v>
      </c>
      <c r="CC1165" t="s">
        <v>125</v>
      </c>
      <c r="CD1165" t="s">
        <v>125</v>
      </c>
      <c r="CE1165" t="s">
        <v>125</v>
      </c>
      <c r="CF1165" t="s">
        <v>125</v>
      </c>
      <c r="CG1165" t="s">
        <v>125</v>
      </c>
      <c r="CH1165" t="s">
        <v>125</v>
      </c>
      <c r="CI1165" t="s">
        <v>125</v>
      </c>
      <c r="CJ1165" t="s">
        <v>125</v>
      </c>
      <c r="CK1165" t="s">
        <v>125</v>
      </c>
      <c r="CL1165" t="s">
        <v>125</v>
      </c>
      <c r="CM1165" t="s">
        <v>125</v>
      </c>
      <c r="CN1165" t="s">
        <v>125</v>
      </c>
      <c r="CO1165" t="s">
        <v>125</v>
      </c>
      <c r="CP1165" t="s">
        <v>125</v>
      </c>
      <c r="CQ1165" t="s">
        <v>125</v>
      </c>
      <c r="CR1165" t="s">
        <v>125</v>
      </c>
      <c r="CS1165" t="s">
        <v>125</v>
      </c>
      <c r="CT1165" t="s">
        <v>125</v>
      </c>
      <c r="CU1165" t="s">
        <v>125</v>
      </c>
      <c r="CV1165" t="s">
        <v>125</v>
      </c>
      <c r="CW1165" t="s">
        <v>125</v>
      </c>
      <c r="CX1165" t="s">
        <v>125</v>
      </c>
      <c r="CY1165" t="s">
        <v>125</v>
      </c>
      <c r="CZ1165" t="s">
        <v>125</v>
      </c>
      <c r="DA1165" t="s">
        <v>125</v>
      </c>
      <c r="DB1165" t="s">
        <v>125</v>
      </c>
      <c r="DC1165" t="s">
        <v>125</v>
      </c>
      <c r="DD1165" t="s">
        <v>125</v>
      </c>
      <c r="DE1165" t="s">
        <v>125</v>
      </c>
      <c r="DJ1165" t="s">
        <v>125</v>
      </c>
      <c r="DK1165" t="s">
        <v>125</v>
      </c>
      <c r="DL1165" t="s">
        <v>125</v>
      </c>
      <c r="DM1165" t="s">
        <v>125</v>
      </c>
      <c r="DN1165" t="s">
        <v>125</v>
      </c>
      <c r="DO1165" t="s">
        <v>125</v>
      </c>
      <c r="DQ1165" t="s">
        <v>126</v>
      </c>
    </row>
    <row r="1166" spans="1:121" x14ac:dyDescent="0.15">
      <c r="A1166">
        <v>2018</v>
      </c>
      <c r="B1166" t="s">
        <v>264</v>
      </c>
      <c r="C1166" t="str">
        <f t="shared" si="54"/>
        <v>2450014</v>
      </c>
      <c r="D1166" t="s">
        <v>1312</v>
      </c>
      <c r="E1166" t="str">
        <f>"2456214"</f>
        <v>2456214</v>
      </c>
      <c r="F1166" t="s">
        <v>1286</v>
      </c>
      <c r="G1166">
        <v>11</v>
      </c>
      <c r="H1166">
        <v>12</v>
      </c>
      <c r="I1166" t="s">
        <v>336</v>
      </c>
      <c r="J1166" t="s">
        <v>331</v>
      </c>
      <c r="K1166">
        <v>686.22185200000001</v>
      </c>
      <c r="L1166">
        <v>850</v>
      </c>
      <c r="M1166">
        <v>80.731983</v>
      </c>
      <c r="N1166">
        <v>2</v>
      </c>
      <c r="O1166">
        <v>0</v>
      </c>
      <c r="P1166">
        <v>60.098958000000003</v>
      </c>
      <c r="Q1166">
        <v>120.197917</v>
      </c>
      <c r="R1166">
        <v>150</v>
      </c>
      <c r="S1166" t="s">
        <v>125</v>
      </c>
      <c r="T1166" t="s">
        <v>125</v>
      </c>
      <c r="U1166" t="s">
        <v>125</v>
      </c>
      <c r="V1166" t="s">
        <v>125</v>
      </c>
      <c r="W1166">
        <v>55.744791999999997</v>
      </c>
      <c r="X1166">
        <v>111.489583</v>
      </c>
      <c r="Y1166">
        <v>150</v>
      </c>
      <c r="Z1166" t="s">
        <v>125</v>
      </c>
      <c r="AA1166" t="s">
        <v>125</v>
      </c>
      <c r="AB1166" t="s">
        <v>125</v>
      </c>
      <c r="AC1166" t="s">
        <v>125</v>
      </c>
      <c r="AD1166">
        <v>59.717948999999997</v>
      </c>
      <c r="AE1166">
        <v>79.623931999999996</v>
      </c>
      <c r="AF1166">
        <v>100</v>
      </c>
      <c r="AG1166" t="s">
        <v>125</v>
      </c>
      <c r="AH1166" t="s">
        <v>125</v>
      </c>
      <c r="AI1166" t="s">
        <v>125</v>
      </c>
      <c r="AJ1166" t="s">
        <v>125</v>
      </c>
      <c r="AK1166" t="s">
        <v>125</v>
      </c>
      <c r="AL1166" t="s">
        <v>125</v>
      </c>
      <c r="AM1166" t="s">
        <v>125</v>
      </c>
      <c r="AN1166" t="s">
        <v>125</v>
      </c>
      <c r="AO1166" t="s">
        <v>125</v>
      </c>
      <c r="AP1166" t="s">
        <v>125</v>
      </c>
      <c r="AQ1166" t="s">
        <v>125</v>
      </c>
      <c r="AR1166" t="s">
        <v>125</v>
      </c>
      <c r="AS1166" t="s">
        <v>125</v>
      </c>
      <c r="AT1166" t="s">
        <v>125</v>
      </c>
      <c r="AU1166" t="s">
        <v>125</v>
      </c>
      <c r="AV1166" t="s">
        <v>125</v>
      </c>
      <c r="AW1166" t="s">
        <v>125</v>
      </c>
      <c r="AX1166" t="s">
        <v>125</v>
      </c>
      <c r="AY1166" t="s">
        <v>125</v>
      </c>
      <c r="AZ1166" t="s">
        <v>125</v>
      </c>
      <c r="BA1166" t="s">
        <v>125</v>
      </c>
      <c r="BB1166" t="s">
        <v>125</v>
      </c>
      <c r="BC1166" t="s">
        <v>125</v>
      </c>
      <c r="BD1166" t="s">
        <v>125</v>
      </c>
      <c r="BE1166" t="s">
        <v>125</v>
      </c>
      <c r="BF1166" t="s">
        <v>125</v>
      </c>
      <c r="BG1166" t="s">
        <v>125</v>
      </c>
      <c r="BH1166">
        <v>0</v>
      </c>
      <c r="BI1166">
        <v>0.96969700000000003</v>
      </c>
      <c r="BJ1166" t="s">
        <v>125</v>
      </c>
      <c r="BK1166" t="s">
        <v>125</v>
      </c>
      <c r="BL1166">
        <v>0.96969700000000003</v>
      </c>
      <c r="BM1166" t="s">
        <v>125</v>
      </c>
      <c r="BN1166" t="s">
        <v>125</v>
      </c>
      <c r="BO1166">
        <v>1</v>
      </c>
      <c r="BP1166" t="s">
        <v>125</v>
      </c>
      <c r="BQ1166" t="s">
        <v>125</v>
      </c>
      <c r="BR1166">
        <v>9.375E-2</v>
      </c>
      <c r="BS1166">
        <v>41.25</v>
      </c>
      <c r="BT1166">
        <v>50</v>
      </c>
      <c r="BU1166">
        <v>0.103448</v>
      </c>
      <c r="BV1166">
        <v>39.310344999999998</v>
      </c>
      <c r="BW1166">
        <v>50</v>
      </c>
      <c r="BX1166">
        <v>1</v>
      </c>
      <c r="BY1166">
        <v>50</v>
      </c>
      <c r="BZ1166">
        <v>50</v>
      </c>
      <c r="CA1166">
        <v>0.328125</v>
      </c>
      <c r="CB1166">
        <v>21.875</v>
      </c>
      <c r="CC1166">
        <v>50</v>
      </c>
      <c r="CD1166" t="s">
        <v>125</v>
      </c>
      <c r="CE1166" t="s">
        <v>125</v>
      </c>
      <c r="CF1166" t="s">
        <v>125</v>
      </c>
      <c r="CG1166">
        <v>0.91176500000000005</v>
      </c>
      <c r="CH1166">
        <v>96.996245000000002</v>
      </c>
      <c r="CI1166">
        <v>100</v>
      </c>
      <c r="CJ1166">
        <v>0</v>
      </c>
      <c r="CK1166" t="s">
        <v>125</v>
      </c>
      <c r="CL1166" t="s">
        <v>125</v>
      </c>
      <c r="CM1166" t="s">
        <v>125</v>
      </c>
      <c r="CN1166">
        <v>0.67741899999999999</v>
      </c>
      <c r="CO1166">
        <v>90.322581</v>
      </c>
      <c r="CP1166">
        <v>100</v>
      </c>
      <c r="CQ1166" t="s">
        <v>125</v>
      </c>
      <c r="CR1166" t="s">
        <v>125</v>
      </c>
      <c r="CS1166" t="s">
        <v>125</v>
      </c>
      <c r="CT1166" t="s">
        <v>125</v>
      </c>
      <c r="CU1166">
        <v>0.421875</v>
      </c>
      <c r="CV1166">
        <v>35.15625</v>
      </c>
      <c r="CW1166">
        <v>50</v>
      </c>
      <c r="CX1166" t="s">
        <v>125</v>
      </c>
      <c r="CY1166" t="s">
        <v>125</v>
      </c>
      <c r="CZ1166" t="s">
        <v>125</v>
      </c>
      <c r="DA1166">
        <v>15.314097</v>
      </c>
      <c r="DB1166">
        <v>17.400950000000002</v>
      </c>
      <c r="DC1166">
        <v>16.332519999999999</v>
      </c>
      <c r="DD1166">
        <v>7.9891730000000001</v>
      </c>
      <c r="DE1166">
        <v>0</v>
      </c>
      <c r="DH1166" t="s">
        <v>332</v>
      </c>
      <c r="DI1166" t="s">
        <v>946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1</v>
      </c>
      <c r="DQ1166" t="s">
        <v>126</v>
      </c>
    </row>
    <row r="1167" spans="1:121" x14ac:dyDescent="0.15">
      <c r="A1167">
        <v>2018</v>
      </c>
      <c r="B1167" t="s">
        <v>265</v>
      </c>
      <c r="C1167" t="str">
        <f>"2530014"</f>
        <v>2530014</v>
      </c>
      <c r="D1167" t="s">
        <v>1313</v>
      </c>
      <c r="E1167" t="str">
        <f>"2536014"</f>
        <v>2536014</v>
      </c>
      <c r="F1167" t="s">
        <v>1286</v>
      </c>
      <c r="G1167">
        <v>9</v>
      </c>
      <c r="H1167">
        <v>12</v>
      </c>
      <c r="I1167" t="s">
        <v>336</v>
      </c>
      <c r="J1167" t="s">
        <v>331</v>
      </c>
      <c r="K1167">
        <v>633.72480099999996</v>
      </c>
      <c r="L1167">
        <v>950</v>
      </c>
      <c r="M1167">
        <v>66.707874000000004</v>
      </c>
      <c r="N1167">
        <v>3</v>
      </c>
      <c r="O1167">
        <v>0</v>
      </c>
      <c r="P1167">
        <v>57.111111000000001</v>
      </c>
      <c r="Q1167">
        <v>114.222222</v>
      </c>
      <c r="R1167">
        <v>150</v>
      </c>
      <c r="S1167" t="s">
        <v>125</v>
      </c>
      <c r="T1167" t="s">
        <v>125</v>
      </c>
      <c r="U1167" t="s">
        <v>125</v>
      </c>
      <c r="V1167" t="s">
        <v>125</v>
      </c>
      <c r="W1167">
        <v>41.055556000000003</v>
      </c>
      <c r="X1167">
        <v>82.111110999999994</v>
      </c>
      <c r="Y1167">
        <v>150</v>
      </c>
      <c r="Z1167" t="s">
        <v>125</v>
      </c>
      <c r="AA1167" t="s">
        <v>125</v>
      </c>
      <c r="AB1167" t="s">
        <v>125</v>
      </c>
      <c r="AC1167" t="s">
        <v>125</v>
      </c>
      <c r="AD1167">
        <v>57.487178999999998</v>
      </c>
      <c r="AE1167">
        <v>76.649573000000004</v>
      </c>
      <c r="AF1167">
        <v>100</v>
      </c>
      <c r="AG1167" t="s">
        <v>125</v>
      </c>
      <c r="AH1167" t="s">
        <v>125</v>
      </c>
      <c r="AI1167" t="s">
        <v>125</v>
      </c>
      <c r="AJ1167" t="s">
        <v>125</v>
      </c>
      <c r="AK1167" t="s">
        <v>125</v>
      </c>
      <c r="AL1167" t="s">
        <v>125</v>
      </c>
      <c r="AM1167" t="s">
        <v>125</v>
      </c>
      <c r="AN1167" t="s">
        <v>125</v>
      </c>
      <c r="AO1167" t="s">
        <v>125</v>
      </c>
      <c r="AP1167" t="s">
        <v>125</v>
      </c>
      <c r="AQ1167" t="s">
        <v>125</v>
      </c>
      <c r="AR1167" t="s">
        <v>125</v>
      </c>
      <c r="AS1167" t="s">
        <v>125</v>
      </c>
      <c r="AT1167" t="s">
        <v>125</v>
      </c>
      <c r="AU1167" t="s">
        <v>125</v>
      </c>
      <c r="AV1167" t="s">
        <v>125</v>
      </c>
      <c r="AW1167" t="s">
        <v>125</v>
      </c>
      <c r="AX1167" t="s">
        <v>125</v>
      </c>
      <c r="AY1167" t="s">
        <v>125</v>
      </c>
      <c r="AZ1167" t="s">
        <v>125</v>
      </c>
      <c r="BA1167" t="s">
        <v>125</v>
      </c>
      <c r="BB1167" t="s">
        <v>125</v>
      </c>
      <c r="BC1167" t="s">
        <v>125</v>
      </c>
      <c r="BD1167" t="s">
        <v>125</v>
      </c>
      <c r="BE1167" t="s">
        <v>125</v>
      </c>
      <c r="BF1167" t="s">
        <v>125</v>
      </c>
      <c r="BG1167" t="s">
        <v>125</v>
      </c>
      <c r="BH1167">
        <v>0</v>
      </c>
      <c r="BI1167">
        <v>1</v>
      </c>
      <c r="BJ1167" t="s">
        <v>125</v>
      </c>
      <c r="BK1167" t="s">
        <v>125</v>
      </c>
      <c r="BL1167">
        <v>1</v>
      </c>
      <c r="BM1167" t="s">
        <v>125</v>
      </c>
      <c r="BN1167" t="s">
        <v>125</v>
      </c>
      <c r="BO1167">
        <v>1</v>
      </c>
      <c r="BP1167" t="s">
        <v>125</v>
      </c>
      <c r="BQ1167" t="s">
        <v>125</v>
      </c>
      <c r="BR1167">
        <v>0.24576300000000001</v>
      </c>
      <c r="BS1167">
        <v>10.847458</v>
      </c>
      <c r="BT1167">
        <v>50</v>
      </c>
      <c r="BU1167">
        <v>0.269841</v>
      </c>
      <c r="BV1167">
        <v>6.0317460000000001</v>
      </c>
      <c r="BW1167">
        <v>50</v>
      </c>
      <c r="BX1167">
        <v>0.56363600000000003</v>
      </c>
      <c r="BY1167">
        <v>37.575758</v>
      </c>
      <c r="BZ1167">
        <v>50</v>
      </c>
      <c r="CA1167">
        <v>0.163636</v>
      </c>
      <c r="CB1167">
        <v>10.909091</v>
      </c>
      <c r="CC1167">
        <v>50</v>
      </c>
      <c r="CD1167">
        <v>1</v>
      </c>
      <c r="CE1167">
        <v>50</v>
      </c>
      <c r="CF1167">
        <v>50</v>
      </c>
      <c r="CG1167">
        <v>0.89655200000000002</v>
      </c>
      <c r="CH1167">
        <v>95.377842999999999</v>
      </c>
      <c r="CI1167">
        <v>100</v>
      </c>
      <c r="CJ1167">
        <v>0</v>
      </c>
      <c r="CK1167" t="s">
        <v>125</v>
      </c>
      <c r="CL1167" t="s">
        <v>125</v>
      </c>
      <c r="CM1167" t="s">
        <v>125</v>
      </c>
      <c r="CN1167">
        <v>0.67857100000000004</v>
      </c>
      <c r="CO1167">
        <v>90.476190000000003</v>
      </c>
      <c r="CP1167">
        <v>100</v>
      </c>
      <c r="CQ1167">
        <v>0.14285700000000001</v>
      </c>
      <c r="CR1167">
        <v>0.93333299999999997</v>
      </c>
      <c r="CS1167">
        <v>9.5238099999999992</v>
      </c>
      <c r="CT1167">
        <v>50</v>
      </c>
      <c r="CU1167">
        <v>0.85593200000000003</v>
      </c>
      <c r="CV1167">
        <v>50</v>
      </c>
      <c r="CW1167">
        <v>50</v>
      </c>
      <c r="CX1167" t="s">
        <v>125</v>
      </c>
      <c r="CY1167" t="s">
        <v>125</v>
      </c>
      <c r="CZ1167" t="s">
        <v>125</v>
      </c>
      <c r="DA1167">
        <v>15.314097</v>
      </c>
      <c r="DB1167">
        <v>17.400950000000002</v>
      </c>
      <c r="DC1167">
        <v>16.332519999999999</v>
      </c>
      <c r="DD1167">
        <v>7.9891730000000001</v>
      </c>
      <c r="DE1167">
        <v>0</v>
      </c>
      <c r="DH1167" t="s">
        <v>332</v>
      </c>
      <c r="DI1167" t="s">
        <v>946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1</v>
      </c>
      <c r="DQ1167" t="s">
        <v>126</v>
      </c>
    </row>
    <row r="1168" spans="1:121" x14ac:dyDescent="0.15">
      <c r="A1168">
        <v>2018</v>
      </c>
      <c r="B1168" t="s">
        <v>265</v>
      </c>
      <c r="C1168" t="str">
        <f>"2530014"</f>
        <v>2530014</v>
      </c>
      <c r="D1168" t="s">
        <v>1314</v>
      </c>
      <c r="E1168" t="str">
        <f>"2536114"</f>
        <v>2536114</v>
      </c>
      <c r="F1168" t="s">
        <v>1286</v>
      </c>
      <c r="G1168">
        <v>9</v>
      </c>
      <c r="H1168">
        <v>12</v>
      </c>
      <c r="I1168" t="s">
        <v>336</v>
      </c>
      <c r="J1168" t="s">
        <v>331</v>
      </c>
      <c r="K1168">
        <v>892.27558699999997</v>
      </c>
      <c r="L1168">
        <v>1450</v>
      </c>
      <c r="M1168">
        <v>61.536247000000003</v>
      </c>
      <c r="N1168">
        <v>3</v>
      </c>
      <c r="O1168">
        <v>0</v>
      </c>
      <c r="P1168">
        <v>49.421985999999997</v>
      </c>
      <c r="Q1168">
        <v>98.843971999999994</v>
      </c>
      <c r="R1168">
        <v>150</v>
      </c>
      <c r="S1168">
        <v>47.96</v>
      </c>
      <c r="T1168">
        <v>51.083333000000003</v>
      </c>
      <c r="U1168">
        <v>95.92</v>
      </c>
      <c r="V1168">
        <v>150</v>
      </c>
      <c r="W1168">
        <v>42.127659999999999</v>
      </c>
      <c r="X1168">
        <v>84.255319</v>
      </c>
      <c r="Y1168">
        <v>150</v>
      </c>
      <c r="Z1168">
        <v>42.583333000000003</v>
      </c>
      <c r="AA1168">
        <v>41.726666999999999</v>
      </c>
      <c r="AB1168">
        <v>83.453333000000001</v>
      </c>
      <c r="AC1168">
        <v>150</v>
      </c>
      <c r="AD1168">
        <v>51.937728999999997</v>
      </c>
      <c r="AE1168">
        <v>69.250304999999997</v>
      </c>
      <c r="AF1168">
        <v>100</v>
      </c>
      <c r="AG1168">
        <v>48.230769000000002</v>
      </c>
      <c r="AH1168">
        <v>56.015385000000002</v>
      </c>
      <c r="AI1168">
        <v>64.307692000000003</v>
      </c>
      <c r="AJ1168">
        <v>100</v>
      </c>
      <c r="AK1168">
        <v>3.12</v>
      </c>
      <c r="AL1168">
        <v>0.85</v>
      </c>
      <c r="AM1168">
        <v>7.78</v>
      </c>
      <c r="AN1168" t="s">
        <v>125</v>
      </c>
      <c r="AO1168" t="s">
        <v>125</v>
      </c>
      <c r="AP1168" t="s">
        <v>125</v>
      </c>
      <c r="AQ1168" t="s">
        <v>125</v>
      </c>
      <c r="AR1168" t="s">
        <v>125</v>
      </c>
      <c r="AS1168" t="s">
        <v>125</v>
      </c>
      <c r="AT1168" t="s">
        <v>125</v>
      </c>
      <c r="AU1168" t="s">
        <v>125</v>
      </c>
      <c r="AV1168" t="s">
        <v>125</v>
      </c>
      <c r="AW1168" t="s">
        <v>125</v>
      </c>
      <c r="AX1168" t="s">
        <v>125</v>
      </c>
      <c r="AY1168" t="s">
        <v>125</v>
      </c>
      <c r="AZ1168" t="s">
        <v>125</v>
      </c>
      <c r="BA1168" t="s">
        <v>125</v>
      </c>
      <c r="BB1168" t="s">
        <v>125</v>
      </c>
      <c r="BC1168" t="s">
        <v>125</v>
      </c>
      <c r="BD1168" t="s">
        <v>125</v>
      </c>
      <c r="BE1168" t="s">
        <v>125</v>
      </c>
      <c r="BF1168" t="s">
        <v>125</v>
      </c>
      <c r="BG1168" t="s">
        <v>125</v>
      </c>
      <c r="BH1168">
        <v>1</v>
      </c>
      <c r="BI1168">
        <v>0.97959200000000002</v>
      </c>
      <c r="BJ1168">
        <v>1</v>
      </c>
      <c r="BK1168">
        <v>0.95652199999999998</v>
      </c>
      <c r="BL1168">
        <v>0.97959200000000002</v>
      </c>
      <c r="BM1168">
        <v>1</v>
      </c>
      <c r="BN1168">
        <v>0.95652199999999998</v>
      </c>
      <c r="BO1168">
        <v>0.91489399999999999</v>
      </c>
      <c r="BP1168">
        <v>0.88461500000000004</v>
      </c>
      <c r="BQ1168">
        <v>0.95238100000000003</v>
      </c>
      <c r="BR1168">
        <v>0.40131600000000001</v>
      </c>
      <c r="BS1168">
        <v>0</v>
      </c>
      <c r="BT1168">
        <v>50</v>
      </c>
      <c r="BU1168">
        <v>0.49382700000000002</v>
      </c>
      <c r="BV1168">
        <v>0</v>
      </c>
      <c r="BW1168">
        <v>50</v>
      </c>
      <c r="BX1168">
        <v>0.868421</v>
      </c>
      <c r="BY1168">
        <v>50</v>
      </c>
      <c r="BZ1168">
        <v>50</v>
      </c>
      <c r="CA1168">
        <v>0.17105300000000001</v>
      </c>
      <c r="CB1168">
        <v>11.403509</v>
      </c>
      <c r="CC1168">
        <v>50</v>
      </c>
      <c r="CD1168">
        <v>0.85</v>
      </c>
      <c r="CE1168">
        <v>45.212766000000002</v>
      </c>
      <c r="CF1168">
        <v>50</v>
      </c>
      <c r="CG1168">
        <v>0.74509800000000004</v>
      </c>
      <c r="CH1168">
        <v>79.265749</v>
      </c>
      <c r="CI1168">
        <v>100</v>
      </c>
      <c r="CJ1168">
        <v>0</v>
      </c>
      <c r="CK1168">
        <v>0.78571400000000002</v>
      </c>
      <c r="CL1168">
        <v>83.586625999999995</v>
      </c>
      <c r="CM1168">
        <v>100</v>
      </c>
      <c r="CN1168">
        <v>0.6</v>
      </c>
      <c r="CO1168">
        <v>80</v>
      </c>
      <c r="CP1168">
        <v>100</v>
      </c>
      <c r="CQ1168">
        <v>0.2</v>
      </c>
      <c r="CR1168">
        <v>1.052632</v>
      </c>
      <c r="CS1168">
        <v>13.333333</v>
      </c>
      <c r="CT1168">
        <v>50</v>
      </c>
      <c r="CU1168">
        <v>0.40131600000000001</v>
      </c>
      <c r="CV1168">
        <v>33.442982000000001</v>
      </c>
      <c r="CW1168">
        <v>50</v>
      </c>
      <c r="CX1168">
        <v>0.78571400000000002</v>
      </c>
      <c r="CY1168" t="s">
        <v>125</v>
      </c>
      <c r="CZ1168" t="s">
        <v>125</v>
      </c>
      <c r="DA1168">
        <v>15.314097</v>
      </c>
      <c r="DB1168">
        <v>17.400950000000002</v>
      </c>
      <c r="DC1168">
        <v>16.332519999999999</v>
      </c>
      <c r="DD1168">
        <v>7.9891730000000001</v>
      </c>
      <c r="DE1168">
        <v>1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Q1168" t="s">
        <v>126</v>
      </c>
    </row>
    <row r="1169" spans="1:121" x14ac:dyDescent="0.15">
      <c r="A1169">
        <v>2018</v>
      </c>
      <c r="B1169" t="s">
        <v>266</v>
      </c>
      <c r="C1169" t="str">
        <f>"2610013"</f>
        <v>2610013</v>
      </c>
      <c r="D1169" t="s">
        <v>1315</v>
      </c>
      <c r="E1169" t="str">
        <f>"2610113"</f>
        <v>2610113</v>
      </c>
      <c r="F1169" t="s">
        <v>1316</v>
      </c>
      <c r="G1169" t="s">
        <v>329</v>
      </c>
      <c r="H1169">
        <v>12</v>
      </c>
      <c r="I1169" t="s">
        <v>336</v>
      </c>
      <c r="J1169" t="s">
        <v>331</v>
      </c>
      <c r="K1169">
        <v>536.88705500000003</v>
      </c>
      <c r="L1169">
        <v>950</v>
      </c>
      <c r="M1169">
        <v>56.514426999999998</v>
      </c>
      <c r="N1169">
        <v>3</v>
      </c>
      <c r="O1169">
        <v>0</v>
      </c>
      <c r="P1169">
        <v>58.245651000000002</v>
      </c>
      <c r="Q1169">
        <v>38.830433999999997</v>
      </c>
      <c r="R1169">
        <v>50</v>
      </c>
      <c r="S1169">
        <v>54.484695000000002</v>
      </c>
      <c r="T1169">
        <v>62.754643000000002</v>
      </c>
      <c r="U1169">
        <v>36.323129999999999</v>
      </c>
      <c r="V1169">
        <v>50</v>
      </c>
      <c r="W1169">
        <v>51.529867000000003</v>
      </c>
      <c r="X1169">
        <v>34.353245000000001</v>
      </c>
      <c r="Y1169">
        <v>50</v>
      </c>
      <c r="Z1169">
        <v>55.212721000000002</v>
      </c>
      <c r="AA1169">
        <v>48.491937</v>
      </c>
      <c r="AB1169">
        <v>32.327958000000002</v>
      </c>
      <c r="AC1169">
        <v>50</v>
      </c>
      <c r="AD1169">
        <v>55.303016</v>
      </c>
      <c r="AE1169">
        <v>36.868676999999998</v>
      </c>
      <c r="AF1169">
        <v>50</v>
      </c>
      <c r="AG1169">
        <v>51.984532999999999</v>
      </c>
      <c r="AH1169">
        <v>58.77234</v>
      </c>
      <c r="AI1169">
        <v>34.656354999999998</v>
      </c>
      <c r="AJ1169">
        <v>50</v>
      </c>
      <c r="AK1169">
        <v>8.26</v>
      </c>
      <c r="AL1169">
        <v>6.72</v>
      </c>
      <c r="AM1169">
        <v>6.78</v>
      </c>
      <c r="AN1169">
        <v>0.48300399999999999</v>
      </c>
      <c r="AO1169">
        <v>48.300362999999997</v>
      </c>
      <c r="AP1169">
        <v>100</v>
      </c>
      <c r="AQ1169">
        <v>0.44305899999999998</v>
      </c>
      <c r="AR1169">
        <v>44.30594</v>
      </c>
      <c r="AS1169">
        <v>100</v>
      </c>
      <c r="AT1169">
        <v>0.442716</v>
      </c>
      <c r="AU1169">
        <v>0.52750399999999997</v>
      </c>
      <c r="AV1169">
        <v>44.271648999999996</v>
      </c>
      <c r="AW1169">
        <v>100</v>
      </c>
      <c r="AX1169">
        <v>0.43593599999999999</v>
      </c>
      <c r="AY1169">
        <v>0.45103799999999999</v>
      </c>
      <c r="AZ1169">
        <v>43.593598</v>
      </c>
      <c r="BA1169">
        <v>100</v>
      </c>
      <c r="BB1169" t="s">
        <v>125</v>
      </c>
      <c r="BC1169" t="s">
        <v>125</v>
      </c>
      <c r="BD1169" t="s">
        <v>125</v>
      </c>
      <c r="BE1169" t="s">
        <v>125</v>
      </c>
      <c r="BF1169" t="s">
        <v>125</v>
      </c>
      <c r="BG1169" t="s">
        <v>125</v>
      </c>
      <c r="BH1169">
        <v>0</v>
      </c>
      <c r="BI1169">
        <v>0.99758999999999998</v>
      </c>
      <c r="BJ1169">
        <v>0.995726</v>
      </c>
      <c r="BK1169">
        <v>1</v>
      </c>
      <c r="BL1169">
        <v>0.99277099999999996</v>
      </c>
      <c r="BM1169">
        <v>0.995726</v>
      </c>
      <c r="BN1169">
        <v>0.98895</v>
      </c>
      <c r="BO1169">
        <v>0.97857099999999997</v>
      </c>
      <c r="BP1169">
        <v>0.972603</v>
      </c>
      <c r="BQ1169">
        <v>0.98507500000000003</v>
      </c>
      <c r="BR1169">
        <v>0.179758</v>
      </c>
      <c r="BS1169">
        <v>24.048338000000001</v>
      </c>
      <c r="BT1169">
        <v>50</v>
      </c>
      <c r="BU1169">
        <v>0.19528599999999999</v>
      </c>
      <c r="BV1169">
        <v>20.942761000000001</v>
      </c>
      <c r="BW1169">
        <v>50</v>
      </c>
      <c r="BX1169" t="s">
        <v>125</v>
      </c>
      <c r="BY1169" t="s">
        <v>125</v>
      </c>
      <c r="BZ1169" t="s">
        <v>125</v>
      </c>
      <c r="CA1169" t="s">
        <v>125</v>
      </c>
      <c r="CB1169" t="s">
        <v>125</v>
      </c>
      <c r="CC1169" t="s">
        <v>125</v>
      </c>
      <c r="CD1169">
        <v>0.90384600000000004</v>
      </c>
      <c r="CE1169">
        <v>48.076923000000001</v>
      </c>
      <c r="CF1169">
        <v>50</v>
      </c>
      <c r="CG1169" t="s">
        <v>125</v>
      </c>
      <c r="CH1169" t="s">
        <v>125</v>
      </c>
      <c r="CI1169" t="s">
        <v>125</v>
      </c>
      <c r="CJ1169" t="s">
        <v>125</v>
      </c>
      <c r="CK1169" t="s">
        <v>125</v>
      </c>
      <c r="CL1169" t="s">
        <v>125</v>
      </c>
      <c r="CM1169" t="s">
        <v>125</v>
      </c>
      <c r="CN1169" t="s">
        <v>125</v>
      </c>
      <c r="CO1169" t="s">
        <v>125</v>
      </c>
      <c r="CP1169" t="s">
        <v>125</v>
      </c>
      <c r="CQ1169">
        <v>0.49246200000000001</v>
      </c>
      <c r="CR1169">
        <v>0.995</v>
      </c>
      <c r="CS1169">
        <v>32.830821</v>
      </c>
      <c r="CT1169">
        <v>50</v>
      </c>
      <c r="CU1169">
        <v>0.20588200000000001</v>
      </c>
      <c r="CV1169">
        <v>17.156863000000001</v>
      </c>
      <c r="CW1169">
        <v>50</v>
      </c>
      <c r="CX1169" t="s">
        <v>125</v>
      </c>
      <c r="CY1169" t="s">
        <v>125</v>
      </c>
      <c r="CZ1169" t="s">
        <v>125</v>
      </c>
      <c r="DA1169">
        <v>15.314097</v>
      </c>
      <c r="DB1169">
        <v>17.400950000000002</v>
      </c>
      <c r="DC1169">
        <v>16.332519999999999</v>
      </c>
      <c r="DD1169" t="s">
        <v>125</v>
      </c>
      <c r="DE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Q1169" t="s">
        <v>126</v>
      </c>
    </row>
    <row r="1170" spans="1:121" x14ac:dyDescent="0.15">
      <c r="A1170">
        <v>2018</v>
      </c>
      <c r="B1170" t="s">
        <v>267</v>
      </c>
      <c r="C1170" t="str">
        <f>"2630013"</f>
        <v>2630013</v>
      </c>
      <c r="D1170" t="s">
        <v>1317</v>
      </c>
      <c r="E1170" t="str">
        <f>"2635113"</f>
        <v>2635113</v>
      </c>
      <c r="F1170" t="s">
        <v>1316</v>
      </c>
      <c r="G1170" t="s">
        <v>339</v>
      </c>
      <c r="H1170">
        <v>8</v>
      </c>
      <c r="I1170" t="s">
        <v>336</v>
      </c>
      <c r="J1170" t="s">
        <v>331</v>
      </c>
      <c r="K1170">
        <v>740.48101799999995</v>
      </c>
      <c r="L1170">
        <v>1000</v>
      </c>
      <c r="M1170">
        <v>74.048102</v>
      </c>
      <c r="N1170">
        <v>2</v>
      </c>
      <c r="O1170">
        <v>0</v>
      </c>
      <c r="P1170">
        <v>69.066524000000001</v>
      </c>
      <c r="Q1170">
        <v>46.044348999999997</v>
      </c>
      <c r="R1170">
        <v>50</v>
      </c>
      <c r="S1170">
        <v>64.276443</v>
      </c>
      <c r="T1170">
        <v>73.901371999999995</v>
      </c>
      <c r="U1170">
        <v>42.850962000000003</v>
      </c>
      <c r="V1170">
        <v>50</v>
      </c>
      <c r="W1170">
        <v>65.245142999999999</v>
      </c>
      <c r="X1170">
        <v>43.496761999999997</v>
      </c>
      <c r="Y1170">
        <v>50</v>
      </c>
      <c r="Z1170">
        <v>68.869848000000005</v>
      </c>
      <c r="AA1170">
        <v>61.687562</v>
      </c>
      <c r="AB1170">
        <v>41.125042000000001</v>
      </c>
      <c r="AC1170">
        <v>50</v>
      </c>
      <c r="AD1170">
        <v>65.798528000000005</v>
      </c>
      <c r="AE1170">
        <v>43.865684999999999</v>
      </c>
      <c r="AF1170">
        <v>50</v>
      </c>
      <c r="AG1170">
        <v>62.051468999999997</v>
      </c>
      <c r="AH1170">
        <v>69.649671999999995</v>
      </c>
      <c r="AI1170">
        <v>41.367646000000001</v>
      </c>
      <c r="AJ1170">
        <v>50</v>
      </c>
      <c r="AK1170">
        <v>9.6199999999999992</v>
      </c>
      <c r="AL1170">
        <v>7.18</v>
      </c>
      <c r="AM1170">
        <v>7.59</v>
      </c>
      <c r="AN1170">
        <v>0.66884399999999999</v>
      </c>
      <c r="AO1170">
        <v>66.884395999999995</v>
      </c>
      <c r="AP1170">
        <v>100</v>
      </c>
      <c r="AQ1170">
        <v>0.68443299999999996</v>
      </c>
      <c r="AR1170">
        <v>68.443264999999997</v>
      </c>
      <c r="AS1170">
        <v>100</v>
      </c>
      <c r="AT1170">
        <v>0.64549900000000004</v>
      </c>
      <c r="AU1170">
        <v>0.688994</v>
      </c>
      <c r="AV1170">
        <v>64.549886000000001</v>
      </c>
      <c r="AW1170">
        <v>100</v>
      </c>
      <c r="AX1170">
        <v>0.64676100000000003</v>
      </c>
      <c r="AY1170">
        <v>0.71694899999999995</v>
      </c>
      <c r="AZ1170">
        <v>64.676068999999998</v>
      </c>
      <c r="BA1170">
        <v>100</v>
      </c>
      <c r="BB1170">
        <v>0.50989700000000004</v>
      </c>
      <c r="BC1170">
        <v>25.494838999999999</v>
      </c>
      <c r="BD1170">
        <v>50</v>
      </c>
      <c r="BE1170">
        <v>0.51215500000000003</v>
      </c>
      <c r="BF1170">
        <v>25.607724999999999</v>
      </c>
      <c r="BG1170">
        <v>50</v>
      </c>
      <c r="BH1170">
        <v>0</v>
      </c>
      <c r="BI1170">
        <v>1</v>
      </c>
      <c r="BJ1170">
        <v>1</v>
      </c>
      <c r="BK1170">
        <v>1</v>
      </c>
      <c r="BL1170">
        <v>0.99541299999999999</v>
      </c>
      <c r="BM1170">
        <v>1</v>
      </c>
      <c r="BN1170">
        <v>0.99082599999999998</v>
      </c>
      <c r="BO1170">
        <v>1</v>
      </c>
      <c r="BP1170">
        <v>1</v>
      </c>
      <c r="BQ1170">
        <v>1</v>
      </c>
      <c r="BR1170">
        <v>5.8824000000000001E-2</v>
      </c>
      <c r="BS1170">
        <v>48.235294000000003</v>
      </c>
      <c r="BT1170">
        <v>50</v>
      </c>
      <c r="BU1170">
        <v>7.2289000000000006E-2</v>
      </c>
      <c r="BV1170">
        <v>45.542169000000001</v>
      </c>
      <c r="BW1170">
        <v>50</v>
      </c>
      <c r="BX1170" t="s">
        <v>125</v>
      </c>
      <c r="BY1170" t="s">
        <v>125</v>
      </c>
      <c r="BZ1170" t="s">
        <v>125</v>
      </c>
      <c r="CA1170" t="s">
        <v>125</v>
      </c>
      <c r="CB1170" t="s">
        <v>125</v>
      </c>
      <c r="CC1170" t="s">
        <v>125</v>
      </c>
      <c r="CD1170">
        <v>0.9375</v>
      </c>
      <c r="CE1170">
        <v>49.867021000000001</v>
      </c>
      <c r="CF1170">
        <v>50</v>
      </c>
      <c r="CG1170" t="s">
        <v>125</v>
      </c>
      <c r="CH1170" t="s">
        <v>125</v>
      </c>
      <c r="CI1170" t="s">
        <v>125</v>
      </c>
      <c r="CJ1170" t="s">
        <v>125</v>
      </c>
      <c r="CK1170" t="s">
        <v>125</v>
      </c>
      <c r="CL1170" t="s">
        <v>125</v>
      </c>
      <c r="CM1170" t="s">
        <v>125</v>
      </c>
      <c r="CN1170" t="s">
        <v>125</v>
      </c>
      <c r="CO1170" t="s">
        <v>125</v>
      </c>
      <c r="CP1170" t="s">
        <v>125</v>
      </c>
      <c r="CQ1170">
        <v>0.336449</v>
      </c>
      <c r="CR1170">
        <v>0.99074099999999998</v>
      </c>
      <c r="CS1170">
        <v>22.429907</v>
      </c>
      <c r="CT1170">
        <v>50</v>
      </c>
      <c r="CU1170" t="s">
        <v>125</v>
      </c>
      <c r="CV1170" t="s">
        <v>125</v>
      </c>
      <c r="CW1170" t="s">
        <v>125</v>
      </c>
      <c r="CX1170" t="s">
        <v>125</v>
      </c>
      <c r="CY1170" t="s">
        <v>125</v>
      </c>
      <c r="CZ1170" t="s">
        <v>125</v>
      </c>
      <c r="DA1170">
        <v>15.314097</v>
      </c>
      <c r="DB1170">
        <v>17.400950000000002</v>
      </c>
      <c r="DC1170">
        <v>16.332519999999999</v>
      </c>
      <c r="DD1170" t="s">
        <v>125</v>
      </c>
      <c r="DE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Q1170" t="s">
        <v>126</v>
      </c>
    </row>
    <row r="1171" spans="1:121" x14ac:dyDescent="0.15">
      <c r="A1171">
        <v>2018</v>
      </c>
      <c r="B1171" t="s">
        <v>268</v>
      </c>
      <c r="C1171" t="str">
        <f>"2640013"</f>
        <v>2640013</v>
      </c>
      <c r="D1171" t="s">
        <v>1318</v>
      </c>
      <c r="E1171" t="str">
        <f>"2640113"</f>
        <v>2640113</v>
      </c>
      <c r="F1171" t="s">
        <v>1316</v>
      </c>
      <c r="G1171" t="s">
        <v>329</v>
      </c>
      <c r="H1171">
        <v>8</v>
      </c>
      <c r="I1171" t="s">
        <v>336</v>
      </c>
      <c r="J1171" t="s">
        <v>331</v>
      </c>
      <c r="K1171">
        <v>733.78830800000003</v>
      </c>
      <c r="L1171">
        <v>1000</v>
      </c>
      <c r="M1171">
        <v>73.378831000000005</v>
      </c>
      <c r="N1171">
        <v>2</v>
      </c>
      <c r="O1171">
        <v>0</v>
      </c>
      <c r="P1171">
        <v>67.430136000000005</v>
      </c>
      <c r="Q1171">
        <v>44.953423999999998</v>
      </c>
      <c r="R1171">
        <v>50</v>
      </c>
      <c r="S1171">
        <v>61.999834999999997</v>
      </c>
      <c r="T1171">
        <v>73.260564000000002</v>
      </c>
      <c r="U1171">
        <v>41.333222999999997</v>
      </c>
      <c r="V1171">
        <v>50</v>
      </c>
      <c r="W1171">
        <v>60.592610000000001</v>
      </c>
      <c r="X1171">
        <v>40.395074000000001</v>
      </c>
      <c r="Y1171">
        <v>50</v>
      </c>
      <c r="Z1171">
        <v>64.909591000000006</v>
      </c>
      <c r="AA1171">
        <v>56.571894</v>
      </c>
      <c r="AB1171">
        <v>37.714596</v>
      </c>
      <c r="AC1171">
        <v>50</v>
      </c>
      <c r="AD1171">
        <v>68.753253000000001</v>
      </c>
      <c r="AE1171">
        <v>45.835501999999998</v>
      </c>
      <c r="AF1171">
        <v>50</v>
      </c>
      <c r="AG1171">
        <v>64.026537000000005</v>
      </c>
      <c r="AH1171">
        <v>72.534626000000003</v>
      </c>
      <c r="AI1171">
        <v>42.684358000000003</v>
      </c>
      <c r="AJ1171">
        <v>50</v>
      </c>
      <c r="AK1171">
        <v>11.26</v>
      </c>
      <c r="AL1171">
        <v>8.33</v>
      </c>
      <c r="AM1171">
        <v>8.5</v>
      </c>
      <c r="AN1171">
        <v>0.52647299999999997</v>
      </c>
      <c r="AO1171">
        <v>52.647275</v>
      </c>
      <c r="AP1171">
        <v>100</v>
      </c>
      <c r="AQ1171">
        <v>0.66329300000000002</v>
      </c>
      <c r="AR1171">
        <v>66.329255000000003</v>
      </c>
      <c r="AS1171">
        <v>100</v>
      </c>
      <c r="AT1171">
        <v>0.50417900000000004</v>
      </c>
      <c r="AU1171">
        <v>0.54572699999999996</v>
      </c>
      <c r="AV1171">
        <v>50.417853999999998</v>
      </c>
      <c r="AW1171">
        <v>100</v>
      </c>
      <c r="AX1171">
        <v>0.67450699999999997</v>
      </c>
      <c r="AY1171">
        <v>0.65360799999999997</v>
      </c>
      <c r="AZ1171">
        <v>67.450659000000002</v>
      </c>
      <c r="BA1171">
        <v>100</v>
      </c>
      <c r="BB1171">
        <v>0.62668599999999997</v>
      </c>
      <c r="BC1171">
        <v>31.334313999999999</v>
      </c>
      <c r="BD1171">
        <v>50</v>
      </c>
      <c r="BE1171">
        <v>0.59946900000000003</v>
      </c>
      <c r="BF1171">
        <v>29.973451000000001</v>
      </c>
      <c r="BG1171">
        <v>50</v>
      </c>
      <c r="BH1171">
        <v>0</v>
      </c>
      <c r="BI1171">
        <v>0.98507500000000003</v>
      </c>
      <c r="BJ1171">
        <v>1</v>
      </c>
      <c r="BK1171">
        <v>0.96969700000000003</v>
      </c>
      <c r="BL1171">
        <v>0.98507500000000003</v>
      </c>
      <c r="BM1171">
        <v>1</v>
      </c>
      <c r="BN1171">
        <v>0.96969700000000003</v>
      </c>
      <c r="BO1171">
        <v>1</v>
      </c>
      <c r="BP1171">
        <v>1</v>
      </c>
      <c r="BQ1171">
        <v>1</v>
      </c>
      <c r="BR1171">
        <v>0.04</v>
      </c>
      <c r="BS1171">
        <v>50</v>
      </c>
      <c r="BT1171">
        <v>50</v>
      </c>
      <c r="BU1171">
        <v>5.6337999999999999E-2</v>
      </c>
      <c r="BV1171">
        <v>48.732393999999999</v>
      </c>
      <c r="BW1171">
        <v>50</v>
      </c>
      <c r="BX1171" t="s">
        <v>125</v>
      </c>
      <c r="BY1171" t="s">
        <v>125</v>
      </c>
      <c r="BZ1171" t="s">
        <v>125</v>
      </c>
      <c r="CA1171" t="s">
        <v>125</v>
      </c>
      <c r="CB1171" t="s">
        <v>125</v>
      </c>
      <c r="CC1171" t="s">
        <v>125</v>
      </c>
      <c r="CD1171">
        <v>0.96551699999999996</v>
      </c>
      <c r="CE1171">
        <v>50</v>
      </c>
      <c r="CF1171">
        <v>50</v>
      </c>
      <c r="CG1171" t="s">
        <v>125</v>
      </c>
      <c r="CH1171" t="s">
        <v>125</v>
      </c>
      <c r="CI1171" t="s">
        <v>125</v>
      </c>
      <c r="CJ1171" t="s">
        <v>125</v>
      </c>
      <c r="CK1171" t="s">
        <v>125</v>
      </c>
      <c r="CL1171" t="s">
        <v>125</v>
      </c>
      <c r="CM1171" t="s">
        <v>125</v>
      </c>
      <c r="CN1171" t="s">
        <v>125</v>
      </c>
      <c r="CO1171" t="s">
        <v>125</v>
      </c>
      <c r="CP1171" t="s">
        <v>125</v>
      </c>
      <c r="CQ1171">
        <v>0.50980400000000003</v>
      </c>
      <c r="CR1171">
        <v>1</v>
      </c>
      <c r="CS1171">
        <v>33.986927999999999</v>
      </c>
      <c r="CT1171">
        <v>50</v>
      </c>
      <c r="CU1171" t="s">
        <v>125</v>
      </c>
      <c r="CV1171" t="s">
        <v>125</v>
      </c>
      <c r="CW1171" t="s">
        <v>125</v>
      </c>
      <c r="CX1171" t="s">
        <v>125</v>
      </c>
      <c r="CY1171" t="s">
        <v>125</v>
      </c>
      <c r="CZ1171" t="s">
        <v>125</v>
      </c>
      <c r="DA1171">
        <v>15.314097</v>
      </c>
      <c r="DB1171">
        <v>17.400950000000002</v>
      </c>
      <c r="DC1171">
        <v>16.332519999999999</v>
      </c>
      <c r="DD1171" t="s">
        <v>125</v>
      </c>
      <c r="DE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Q1171" t="s">
        <v>126</v>
      </c>
    </row>
    <row r="1172" spans="1:121" x14ac:dyDescent="0.15">
      <c r="A1172">
        <v>2018</v>
      </c>
      <c r="B1172" t="s">
        <v>269</v>
      </c>
      <c r="C1172" t="str">
        <f>"2650013"</f>
        <v>2650013</v>
      </c>
      <c r="D1172" t="s">
        <v>1319</v>
      </c>
      <c r="E1172" t="str">
        <f>"2655113"</f>
        <v>2655113</v>
      </c>
      <c r="F1172" t="s">
        <v>1316</v>
      </c>
      <c r="G1172">
        <v>6</v>
      </c>
      <c r="H1172">
        <v>8</v>
      </c>
      <c r="I1172" t="s">
        <v>336</v>
      </c>
      <c r="J1172" t="s">
        <v>331</v>
      </c>
      <c r="K1172">
        <v>599.97569799999997</v>
      </c>
      <c r="L1172">
        <v>1000</v>
      </c>
      <c r="M1172">
        <v>59.997570000000003</v>
      </c>
      <c r="N1172">
        <v>3</v>
      </c>
      <c r="O1172">
        <v>0</v>
      </c>
      <c r="P1172">
        <v>57.330294000000002</v>
      </c>
      <c r="Q1172">
        <v>38.220196000000001</v>
      </c>
      <c r="R1172">
        <v>50</v>
      </c>
      <c r="S1172">
        <v>54.632936000000001</v>
      </c>
      <c r="T1172">
        <v>65.731900999999993</v>
      </c>
      <c r="U1172">
        <v>36.421956999999999</v>
      </c>
      <c r="V1172">
        <v>50</v>
      </c>
      <c r="W1172">
        <v>46.764758</v>
      </c>
      <c r="X1172">
        <v>31.176504999999999</v>
      </c>
      <c r="Y1172">
        <v>50</v>
      </c>
      <c r="Z1172">
        <v>53.757151999999998</v>
      </c>
      <c r="AA1172">
        <v>44.519831000000003</v>
      </c>
      <c r="AB1172">
        <v>29.679887000000001</v>
      </c>
      <c r="AC1172">
        <v>50</v>
      </c>
      <c r="AD1172">
        <v>52.221552000000003</v>
      </c>
      <c r="AE1172">
        <v>34.814368000000002</v>
      </c>
      <c r="AF1172">
        <v>50</v>
      </c>
      <c r="AG1172">
        <v>49.247126000000002</v>
      </c>
      <c r="AH1172">
        <v>61.144827999999997</v>
      </c>
      <c r="AI1172">
        <v>32.831417999999999</v>
      </c>
      <c r="AJ1172">
        <v>50</v>
      </c>
      <c r="AK1172">
        <v>11.09</v>
      </c>
      <c r="AL1172">
        <v>9.23</v>
      </c>
      <c r="AM1172">
        <v>11.89</v>
      </c>
      <c r="AN1172">
        <v>0.50406200000000001</v>
      </c>
      <c r="AO1172">
        <v>50.406182999999999</v>
      </c>
      <c r="AP1172">
        <v>100</v>
      </c>
      <c r="AQ1172">
        <v>0.43598199999999998</v>
      </c>
      <c r="AR1172">
        <v>43.598196000000002</v>
      </c>
      <c r="AS1172">
        <v>100</v>
      </c>
      <c r="AT1172">
        <v>0.505888</v>
      </c>
      <c r="AU1172">
        <v>0.49883699999999997</v>
      </c>
      <c r="AV1172">
        <v>50.588766</v>
      </c>
      <c r="AW1172">
        <v>100</v>
      </c>
      <c r="AX1172">
        <v>0.47232800000000003</v>
      </c>
      <c r="AY1172">
        <v>0.33197599999999999</v>
      </c>
      <c r="AZ1172">
        <v>47.232812000000003</v>
      </c>
      <c r="BA1172">
        <v>100</v>
      </c>
      <c r="BB1172">
        <v>0.57960299999999998</v>
      </c>
      <c r="BC1172">
        <v>28.980159</v>
      </c>
      <c r="BD1172">
        <v>50</v>
      </c>
      <c r="BE1172">
        <v>0.67495700000000003</v>
      </c>
      <c r="BF1172">
        <v>33.747857000000003</v>
      </c>
      <c r="BG1172">
        <v>50</v>
      </c>
      <c r="BH1172">
        <v>0</v>
      </c>
      <c r="BI1172">
        <v>0.99609400000000003</v>
      </c>
      <c r="BJ1172">
        <v>0.99487199999999998</v>
      </c>
      <c r="BK1172">
        <v>1</v>
      </c>
      <c r="BL1172">
        <v>0.99609400000000003</v>
      </c>
      <c r="BM1172">
        <v>0.99487199999999998</v>
      </c>
      <c r="BN1172">
        <v>1</v>
      </c>
      <c r="BO1172">
        <v>1</v>
      </c>
      <c r="BP1172">
        <v>1</v>
      </c>
      <c r="BQ1172">
        <v>1</v>
      </c>
      <c r="BR1172">
        <v>0.101563</v>
      </c>
      <c r="BS1172">
        <v>39.6875</v>
      </c>
      <c r="BT1172">
        <v>50</v>
      </c>
      <c r="BU1172">
        <v>0.13541700000000001</v>
      </c>
      <c r="BV1172">
        <v>32.916666999999997</v>
      </c>
      <c r="BW1172">
        <v>50</v>
      </c>
      <c r="BX1172" t="s">
        <v>125</v>
      </c>
      <c r="BY1172" t="s">
        <v>125</v>
      </c>
      <c r="BZ1172" t="s">
        <v>125</v>
      </c>
      <c r="CA1172" t="s">
        <v>125</v>
      </c>
      <c r="CB1172" t="s">
        <v>125</v>
      </c>
      <c r="CC1172" t="s">
        <v>125</v>
      </c>
      <c r="CD1172">
        <v>0.93243200000000004</v>
      </c>
      <c r="CE1172">
        <v>49.597470000000001</v>
      </c>
      <c r="CF1172">
        <v>50</v>
      </c>
      <c r="CG1172" t="s">
        <v>125</v>
      </c>
      <c r="CH1172" t="s">
        <v>125</v>
      </c>
      <c r="CI1172" t="s">
        <v>125</v>
      </c>
      <c r="CJ1172" t="s">
        <v>125</v>
      </c>
      <c r="CK1172" t="s">
        <v>125</v>
      </c>
      <c r="CL1172" t="s">
        <v>125</v>
      </c>
      <c r="CM1172" t="s">
        <v>125</v>
      </c>
      <c r="CN1172" t="s">
        <v>125</v>
      </c>
      <c r="CO1172" t="s">
        <v>125</v>
      </c>
      <c r="CP1172" t="s">
        <v>125</v>
      </c>
      <c r="CQ1172">
        <v>0.30113600000000001</v>
      </c>
      <c r="CR1172">
        <v>1.0232559999999999</v>
      </c>
      <c r="CS1172">
        <v>20.075758</v>
      </c>
      <c r="CT1172">
        <v>50</v>
      </c>
      <c r="CU1172" t="s">
        <v>125</v>
      </c>
      <c r="CV1172" t="s">
        <v>125</v>
      </c>
      <c r="CW1172" t="s">
        <v>125</v>
      </c>
      <c r="CX1172" t="s">
        <v>125</v>
      </c>
      <c r="CY1172" t="s">
        <v>125</v>
      </c>
      <c r="CZ1172" t="s">
        <v>125</v>
      </c>
      <c r="DA1172">
        <v>15.314097</v>
      </c>
      <c r="DB1172">
        <v>17.400950000000002</v>
      </c>
      <c r="DC1172">
        <v>16.332519999999999</v>
      </c>
      <c r="DD1172" t="s">
        <v>125</v>
      </c>
      <c r="DE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Q1172" t="s">
        <v>126</v>
      </c>
    </row>
    <row r="1173" spans="1:121" x14ac:dyDescent="0.15">
      <c r="A1173">
        <v>2018</v>
      </c>
      <c r="B1173" t="s">
        <v>270</v>
      </c>
      <c r="C1173" t="str">
        <f>"2680013"</f>
        <v>2680013</v>
      </c>
      <c r="D1173" t="s">
        <v>1320</v>
      </c>
      <c r="E1173" t="str">
        <f>"2686113"</f>
        <v>2686113</v>
      </c>
      <c r="F1173" t="s">
        <v>1316</v>
      </c>
      <c r="G1173">
        <v>9</v>
      </c>
      <c r="H1173">
        <v>12</v>
      </c>
      <c r="I1173" t="s">
        <v>336</v>
      </c>
      <c r="J1173" t="s">
        <v>331</v>
      </c>
      <c r="K1173">
        <v>944.75327500000003</v>
      </c>
      <c r="L1173">
        <v>1450</v>
      </c>
      <c r="M1173">
        <v>65.155398000000005</v>
      </c>
      <c r="N1173">
        <v>3</v>
      </c>
      <c r="O1173">
        <v>0</v>
      </c>
      <c r="P1173">
        <v>43.388888999999999</v>
      </c>
      <c r="Q1173">
        <v>86.777777999999998</v>
      </c>
      <c r="R1173">
        <v>150</v>
      </c>
      <c r="S1173">
        <v>41.102150999999999</v>
      </c>
      <c r="T1173" t="s">
        <v>125</v>
      </c>
      <c r="U1173">
        <v>82.204301000000001</v>
      </c>
      <c r="V1173">
        <v>150</v>
      </c>
      <c r="W1173">
        <v>38.311965999999998</v>
      </c>
      <c r="X1173">
        <v>76.623931999999996</v>
      </c>
      <c r="Y1173">
        <v>150</v>
      </c>
      <c r="Z1173" t="s">
        <v>125</v>
      </c>
      <c r="AA1173">
        <v>37.376344000000003</v>
      </c>
      <c r="AB1173">
        <v>74.752688000000006</v>
      </c>
      <c r="AC1173">
        <v>150</v>
      </c>
      <c r="AD1173">
        <v>42.463563000000001</v>
      </c>
      <c r="AE1173">
        <v>56.618084000000003</v>
      </c>
      <c r="AF1173">
        <v>100</v>
      </c>
      <c r="AG1173">
        <v>40.361538000000003</v>
      </c>
      <c r="AH1173" t="s">
        <v>125</v>
      </c>
      <c r="AI1173">
        <v>53.815384999999999</v>
      </c>
      <c r="AJ1173">
        <v>100</v>
      </c>
      <c r="AK1173" t="s">
        <v>125</v>
      </c>
      <c r="AL1173" t="s">
        <v>125</v>
      </c>
      <c r="AM1173" t="s">
        <v>125</v>
      </c>
      <c r="AN1173" t="s">
        <v>125</v>
      </c>
      <c r="AO1173" t="s">
        <v>125</v>
      </c>
      <c r="AP1173" t="s">
        <v>125</v>
      </c>
      <c r="AQ1173" t="s">
        <v>125</v>
      </c>
      <c r="AR1173" t="s">
        <v>125</v>
      </c>
      <c r="AS1173" t="s">
        <v>125</v>
      </c>
      <c r="AT1173" t="s">
        <v>125</v>
      </c>
      <c r="AU1173" t="s">
        <v>125</v>
      </c>
      <c r="AV1173" t="s">
        <v>125</v>
      </c>
      <c r="AW1173" t="s">
        <v>125</v>
      </c>
      <c r="AX1173" t="s">
        <v>125</v>
      </c>
      <c r="AY1173" t="s">
        <v>125</v>
      </c>
      <c r="AZ1173" t="s">
        <v>125</v>
      </c>
      <c r="BA1173" t="s">
        <v>125</v>
      </c>
      <c r="BB1173" t="s">
        <v>125</v>
      </c>
      <c r="BC1173" t="s">
        <v>125</v>
      </c>
      <c r="BD1173" t="s">
        <v>125</v>
      </c>
      <c r="BE1173" t="s">
        <v>125</v>
      </c>
      <c r="BF1173" t="s">
        <v>125</v>
      </c>
      <c r="BG1173" t="s">
        <v>125</v>
      </c>
      <c r="BH1173">
        <v>0</v>
      </c>
      <c r="BI1173">
        <v>1</v>
      </c>
      <c r="BJ1173">
        <v>1</v>
      </c>
      <c r="BK1173" t="s">
        <v>125</v>
      </c>
      <c r="BL1173">
        <v>1</v>
      </c>
      <c r="BM1173">
        <v>1</v>
      </c>
      <c r="BN1173" t="s">
        <v>125</v>
      </c>
      <c r="BO1173">
        <v>0.97560999999999998</v>
      </c>
      <c r="BP1173">
        <v>0.96875</v>
      </c>
      <c r="BQ1173" t="s">
        <v>125</v>
      </c>
      <c r="BR1173">
        <v>0.12562799999999999</v>
      </c>
      <c r="BS1173">
        <v>34.874372000000001</v>
      </c>
      <c r="BT1173">
        <v>50</v>
      </c>
      <c r="BU1173">
        <v>0.162162</v>
      </c>
      <c r="BV1173">
        <v>27.567568000000001</v>
      </c>
      <c r="BW1173">
        <v>50</v>
      </c>
      <c r="BX1173">
        <v>0.88095199999999996</v>
      </c>
      <c r="BY1173">
        <v>50</v>
      </c>
      <c r="BZ1173">
        <v>50</v>
      </c>
      <c r="CA1173">
        <v>0.25</v>
      </c>
      <c r="CB1173">
        <v>16.666667</v>
      </c>
      <c r="CC1173">
        <v>50</v>
      </c>
      <c r="CD1173">
        <v>0.93442599999999998</v>
      </c>
      <c r="CE1173">
        <v>49.703522999999997</v>
      </c>
      <c r="CF1173">
        <v>50</v>
      </c>
      <c r="CG1173">
        <v>0.91891900000000004</v>
      </c>
      <c r="CH1173">
        <v>97.757332000000005</v>
      </c>
      <c r="CI1173">
        <v>100</v>
      </c>
      <c r="CJ1173">
        <v>0</v>
      </c>
      <c r="CK1173">
        <v>0.92592600000000003</v>
      </c>
      <c r="CL1173">
        <v>98.502758</v>
      </c>
      <c r="CM1173">
        <v>100</v>
      </c>
      <c r="CN1173">
        <v>0.66666700000000001</v>
      </c>
      <c r="CO1173">
        <v>88.888889000000006</v>
      </c>
      <c r="CP1173">
        <v>100</v>
      </c>
      <c r="CQ1173">
        <v>0</v>
      </c>
      <c r="CR1173">
        <v>0.83928599999999998</v>
      </c>
      <c r="CS1173">
        <v>0</v>
      </c>
      <c r="CT1173">
        <v>50</v>
      </c>
      <c r="CU1173">
        <v>0.66331700000000005</v>
      </c>
      <c r="CV1173">
        <v>50</v>
      </c>
      <c r="CW1173">
        <v>50</v>
      </c>
      <c r="CX1173">
        <v>0.92592600000000003</v>
      </c>
      <c r="CY1173" t="s">
        <v>125</v>
      </c>
      <c r="CZ1173" t="s">
        <v>125</v>
      </c>
      <c r="DA1173">
        <v>15.314097</v>
      </c>
      <c r="DB1173">
        <v>17.400950000000002</v>
      </c>
      <c r="DC1173">
        <v>16.332519999999999</v>
      </c>
      <c r="DD1173">
        <v>7.9891730000000001</v>
      </c>
      <c r="DE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Q1173" t="s">
        <v>126</v>
      </c>
    </row>
    <row r="1174" spans="1:121" x14ac:dyDescent="0.15">
      <c r="A1174">
        <v>2018</v>
      </c>
      <c r="B1174" t="s">
        <v>271</v>
      </c>
      <c r="C1174" t="str">
        <f>"2690013"</f>
        <v>2690013</v>
      </c>
      <c r="D1174" t="s">
        <v>1321</v>
      </c>
      <c r="E1174" t="str">
        <f>"2696113"</f>
        <v>2696113</v>
      </c>
      <c r="F1174" t="s">
        <v>1316</v>
      </c>
      <c r="G1174">
        <v>7</v>
      </c>
      <c r="H1174">
        <v>12</v>
      </c>
      <c r="I1174" t="s">
        <v>330</v>
      </c>
      <c r="J1174" t="s">
        <v>331</v>
      </c>
      <c r="K1174">
        <v>803.825917</v>
      </c>
      <c r="L1174">
        <v>1350</v>
      </c>
      <c r="M1174">
        <v>59.542661000000003</v>
      </c>
      <c r="N1174">
        <v>3</v>
      </c>
      <c r="O1174">
        <v>0</v>
      </c>
      <c r="P1174">
        <v>53.134168000000003</v>
      </c>
      <c r="Q1174">
        <v>35.422778000000001</v>
      </c>
      <c r="R1174">
        <v>50</v>
      </c>
      <c r="S1174">
        <v>51.462896999999998</v>
      </c>
      <c r="T1174">
        <v>60.019804999999998</v>
      </c>
      <c r="U1174">
        <v>34.308598000000003</v>
      </c>
      <c r="V1174">
        <v>50</v>
      </c>
      <c r="W1174">
        <v>44.241345000000003</v>
      </c>
      <c r="X1174">
        <v>29.494230000000002</v>
      </c>
      <c r="Y1174">
        <v>50</v>
      </c>
      <c r="Z1174">
        <v>47.099710999999999</v>
      </c>
      <c r="AA1174">
        <v>43.540765</v>
      </c>
      <c r="AB1174">
        <v>29.027176999999998</v>
      </c>
      <c r="AC1174">
        <v>50</v>
      </c>
      <c r="AD1174">
        <v>47.586194999999996</v>
      </c>
      <c r="AE1174">
        <v>31.724129999999999</v>
      </c>
      <c r="AF1174">
        <v>50</v>
      </c>
      <c r="AG1174">
        <v>46.704166000000001</v>
      </c>
      <c r="AH1174" t="s">
        <v>125</v>
      </c>
      <c r="AI1174">
        <v>31.136111</v>
      </c>
      <c r="AJ1174">
        <v>50</v>
      </c>
      <c r="AK1174">
        <v>8.5500000000000007</v>
      </c>
      <c r="AL1174">
        <v>3.55</v>
      </c>
      <c r="AM1174" t="s">
        <v>125</v>
      </c>
      <c r="AN1174">
        <v>0.51880899999999996</v>
      </c>
      <c r="AO1174">
        <v>51.880938999999998</v>
      </c>
      <c r="AP1174">
        <v>100</v>
      </c>
      <c r="AQ1174">
        <v>0.54472299999999996</v>
      </c>
      <c r="AR1174">
        <v>54.472251</v>
      </c>
      <c r="AS1174">
        <v>100</v>
      </c>
      <c r="AT1174">
        <v>0.49775900000000001</v>
      </c>
      <c r="AU1174" t="s">
        <v>125</v>
      </c>
      <c r="AV1174">
        <v>49.7759</v>
      </c>
      <c r="AW1174">
        <v>100</v>
      </c>
      <c r="AX1174">
        <v>0.55478799999999995</v>
      </c>
      <c r="AY1174" t="s">
        <v>125</v>
      </c>
      <c r="AZ1174">
        <v>55.478845999999997</v>
      </c>
      <c r="BA1174">
        <v>100</v>
      </c>
      <c r="BB1174" t="s">
        <v>125</v>
      </c>
      <c r="BC1174" t="s">
        <v>125</v>
      </c>
      <c r="BD1174" t="s">
        <v>125</v>
      </c>
      <c r="BE1174" t="s">
        <v>125</v>
      </c>
      <c r="BF1174" t="s">
        <v>125</v>
      </c>
      <c r="BG1174" t="s">
        <v>125</v>
      </c>
      <c r="BH1174">
        <v>0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 t="s">
        <v>125</v>
      </c>
      <c r="BR1174">
        <v>0.17829500000000001</v>
      </c>
      <c r="BS1174">
        <v>24.341085</v>
      </c>
      <c r="BT1174">
        <v>50</v>
      </c>
      <c r="BU1174">
        <v>0.19069800000000001</v>
      </c>
      <c r="BV1174">
        <v>21.860465000000001</v>
      </c>
      <c r="BW1174">
        <v>50</v>
      </c>
      <c r="BX1174">
        <v>5.7971000000000002E-2</v>
      </c>
      <c r="BY1174">
        <v>3.8647339999999999</v>
      </c>
      <c r="BZ1174">
        <v>50</v>
      </c>
      <c r="CA1174">
        <v>5.7971000000000002E-2</v>
      </c>
      <c r="CB1174">
        <v>3.8647339999999999</v>
      </c>
      <c r="CC1174">
        <v>50</v>
      </c>
      <c r="CD1174">
        <v>0.87878800000000001</v>
      </c>
      <c r="CE1174">
        <v>46.744036000000001</v>
      </c>
      <c r="CF1174">
        <v>50</v>
      </c>
      <c r="CG1174">
        <v>0.78048799999999996</v>
      </c>
      <c r="CH1174">
        <v>83.030618000000004</v>
      </c>
      <c r="CI1174">
        <v>100</v>
      </c>
      <c r="CJ1174">
        <v>0</v>
      </c>
      <c r="CK1174">
        <v>0.87096799999999996</v>
      </c>
      <c r="CL1174">
        <v>92.656143</v>
      </c>
      <c r="CM1174">
        <v>100</v>
      </c>
      <c r="CN1174">
        <v>0.8</v>
      </c>
      <c r="CO1174">
        <v>100</v>
      </c>
      <c r="CP1174">
        <v>100</v>
      </c>
      <c r="CQ1174">
        <v>0.34065899999999999</v>
      </c>
      <c r="CR1174">
        <v>1.0581400000000001</v>
      </c>
      <c r="CS1174">
        <v>22.710622999999998</v>
      </c>
      <c r="CT1174">
        <v>50</v>
      </c>
      <c r="CU1174">
        <v>2.4389999999999998E-2</v>
      </c>
      <c r="CV1174">
        <v>2.0325199999999999</v>
      </c>
      <c r="CW1174">
        <v>50</v>
      </c>
      <c r="CX1174">
        <v>0.87096799999999996</v>
      </c>
      <c r="CY1174" t="s">
        <v>125</v>
      </c>
      <c r="CZ1174" t="s">
        <v>125</v>
      </c>
      <c r="DA1174">
        <v>15.314097</v>
      </c>
      <c r="DB1174">
        <v>17.400950000000002</v>
      </c>
      <c r="DC1174">
        <v>16.332519999999999</v>
      </c>
      <c r="DD1174">
        <v>7.9891730000000001</v>
      </c>
      <c r="DE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Q1174" t="s">
        <v>126</v>
      </c>
    </row>
    <row r="1175" spans="1:121" x14ac:dyDescent="0.15">
      <c r="A1175">
        <v>2018</v>
      </c>
      <c r="B1175" t="s">
        <v>272</v>
      </c>
      <c r="C1175" t="str">
        <f>"2700013"</f>
        <v>2700013</v>
      </c>
      <c r="D1175" t="s">
        <v>1322</v>
      </c>
      <c r="E1175" t="str">
        <f>"2700113"</f>
        <v>2700113</v>
      </c>
      <c r="F1175" t="s">
        <v>1316</v>
      </c>
      <c r="G1175" t="s">
        <v>329</v>
      </c>
      <c r="H1175">
        <v>8</v>
      </c>
      <c r="I1175" t="s">
        <v>336</v>
      </c>
      <c r="J1175" t="s">
        <v>331</v>
      </c>
      <c r="K1175">
        <v>684.33468900000003</v>
      </c>
      <c r="L1175">
        <v>850</v>
      </c>
      <c r="M1175">
        <v>80.509962999999999</v>
      </c>
      <c r="N1175">
        <v>2</v>
      </c>
      <c r="O1175">
        <v>0</v>
      </c>
      <c r="P1175">
        <v>68.885129000000006</v>
      </c>
      <c r="Q1175">
        <v>45.923419000000003</v>
      </c>
      <c r="R1175">
        <v>50</v>
      </c>
      <c r="S1175">
        <v>65.887624000000002</v>
      </c>
      <c r="T1175">
        <v>75</v>
      </c>
      <c r="U1175">
        <v>43.925082000000003</v>
      </c>
      <c r="V1175">
        <v>50</v>
      </c>
      <c r="W1175">
        <v>67.802205999999998</v>
      </c>
      <c r="X1175">
        <v>45.201470999999998</v>
      </c>
      <c r="Y1175">
        <v>50</v>
      </c>
      <c r="Z1175">
        <v>73.681101999999996</v>
      </c>
      <c r="AA1175">
        <v>65.218075999999996</v>
      </c>
      <c r="AB1175">
        <v>43.478717000000003</v>
      </c>
      <c r="AC1175">
        <v>50</v>
      </c>
      <c r="AD1175">
        <v>71.076195999999996</v>
      </c>
      <c r="AE1175">
        <v>47.384130999999996</v>
      </c>
      <c r="AF1175">
        <v>50</v>
      </c>
      <c r="AG1175">
        <v>69.579851000000005</v>
      </c>
      <c r="AH1175" t="s">
        <v>125</v>
      </c>
      <c r="AI1175">
        <v>46.386566999999999</v>
      </c>
      <c r="AJ1175">
        <v>50</v>
      </c>
      <c r="AK1175">
        <v>9.11</v>
      </c>
      <c r="AL1175">
        <v>8.4600000000000009</v>
      </c>
      <c r="AM1175" t="s">
        <v>125</v>
      </c>
      <c r="AN1175">
        <v>0.64149800000000001</v>
      </c>
      <c r="AO1175">
        <v>64.149805999999998</v>
      </c>
      <c r="AP1175">
        <v>100</v>
      </c>
      <c r="AQ1175">
        <v>0.76246899999999995</v>
      </c>
      <c r="AR1175">
        <v>76.246922999999995</v>
      </c>
      <c r="AS1175">
        <v>100</v>
      </c>
      <c r="AT1175">
        <v>0.61407500000000004</v>
      </c>
      <c r="AU1175">
        <v>0.69634399999999996</v>
      </c>
      <c r="AV1175">
        <v>61.407499999999999</v>
      </c>
      <c r="AW1175">
        <v>100</v>
      </c>
      <c r="AX1175">
        <v>0.73810200000000004</v>
      </c>
      <c r="AY1175">
        <v>0.81120300000000001</v>
      </c>
      <c r="AZ1175">
        <v>73.810215999999997</v>
      </c>
      <c r="BA1175">
        <v>100</v>
      </c>
      <c r="BB1175" t="s">
        <v>125</v>
      </c>
      <c r="BC1175" t="s">
        <v>125</v>
      </c>
      <c r="BD1175" t="s">
        <v>125</v>
      </c>
      <c r="BE1175" t="s">
        <v>125</v>
      </c>
      <c r="BF1175" t="s">
        <v>125</v>
      </c>
      <c r="BG1175" t="s">
        <v>125</v>
      </c>
      <c r="BH1175">
        <v>0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 t="s">
        <v>125</v>
      </c>
      <c r="BR1175">
        <v>4.0404000000000002E-2</v>
      </c>
      <c r="BS1175">
        <v>50</v>
      </c>
      <c r="BT1175">
        <v>50</v>
      </c>
      <c r="BU1175">
        <v>5.1471000000000003E-2</v>
      </c>
      <c r="BV1175">
        <v>49.705882000000003</v>
      </c>
      <c r="BW1175">
        <v>50</v>
      </c>
      <c r="BX1175" t="s">
        <v>125</v>
      </c>
      <c r="BY1175" t="s">
        <v>125</v>
      </c>
      <c r="BZ1175" t="s">
        <v>125</v>
      </c>
      <c r="CA1175" t="s">
        <v>125</v>
      </c>
      <c r="CB1175" t="s">
        <v>125</v>
      </c>
      <c r="CC1175" t="s">
        <v>125</v>
      </c>
      <c r="CD1175" t="s">
        <v>125</v>
      </c>
      <c r="CE1175" t="s">
        <v>125</v>
      </c>
      <c r="CF1175" t="s">
        <v>125</v>
      </c>
      <c r="CG1175" t="s">
        <v>125</v>
      </c>
      <c r="CH1175" t="s">
        <v>125</v>
      </c>
      <c r="CI1175" t="s">
        <v>125</v>
      </c>
      <c r="CJ1175" t="s">
        <v>125</v>
      </c>
      <c r="CK1175" t="s">
        <v>125</v>
      </c>
      <c r="CL1175" t="s">
        <v>125</v>
      </c>
      <c r="CM1175" t="s">
        <v>125</v>
      </c>
      <c r="CN1175" t="s">
        <v>125</v>
      </c>
      <c r="CO1175" t="s">
        <v>125</v>
      </c>
      <c r="CP1175" t="s">
        <v>125</v>
      </c>
      <c r="CQ1175">
        <v>0.55072500000000002</v>
      </c>
      <c r="CR1175">
        <v>1</v>
      </c>
      <c r="CS1175">
        <v>36.714976</v>
      </c>
      <c r="CT1175">
        <v>50</v>
      </c>
      <c r="CU1175" t="s">
        <v>125</v>
      </c>
      <c r="CV1175" t="s">
        <v>125</v>
      </c>
      <c r="CW1175" t="s">
        <v>125</v>
      </c>
      <c r="CX1175" t="s">
        <v>125</v>
      </c>
      <c r="CY1175" t="s">
        <v>125</v>
      </c>
      <c r="CZ1175" t="s">
        <v>125</v>
      </c>
      <c r="DA1175">
        <v>15.314097</v>
      </c>
      <c r="DB1175">
        <v>17.400950000000002</v>
      </c>
      <c r="DC1175">
        <v>16.332519999999999</v>
      </c>
      <c r="DD1175" t="s">
        <v>125</v>
      </c>
      <c r="DE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Q1175" t="s">
        <v>126</v>
      </c>
    </row>
    <row r="1176" spans="1:121" x14ac:dyDescent="0.15">
      <c r="A1176">
        <v>2018</v>
      </c>
      <c r="B1176" t="s">
        <v>273</v>
      </c>
      <c r="C1176" t="str">
        <f>"2720013"</f>
        <v>2720013</v>
      </c>
      <c r="D1176" t="s">
        <v>1323</v>
      </c>
      <c r="E1176" t="str">
        <f>"2726113"</f>
        <v>2726113</v>
      </c>
      <c r="F1176" t="s">
        <v>1316</v>
      </c>
      <c r="G1176">
        <v>9</v>
      </c>
      <c r="H1176">
        <v>12</v>
      </c>
      <c r="J1176" t="s">
        <v>331</v>
      </c>
      <c r="K1176">
        <v>494.95209599999998</v>
      </c>
      <c r="L1176">
        <v>850</v>
      </c>
      <c r="M1176">
        <v>58.229658000000001</v>
      </c>
      <c r="N1176">
        <v>3</v>
      </c>
      <c r="O1176">
        <v>0</v>
      </c>
      <c r="P1176">
        <v>48.75</v>
      </c>
      <c r="Q1176">
        <v>97.5</v>
      </c>
      <c r="R1176">
        <v>150</v>
      </c>
      <c r="S1176" t="s">
        <v>125</v>
      </c>
      <c r="T1176" t="s">
        <v>125</v>
      </c>
      <c r="U1176" t="s">
        <v>125</v>
      </c>
      <c r="V1176" t="s">
        <v>125</v>
      </c>
      <c r="W1176">
        <v>39.166666999999997</v>
      </c>
      <c r="X1176">
        <v>78.333332999999996</v>
      </c>
      <c r="Y1176">
        <v>150</v>
      </c>
      <c r="Z1176" t="s">
        <v>125</v>
      </c>
      <c r="AA1176" t="s">
        <v>125</v>
      </c>
      <c r="AB1176" t="s">
        <v>125</v>
      </c>
      <c r="AC1176" t="s">
        <v>125</v>
      </c>
      <c r="AD1176">
        <v>53.186813000000001</v>
      </c>
      <c r="AE1176">
        <v>70.915751</v>
      </c>
      <c r="AF1176">
        <v>100</v>
      </c>
      <c r="AG1176" t="s">
        <v>125</v>
      </c>
      <c r="AH1176" t="s">
        <v>125</v>
      </c>
      <c r="AI1176" t="s">
        <v>125</v>
      </c>
      <c r="AJ1176" t="s">
        <v>125</v>
      </c>
      <c r="AK1176" t="s">
        <v>125</v>
      </c>
      <c r="AL1176" t="s">
        <v>125</v>
      </c>
      <c r="AM1176" t="s">
        <v>125</v>
      </c>
      <c r="AN1176" t="s">
        <v>125</v>
      </c>
      <c r="AO1176" t="s">
        <v>125</v>
      </c>
      <c r="AP1176" t="s">
        <v>125</v>
      </c>
      <c r="AQ1176" t="s">
        <v>125</v>
      </c>
      <c r="AR1176" t="s">
        <v>125</v>
      </c>
      <c r="AS1176" t="s">
        <v>125</v>
      </c>
      <c r="AT1176" t="s">
        <v>125</v>
      </c>
      <c r="AU1176" t="s">
        <v>125</v>
      </c>
      <c r="AV1176" t="s">
        <v>125</v>
      </c>
      <c r="AW1176" t="s">
        <v>125</v>
      </c>
      <c r="AX1176" t="s">
        <v>125</v>
      </c>
      <c r="AY1176" t="s">
        <v>125</v>
      </c>
      <c r="AZ1176" t="s">
        <v>125</v>
      </c>
      <c r="BA1176" t="s">
        <v>125</v>
      </c>
      <c r="BB1176" t="s">
        <v>125</v>
      </c>
      <c r="BC1176" t="s">
        <v>125</v>
      </c>
      <c r="BD1176" t="s">
        <v>125</v>
      </c>
      <c r="BE1176" t="s">
        <v>125</v>
      </c>
      <c r="BF1176" t="s">
        <v>125</v>
      </c>
      <c r="BG1176" t="s">
        <v>125</v>
      </c>
      <c r="BH1176">
        <v>0</v>
      </c>
      <c r="BI1176">
        <v>1</v>
      </c>
      <c r="BJ1176" t="s">
        <v>125</v>
      </c>
      <c r="BK1176" t="s">
        <v>125</v>
      </c>
      <c r="BL1176">
        <v>1</v>
      </c>
      <c r="BM1176" t="s">
        <v>125</v>
      </c>
      <c r="BN1176" t="s">
        <v>125</v>
      </c>
      <c r="BO1176">
        <v>1</v>
      </c>
      <c r="BP1176" t="s">
        <v>125</v>
      </c>
      <c r="BQ1176" t="s">
        <v>125</v>
      </c>
      <c r="BR1176">
        <v>0.29411799999999999</v>
      </c>
      <c r="BS1176">
        <v>1.176471</v>
      </c>
      <c r="BT1176">
        <v>50</v>
      </c>
      <c r="BU1176">
        <v>0.30158699999999999</v>
      </c>
      <c r="BV1176">
        <v>0</v>
      </c>
      <c r="BW1176">
        <v>50</v>
      </c>
      <c r="BX1176">
        <v>0.77083299999999999</v>
      </c>
      <c r="BY1176">
        <v>50</v>
      </c>
      <c r="BZ1176">
        <v>50</v>
      </c>
      <c r="CA1176">
        <v>0.125</v>
      </c>
      <c r="CB1176">
        <v>8.3333329999999997</v>
      </c>
      <c r="CC1176">
        <v>50</v>
      </c>
      <c r="CD1176" t="s">
        <v>125</v>
      </c>
      <c r="CE1176" t="s">
        <v>125</v>
      </c>
      <c r="CF1176" t="s">
        <v>125</v>
      </c>
      <c r="CG1176">
        <v>0.82142899999999996</v>
      </c>
      <c r="CH1176">
        <v>87.386018000000007</v>
      </c>
      <c r="CI1176">
        <v>100</v>
      </c>
      <c r="CJ1176">
        <v>0</v>
      </c>
      <c r="CK1176" t="s">
        <v>125</v>
      </c>
      <c r="CL1176" t="s">
        <v>125</v>
      </c>
      <c r="CM1176" t="s">
        <v>125</v>
      </c>
      <c r="CN1176">
        <v>0.45833299999999999</v>
      </c>
      <c r="CO1176">
        <v>61.111111000000001</v>
      </c>
      <c r="CP1176">
        <v>100</v>
      </c>
      <c r="CQ1176" t="s">
        <v>125</v>
      </c>
      <c r="CR1176" t="s">
        <v>125</v>
      </c>
      <c r="CS1176" t="s">
        <v>125</v>
      </c>
      <c r="CT1176" t="s">
        <v>125</v>
      </c>
      <c r="CU1176">
        <v>0.48235299999999998</v>
      </c>
      <c r="CV1176">
        <v>40.196078</v>
      </c>
      <c r="CW1176">
        <v>50</v>
      </c>
      <c r="CX1176" t="s">
        <v>125</v>
      </c>
      <c r="CY1176" t="s">
        <v>125</v>
      </c>
      <c r="CZ1176" t="s">
        <v>125</v>
      </c>
      <c r="DA1176">
        <v>15.314097</v>
      </c>
      <c r="DB1176">
        <v>17.400950000000002</v>
      </c>
      <c r="DC1176">
        <v>16.332519999999999</v>
      </c>
      <c r="DD1176">
        <v>7.9891730000000001</v>
      </c>
      <c r="DE1176">
        <v>0</v>
      </c>
      <c r="DH1176" t="s">
        <v>332</v>
      </c>
      <c r="DI1176" t="s">
        <v>946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1</v>
      </c>
      <c r="DQ1176" t="s">
        <v>126</v>
      </c>
    </row>
    <row r="1177" spans="1:121" x14ac:dyDescent="0.15">
      <c r="A1177">
        <v>2018</v>
      </c>
      <c r="B1177" t="s">
        <v>311</v>
      </c>
      <c r="C1177" t="str">
        <f>"2780013"</f>
        <v>2780013</v>
      </c>
      <c r="D1177" t="s">
        <v>1324</v>
      </c>
      <c r="E1177" t="str">
        <f>"2785113"</f>
        <v>2785113</v>
      </c>
      <c r="F1177" t="s">
        <v>1316</v>
      </c>
      <c r="G1177">
        <v>6</v>
      </c>
      <c r="H1177">
        <v>8</v>
      </c>
      <c r="I1177" t="s">
        <v>336</v>
      </c>
      <c r="J1177" t="s">
        <v>331</v>
      </c>
      <c r="K1177">
        <v>516.61743100000001</v>
      </c>
      <c r="L1177">
        <v>900</v>
      </c>
      <c r="M1177">
        <v>57.401936999999997</v>
      </c>
      <c r="N1177">
        <v>5</v>
      </c>
      <c r="O1177">
        <v>0</v>
      </c>
      <c r="P1177">
        <v>49.265135000000001</v>
      </c>
      <c r="Q1177">
        <v>32.843423999999999</v>
      </c>
      <c r="R1177">
        <v>50</v>
      </c>
      <c r="S1177">
        <v>48.409213999999999</v>
      </c>
      <c r="T1177">
        <v>52.346454000000001</v>
      </c>
      <c r="U1177">
        <v>32.272809000000002</v>
      </c>
      <c r="V1177">
        <v>50</v>
      </c>
      <c r="W1177">
        <v>35.727752000000002</v>
      </c>
      <c r="X1177">
        <v>23.818501000000001</v>
      </c>
      <c r="Y1177">
        <v>50</v>
      </c>
      <c r="Z1177">
        <v>37.896659</v>
      </c>
      <c r="AA1177">
        <v>35.125278000000002</v>
      </c>
      <c r="AB1177">
        <v>23.416851999999999</v>
      </c>
      <c r="AC1177">
        <v>50</v>
      </c>
      <c r="AD1177">
        <v>43.364398999999999</v>
      </c>
      <c r="AE1177">
        <v>28.909599</v>
      </c>
      <c r="AF1177">
        <v>50</v>
      </c>
      <c r="AG1177">
        <v>43.241379000000002</v>
      </c>
      <c r="AH1177" t="s">
        <v>125</v>
      </c>
      <c r="AI1177">
        <v>28.827586</v>
      </c>
      <c r="AJ1177">
        <v>50</v>
      </c>
      <c r="AK1177">
        <v>3.93</v>
      </c>
      <c r="AL1177">
        <v>2.77</v>
      </c>
      <c r="AM1177" t="s">
        <v>125</v>
      </c>
      <c r="AN1177">
        <v>0.537968</v>
      </c>
      <c r="AO1177">
        <v>53.796807999999999</v>
      </c>
      <c r="AP1177">
        <v>100</v>
      </c>
      <c r="AQ1177">
        <v>0.37008200000000002</v>
      </c>
      <c r="AR1177">
        <v>37.008159999999997</v>
      </c>
      <c r="AS1177">
        <v>100</v>
      </c>
      <c r="AT1177">
        <v>0.56554300000000002</v>
      </c>
      <c r="AU1177">
        <v>0.446052</v>
      </c>
      <c r="AV1177">
        <v>56.554301000000002</v>
      </c>
      <c r="AW1177">
        <v>100</v>
      </c>
      <c r="AX1177">
        <v>0.415491</v>
      </c>
      <c r="AY1177">
        <v>0.218718</v>
      </c>
      <c r="AZ1177">
        <v>41.549081000000001</v>
      </c>
      <c r="BA1177">
        <v>100</v>
      </c>
      <c r="BB1177" t="s">
        <v>125</v>
      </c>
      <c r="BC1177" t="s">
        <v>125</v>
      </c>
      <c r="BD1177" t="s">
        <v>125</v>
      </c>
      <c r="BE1177" t="s">
        <v>125</v>
      </c>
      <c r="BF1177" t="s">
        <v>125</v>
      </c>
      <c r="BG1177" t="s">
        <v>125</v>
      </c>
      <c r="BH1177">
        <v>1</v>
      </c>
      <c r="BI1177">
        <v>0.97637799999999997</v>
      </c>
      <c r="BJ1177">
        <v>1</v>
      </c>
      <c r="BK1177">
        <v>0.89655200000000002</v>
      </c>
      <c r="BL1177">
        <v>0.96850400000000003</v>
      </c>
      <c r="BM1177">
        <v>0.98979600000000001</v>
      </c>
      <c r="BN1177">
        <v>0.89655200000000002</v>
      </c>
      <c r="BO1177">
        <v>0.90909099999999998</v>
      </c>
      <c r="BP1177">
        <v>0.87878800000000001</v>
      </c>
      <c r="BQ1177" t="s">
        <v>125</v>
      </c>
      <c r="BR1177">
        <v>3.1746000000000003E-2</v>
      </c>
      <c r="BS1177">
        <v>50</v>
      </c>
      <c r="BT1177">
        <v>50</v>
      </c>
      <c r="BU1177">
        <v>3.2786999999999997E-2</v>
      </c>
      <c r="BV1177">
        <v>50</v>
      </c>
      <c r="BW1177">
        <v>50</v>
      </c>
      <c r="BX1177" t="s">
        <v>125</v>
      </c>
      <c r="BY1177" t="s">
        <v>125</v>
      </c>
      <c r="BZ1177" t="s">
        <v>125</v>
      </c>
      <c r="CA1177" t="s">
        <v>125</v>
      </c>
      <c r="CB1177" t="s">
        <v>125</v>
      </c>
      <c r="CC1177" t="s">
        <v>125</v>
      </c>
      <c r="CD1177">
        <v>0.56521699999999997</v>
      </c>
      <c r="CE1177">
        <v>30.064755000000002</v>
      </c>
      <c r="CF1177">
        <v>50</v>
      </c>
      <c r="CG1177" t="s">
        <v>125</v>
      </c>
      <c r="CH1177" t="s">
        <v>125</v>
      </c>
      <c r="CI1177" t="s">
        <v>125</v>
      </c>
      <c r="CJ1177" t="s">
        <v>125</v>
      </c>
      <c r="CK1177" t="s">
        <v>125</v>
      </c>
      <c r="CL1177" t="s">
        <v>125</v>
      </c>
      <c r="CM1177" t="s">
        <v>125</v>
      </c>
      <c r="CN1177" t="s">
        <v>125</v>
      </c>
      <c r="CO1177" t="s">
        <v>125</v>
      </c>
      <c r="CP1177" t="s">
        <v>125</v>
      </c>
      <c r="CQ1177">
        <v>0.41333300000000001</v>
      </c>
      <c r="CR1177">
        <v>0.91463399999999995</v>
      </c>
      <c r="CS1177">
        <v>27.555555999999999</v>
      </c>
      <c r="CT1177">
        <v>50</v>
      </c>
      <c r="CU1177" t="s">
        <v>125</v>
      </c>
      <c r="CV1177" t="s">
        <v>125</v>
      </c>
      <c r="CW1177" t="s">
        <v>125</v>
      </c>
      <c r="CX1177" t="s">
        <v>125</v>
      </c>
      <c r="CY1177" t="s">
        <v>125</v>
      </c>
      <c r="CZ1177" t="s">
        <v>125</v>
      </c>
      <c r="DA1177">
        <v>15.314097</v>
      </c>
      <c r="DB1177">
        <v>17.400950000000002</v>
      </c>
      <c r="DC1177">
        <v>16.332519999999999</v>
      </c>
      <c r="DD1177" t="s">
        <v>125</v>
      </c>
      <c r="DE1177">
        <v>1</v>
      </c>
      <c r="DF1177" t="s">
        <v>376</v>
      </c>
      <c r="DG1177" t="s">
        <v>377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Q1177" t="s">
        <v>126</v>
      </c>
    </row>
    <row r="1178" spans="1:121" x14ac:dyDescent="0.15">
      <c r="A1178">
        <v>2018</v>
      </c>
      <c r="B1178" t="s">
        <v>312</v>
      </c>
      <c r="C1178" t="str">
        <f>"2790013"</f>
        <v>2790013</v>
      </c>
      <c r="D1178" t="s">
        <v>1325</v>
      </c>
      <c r="E1178" t="str">
        <f>"2795113"</f>
        <v>2795113</v>
      </c>
      <c r="F1178" t="s">
        <v>1316</v>
      </c>
      <c r="G1178" t="s">
        <v>339</v>
      </c>
      <c r="H1178">
        <v>12</v>
      </c>
      <c r="I1178" t="s">
        <v>336</v>
      </c>
      <c r="J1178" t="s">
        <v>331</v>
      </c>
      <c r="K1178">
        <v>1158.9113890000001</v>
      </c>
      <c r="L1178">
        <v>1450</v>
      </c>
      <c r="M1178">
        <v>79.924923000000007</v>
      </c>
      <c r="N1178">
        <v>2</v>
      </c>
      <c r="O1178">
        <v>0</v>
      </c>
      <c r="P1178">
        <v>66.904189000000002</v>
      </c>
      <c r="Q1178">
        <v>44.602792999999998</v>
      </c>
      <c r="R1178">
        <v>50</v>
      </c>
      <c r="S1178">
        <v>66.904189000000002</v>
      </c>
      <c r="T1178" t="s">
        <v>125</v>
      </c>
      <c r="U1178">
        <v>44.602792999999998</v>
      </c>
      <c r="V1178">
        <v>50</v>
      </c>
      <c r="W1178">
        <v>63.654426000000001</v>
      </c>
      <c r="X1178">
        <v>42.436284000000001</v>
      </c>
      <c r="Y1178">
        <v>50</v>
      </c>
      <c r="Z1178" t="s">
        <v>125</v>
      </c>
      <c r="AA1178">
        <v>63.654426000000001</v>
      </c>
      <c r="AB1178">
        <v>42.436284000000001</v>
      </c>
      <c r="AC1178">
        <v>50</v>
      </c>
      <c r="AD1178">
        <v>58.209553</v>
      </c>
      <c r="AE1178">
        <v>38.806368999999997</v>
      </c>
      <c r="AF1178">
        <v>50</v>
      </c>
      <c r="AG1178">
        <v>58.209553</v>
      </c>
      <c r="AH1178" t="s">
        <v>125</v>
      </c>
      <c r="AI1178">
        <v>38.806368999999997</v>
      </c>
      <c r="AJ1178">
        <v>50</v>
      </c>
      <c r="AK1178" t="s">
        <v>125</v>
      </c>
      <c r="AL1178" t="s">
        <v>125</v>
      </c>
      <c r="AM1178" t="s">
        <v>125</v>
      </c>
      <c r="AN1178">
        <v>0.63679600000000003</v>
      </c>
      <c r="AO1178">
        <v>63.679642999999999</v>
      </c>
      <c r="AP1178">
        <v>100</v>
      </c>
      <c r="AQ1178">
        <v>0.64774699999999996</v>
      </c>
      <c r="AR1178">
        <v>64.774736000000004</v>
      </c>
      <c r="AS1178">
        <v>100</v>
      </c>
      <c r="AT1178">
        <v>0.63679600000000003</v>
      </c>
      <c r="AU1178" t="s">
        <v>125</v>
      </c>
      <c r="AV1178">
        <v>63.679642999999999</v>
      </c>
      <c r="AW1178">
        <v>100</v>
      </c>
      <c r="AX1178">
        <v>0.64774699999999996</v>
      </c>
      <c r="AY1178" t="s">
        <v>125</v>
      </c>
      <c r="AZ1178">
        <v>64.774736000000004</v>
      </c>
      <c r="BA1178">
        <v>100</v>
      </c>
      <c r="BB1178">
        <v>0.52819499999999997</v>
      </c>
      <c r="BC1178">
        <v>26.409754</v>
      </c>
      <c r="BD1178">
        <v>50</v>
      </c>
      <c r="BE1178">
        <v>0.62043599999999999</v>
      </c>
      <c r="BF1178">
        <v>31.021809000000001</v>
      </c>
      <c r="BG1178">
        <v>50</v>
      </c>
      <c r="BH1178">
        <v>0</v>
      </c>
      <c r="BI1178">
        <v>0.99310299999999996</v>
      </c>
      <c r="BJ1178">
        <v>0.99310299999999996</v>
      </c>
      <c r="BK1178" t="s">
        <v>125</v>
      </c>
      <c r="BL1178">
        <v>0.99137900000000001</v>
      </c>
      <c r="BM1178">
        <v>0.99137900000000001</v>
      </c>
      <c r="BN1178" t="s">
        <v>125</v>
      </c>
      <c r="BO1178">
        <v>0.96943199999999996</v>
      </c>
      <c r="BP1178">
        <v>0.96943199999999996</v>
      </c>
      <c r="BQ1178" t="s">
        <v>125</v>
      </c>
      <c r="BR1178">
        <v>7.1084999999999995E-2</v>
      </c>
      <c r="BS1178">
        <v>45.782901000000003</v>
      </c>
      <c r="BT1178">
        <v>50</v>
      </c>
      <c r="BU1178">
        <v>6.4802999999999999E-2</v>
      </c>
      <c r="BV1178">
        <v>47.039389999999997</v>
      </c>
      <c r="BW1178">
        <v>50</v>
      </c>
      <c r="BX1178">
        <v>1</v>
      </c>
      <c r="BY1178">
        <v>50</v>
      </c>
      <c r="BZ1178">
        <v>50</v>
      </c>
      <c r="CA1178">
        <v>0.524752</v>
      </c>
      <c r="CB1178">
        <v>34.983497999999997</v>
      </c>
      <c r="CC1178">
        <v>50</v>
      </c>
      <c r="CD1178">
        <v>0.944828</v>
      </c>
      <c r="CE1178">
        <v>50</v>
      </c>
      <c r="CF1178">
        <v>50</v>
      </c>
      <c r="CG1178">
        <v>0.95454499999999998</v>
      </c>
      <c r="CH1178">
        <v>100</v>
      </c>
      <c r="CI1178">
        <v>100</v>
      </c>
      <c r="CJ1178">
        <v>0</v>
      </c>
      <c r="CK1178">
        <v>0.96428599999999998</v>
      </c>
      <c r="CL1178">
        <v>100</v>
      </c>
      <c r="CM1178">
        <v>100</v>
      </c>
      <c r="CN1178">
        <v>0.911111</v>
      </c>
      <c r="CO1178">
        <v>100</v>
      </c>
      <c r="CP1178">
        <v>100</v>
      </c>
      <c r="CQ1178">
        <v>0.27652700000000002</v>
      </c>
      <c r="CR1178">
        <v>0.94528900000000005</v>
      </c>
      <c r="CS1178">
        <v>18.435155000000002</v>
      </c>
      <c r="CT1178">
        <v>50</v>
      </c>
      <c r="CU1178">
        <v>0.55967100000000003</v>
      </c>
      <c r="CV1178">
        <v>46.639232</v>
      </c>
      <c r="CW1178">
        <v>50</v>
      </c>
      <c r="CX1178">
        <v>0.96428599999999998</v>
      </c>
      <c r="CY1178" t="s">
        <v>125</v>
      </c>
      <c r="CZ1178" t="s">
        <v>125</v>
      </c>
      <c r="DA1178">
        <v>15.314097</v>
      </c>
      <c r="DB1178">
        <v>17.400950000000002</v>
      </c>
      <c r="DC1178">
        <v>16.332519999999999</v>
      </c>
      <c r="DD1178">
        <v>7.9891730000000001</v>
      </c>
      <c r="DE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Q1178" t="s">
        <v>126</v>
      </c>
    </row>
    <row r="1179" spans="1:121" x14ac:dyDescent="0.15">
      <c r="A1179">
        <v>2018</v>
      </c>
      <c r="B1179" t="s">
        <v>313</v>
      </c>
      <c r="C1179" t="str">
        <f>"2800013"</f>
        <v>2800013</v>
      </c>
      <c r="D1179" t="s">
        <v>1326</v>
      </c>
      <c r="E1179" t="str">
        <f>"2800113"</f>
        <v>2800113</v>
      </c>
      <c r="F1179" t="s">
        <v>1316</v>
      </c>
      <c r="G1179" t="s">
        <v>329</v>
      </c>
      <c r="H1179">
        <v>8</v>
      </c>
      <c r="I1179" t="s">
        <v>336</v>
      </c>
      <c r="J1179" t="s">
        <v>331</v>
      </c>
      <c r="K1179">
        <v>604.93026799999996</v>
      </c>
      <c r="L1179">
        <v>900</v>
      </c>
      <c r="M1179">
        <v>67.214473999999996</v>
      </c>
      <c r="N1179">
        <v>3</v>
      </c>
      <c r="O1179">
        <v>0</v>
      </c>
      <c r="P1179">
        <v>59.334319999999998</v>
      </c>
      <c r="Q1179">
        <v>39.556213</v>
      </c>
      <c r="R1179">
        <v>50</v>
      </c>
      <c r="S1179">
        <v>58.805492000000001</v>
      </c>
      <c r="T1179">
        <v>63.640495000000001</v>
      </c>
      <c r="U1179">
        <v>39.203660999999997</v>
      </c>
      <c r="V1179">
        <v>50</v>
      </c>
      <c r="W1179">
        <v>51.125101999999998</v>
      </c>
      <c r="X1179">
        <v>34.083401000000002</v>
      </c>
      <c r="Y1179">
        <v>50</v>
      </c>
      <c r="Z1179">
        <v>55.469557000000002</v>
      </c>
      <c r="AA1179">
        <v>50.591571999999999</v>
      </c>
      <c r="AB1179">
        <v>33.727715000000003</v>
      </c>
      <c r="AC1179">
        <v>50</v>
      </c>
      <c r="AD1179">
        <v>55.260351</v>
      </c>
      <c r="AE1179">
        <v>36.840234000000002</v>
      </c>
      <c r="AF1179">
        <v>50</v>
      </c>
      <c r="AG1179">
        <v>54.319876999999998</v>
      </c>
      <c r="AH1179" t="s">
        <v>125</v>
      </c>
      <c r="AI1179">
        <v>36.213251</v>
      </c>
      <c r="AJ1179">
        <v>50</v>
      </c>
      <c r="AK1179">
        <v>4.83</v>
      </c>
      <c r="AL1179">
        <v>4.87</v>
      </c>
      <c r="AM1179" t="s">
        <v>125</v>
      </c>
      <c r="AN1179">
        <v>0.62781299999999995</v>
      </c>
      <c r="AO1179">
        <v>62.781300000000002</v>
      </c>
      <c r="AP1179">
        <v>100</v>
      </c>
      <c r="AQ1179">
        <v>0.72543500000000005</v>
      </c>
      <c r="AR1179">
        <v>72.543451000000005</v>
      </c>
      <c r="AS1179">
        <v>100</v>
      </c>
      <c r="AT1179">
        <v>0.622556</v>
      </c>
      <c r="AU1179" t="s">
        <v>125</v>
      </c>
      <c r="AV1179">
        <v>62.255588000000003</v>
      </c>
      <c r="AW1179">
        <v>100</v>
      </c>
      <c r="AX1179">
        <v>0.72268100000000002</v>
      </c>
      <c r="AY1179" t="s">
        <v>125</v>
      </c>
      <c r="AZ1179">
        <v>72.268130999999997</v>
      </c>
      <c r="BA1179">
        <v>100</v>
      </c>
      <c r="BB1179" t="s">
        <v>125</v>
      </c>
      <c r="BC1179" t="s">
        <v>125</v>
      </c>
      <c r="BD1179" t="s">
        <v>125</v>
      </c>
      <c r="BE1179" t="s">
        <v>125</v>
      </c>
      <c r="BF1179" t="s">
        <v>125</v>
      </c>
      <c r="BG1179" t="s">
        <v>125</v>
      </c>
      <c r="BH1179">
        <v>0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1</v>
      </c>
      <c r="BP1179">
        <v>1</v>
      </c>
      <c r="BQ1179" t="s">
        <v>125</v>
      </c>
      <c r="BR1179">
        <v>0.12230199999999999</v>
      </c>
      <c r="BS1179">
        <v>35.539568000000003</v>
      </c>
      <c r="BT1179">
        <v>50</v>
      </c>
      <c r="BU1179">
        <v>0.13445399999999999</v>
      </c>
      <c r="BV1179">
        <v>33.109243999999997</v>
      </c>
      <c r="BW1179">
        <v>50</v>
      </c>
      <c r="BX1179" t="s">
        <v>125</v>
      </c>
      <c r="BY1179" t="s">
        <v>125</v>
      </c>
      <c r="BZ1179" t="s">
        <v>125</v>
      </c>
      <c r="CA1179" t="s">
        <v>125</v>
      </c>
      <c r="CB1179" t="s">
        <v>125</v>
      </c>
      <c r="CC1179" t="s">
        <v>125</v>
      </c>
      <c r="CD1179">
        <v>0.88</v>
      </c>
      <c r="CE1179">
        <v>46.808511000000003</v>
      </c>
      <c r="CF1179">
        <v>50</v>
      </c>
      <c r="CG1179" t="s">
        <v>125</v>
      </c>
      <c r="CH1179" t="s">
        <v>125</v>
      </c>
      <c r="CI1179" t="s">
        <v>125</v>
      </c>
      <c r="CJ1179" t="s">
        <v>125</v>
      </c>
      <c r="CK1179" t="s">
        <v>125</v>
      </c>
      <c r="CL1179" t="s">
        <v>125</v>
      </c>
      <c r="CM1179" t="s">
        <v>125</v>
      </c>
      <c r="CN1179" t="s">
        <v>125</v>
      </c>
      <c r="CO1179" t="s">
        <v>125</v>
      </c>
      <c r="CP1179" t="s">
        <v>125</v>
      </c>
      <c r="CQ1179" t="s">
        <v>125</v>
      </c>
      <c r="CR1179">
        <v>0</v>
      </c>
      <c r="CS1179">
        <v>0</v>
      </c>
      <c r="CT1179">
        <v>50</v>
      </c>
      <c r="CU1179" t="s">
        <v>125</v>
      </c>
      <c r="CV1179" t="s">
        <v>125</v>
      </c>
      <c r="CW1179" t="s">
        <v>125</v>
      </c>
      <c r="CX1179" t="s">
        <v>125</v>
      </c>
      <c r="CY1179" t="s">
        <v>125</v>
      </c>
      <c r="CZ1179" t="s">
        <v>125</v>
      </c>
      <c r="DA1179">
        <v>15.314097</v>
      </c>
      <c r="DB1179">
        <v>17.400950000000002</v>
      </c>
      <c r="DC1179">
        <v>16.332519999999999</v>
      </c>
      <c r="DD1179" t="s">
        <v>125</v>
      </c>
      <c r="DE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Q1179" t="s">
        <v>126</v>
      </c>
    </row>
    <row r="1180" spans="1:121" x14ac:dyDescent="0.15">
      <c r="A1180">
        <v>2018</v>
      </c>
      <c r="B1180" t="s">
        <v>314</v>
      </c>
      <c r="C1180" t="str">
        <f>"2820013"</f>
        <v>2820013</v>
      </c>
      <c r="D1180" t="s">
        <v>1327</v>
      </c>
      <c r="E1180" t="str">
        <f>"2826013"</f>
        <v>2826013</v>
      </c>
      <c r="F1180" t="s">
        <v>1316</v>
      </c>
      <c r="G1180">
        <v>9</v>
      </c>
      <c r="H1180">
        <v>12</v>
      </c>
      <c r="I1180" t="s">
        <v>336</v>
      </c>
      <c r="J1180" t="s">
        <v>331</v>
      </c>
      <c r="K1180">
        <v>435.348927</v>
      </c>
      <c r="L1180">
        <v>1250</v>
      </c>
      <c r="M1180">
        <v>34.827914</v>
      </c>
      <c r="N1180">
        <v>5</v>
      </c>
      <c r="O1180">
        <v>0</v>
      </c>
      <c r="P1180">
        <v>33.637681000000001</v>
      </c>
      <c r="Q1180">
        <v>67.275362000000001</v>
      </c>
      <c r="R1180">
        <v>150</v>
      </c>
      <c r="S1180">
        <v>33.637681000000001</v>
      </c>
      <c r="T1180" t="s">
        <v>125</v>
      </c>
      <c r="U1180">
        <v>67.275362000000001</v>
      </c>
      <c r="V1180">
        <v>150</v>
      </c>
      <c r="W1180">
        <v>29.173912999999999</v>
      </c>
      <c r="X1180">
        <v>58.347825999999998</v>
      </c>
      <c r="Y1180">
        <v>150</v>
      </c>
      <c r="Z1180" t="s">
        <v>125</v>
      </c>
      <c r="AA1180">
        <v>29.173912999999999</v>
      </c>
      <c r="AB1180">
        <v>58.347825999999998</v>
      </c>
      <c r="AC1180">
        <v>150</v>
      </c>
      <c r="AD1180" t="s">
        <v>125</v>
      </c>
      <c r="AE1180" t="s">
        <v>125</v>
      </c>
      <c r="AF1180" t="s">
        <v>125</v>
      </c>
      <c r="AG1180" t="s">
        <v>125</v>
      </c>
      <c r="AH1180" t="s">
        <v>125</v>
      </c>
      <c r="AI1180" t="s">
        <v>125</v>
      </c>
      <c r="AJ1180" t="s">
        <v>125</v>
      </c>
      <c r="AK1180" t="s">
        <v>125</v>
      </c>
      <c r="AL1180" t="s">
        <v>125</v>
      </c>
      <c r="AM1180" t="s">
        <v>125</v>
      </c>
      <c r="AN1180" t="s">
        <v>125</v>
      </c>
      <c r="AO1180" t="s">
        <v>125</v>
      </c>
      <c r="AP1180" t="s">
        <v>125</v>
      </c>
      <c r="AQ1180" t="s">
        <v>125</v>
      </c>
      <c r="AR1180" t="s">
        <v>125</v>
      </c>
      <c r="AS1180" t="s">
        <v>125</v>
      </c>
      <c r="AT1180" t="s">
        <v>125</v>
      </c>
      <c r="AU1180" t="s">
        <v>125</v>
      </c>
      <c r="AV1180" t="s">
        <v>125</v>
      </c>
      <c r="AW1180" t="s">
        <v>125</v>
      </c>
      <c r="AX1180" t="s">
        <v>125</v>
      </c>
      <c r="AY1180" t="s">
        <v>125</v>
      </c>
      <c r="AZ1180" t="s">
        <v>125</v>
      </c>
      <c r="BA1180" t="s">
        <v>125</v>
      </c>
      <c r="BB1180" t="s">
        <v>125</v>
      </c>
      <c r="BC1180" t="s">
        <v>125</v>
      </c>
      <c r="BD1180" t="s">
        <v>125</v>
      </c>
      <c r="BE1180" t="s">
        <v>125</v>
      </c>
      <c r="BF1180" t="s">
        <v>125</v>
      </c>
      <c r="BG1180" t="s">
        <v>125</v>
      </c>
      <c r="BH1180">
        <v>1</v>
      </c>
      <c r="BI1180">
        <v>0.763158</v>
      </c>
      <c r="BJ1180">
        <v>0.763158</v>
      </c>
      <c r="BK1180" t="s">
        <v>125</v>
      </c>
      <c r="BL1180">
        <v>0.763158</v>
      </c>
      <c r="BM1180">
        <v>0.763158</v>
      </c>
      <c r="BN1180" t="s">
        <v>125</v>
      </c>
      <c r="BO1180">
        <v>0.62162200000000001</v>
      </c>
      <c r="BP1180">
        <v>0.62162200000000001</v>
      </c>
      <c r="BQ1180" t="s">
        <v>125</v>
      </c>
      <c r="BR1180">
        <v>0.73333300000000001</v>
      </c>
      <c r="BS1180">
        <v>0</v>
      </c>
      <c r="BT1180">
        <v>50</v>
      </c>
      <c r="BU1180">
        <v>0.72580599999999995</v>
      </c>
      <c r="BV1180">
        <v>0</v>
      </c>
      <c r="BW1180">
        <v>50</v>
      </c>
      <c r="BX1180">
        <v>0</v>
      </c>
      <c r="BY1180">
        <v>0</v>
      </c>
      <c r="BZ1180">
        <v>50</v>
      </c>
      <c r="CA1180" t="s">
        <v>125</v>
      </c>
      <c r="CB1180" t="s">
        <v>125</v>
      </c>
      <c r="CC1180">
        <v>50</v>
      </c>
      <c r="CD1180">
        <v>0.17499999999999999</v>
      </c>
      <c r="CE1180">
        <v>9.3085109999999993</v>
      </c>
      <c r="CF1180">
        <v>50</v>
      </c>
      <c r="CG1180">
        <v>0.45454499999999998</v>
      </c>
      <c r="CH1180">
        <v>48.355899000000001</v>
      </c>
      <c r="CI1180">
        <v>100</v>
      </c>
      <c r="CJ1180">
        <v>0</v>
      </c>
      <c r="CK1180">
        <v>0.44</v>
      </c>
      <c r="CL1180">
        <v>46.808511000000003</v>
      </c>
      <c r="CM1180">
        <v>100</v>
      </c>
      <c r="CN1180">
        <v>0.16666700000000001</v>
      </c>
      <c r="CO1180">
        <v>22.222221999999999</v>
      </c>
      <c r="CP1180">
        <v>100</v>
      </c>
      <c r="CQ1180">
        <v>0.111111</v>
      </c>
      <c r="CR1180">
        <v>1.5</v>
      </c>
      <c r="CS1180">
        <v>7.4074070000000001</v>
      </c>
      <c r="CT1180">
        <v>50</v>
      </c>
      <c r="CU1180">
        <v>0.73333300000000001</v>
      </c>
      <c r="CV1180">
        <v>50</v>
      </c>
      <c r="CW1180">
        <v>50</v>
      </c>
      <c r="CX1180">
        <v>0.44</v>
      </c>
      <c r="CY1180" t="s">
        <v>125</v>
      </c>
      <c r="CZ1180" t="s">
        <v>125</v>
      </c>
      <c r="DA1180">
        <v>15.314097</v>
      </c>
      <c r="DB1180">
        <v>17.400950000000002</v>
      </c>
      <c r="DC1180">
        <v>16.332519999999999</v>
      </c>
      <c r="DD1180">
        <v>7.9891730000000001</v>
      </c>
      <c r="DE1180">
        <v>1</v>
      </c>
      <c r="DF1180" t="s">
        <v>376</v>
      </c>
      <c r="DG1180" t="s">
        <v>379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Q1180" t="s">
        <v>126</v>
      </c>
    </row>
    <row r="1181" spans="1:121" x14ac:dyDescent="0.15">
      <c r="A1181">
        <v>2018</v>
      </c>
      <c r="B1181" t="s">
        <v>315</v>
      </c>
      <c r="C1181" t="str">
        <f>"2830013"</f>
        <v>2830013</v>
      </c>
      <c r="D1181" t="s">
        <v>1328</v>
      </c>
      <c r="E1181" t="str">
        <f>"2835113"</f>
        <v>2835113</v>
      </c>
      <c r="F1181" t="s">
        <v>1316</v>
      </c>
      <c r="G1181">
        <v>5</v>
      </c>
      <c r="H1181">
        <v>8</v>
      </c>
      <c r="I1181" t="s">
        <v>336</v>
      </c>
      <c r="J1181" t="s">
        <v>331</v>
      </c>
      <c r="K1181">
        <v>770.79726500000004</v>
      </c>
      <c r="L1181">
        <v>1000</v>
      </c>
      <c r="M1181">
        <v>77.079727000000005</v>
      </c>
      <c r="N1181">
        <v>2</v>
      </c>
      <c r="O1181">
        <v>0</v>
      </c>
      <c r="P1181">
        <v>65.141030000000001</v>
      </c>
      <c r="Q1181">
        <v>43.427354000000001</v>
      </c>
      <c r="R1181">
        <v>50</v>
      </c>
      <c r="S1181">
        <v>63.915284999999997</v>
      </c>
      <c r="T1181">
        <v>72.670608000000001</v>
      </c>
      <c r="U1181">
        <v>42.610190000000003</v>
      </c>
      <c r="V1181">
        <v>50</v>
      </c>
      <c r="W1181">
        <v>58.415045999999997</v>
      </c>
      <c r="X1181">
        <v>38.943364000000003</v>
      </c>
      <c r="Y1181">
        <v>50</v>
      </c>
      <c r="Z1181">
        <v>64.457650000000001</v>
      </c>
      <c r="AA1181">
        <v>57.414749999999998</v>
      </c>
      <c r="AB1181">
        <v>38.276499999999999</v>
      </c>
      <c r="AC1181">
        <v>50</v>
      </c>
      <c r="AD1181">
        <v>63.744953000000002</v>
      </c>
      <c r="AE1181">
        <v>42.496634999999998</v>
      </c>
      <c r="AF1181">
        <v>50</v>
      </c>
      <c r="AG1181">
        <v>63.20147</v>
      </c>
      <c r="AH1181">
        <v>66.838623999999996</v>
      </c>
      <c r="AI1181">
        <v>42.134312999999999</v>
      </c>
      <c r="AJ1181">
        <v>50</v>
      </c>
      <c r="AK1181">
        <v>8.75</v>
      </c>
      <c r="AL1181">
        <v>7.04</v>
      </c>
      <c r="AM1181">
        <v>3.63</v>
      </c>
      <c r="AN1181">
        <v>0.75438099999999997</v>
      </c>
      <c r="AO1181">
        <v>75.438101000000003</v>
      </c>
      <c r="AP1181">
        <v>100</v>
      </c>
      <c r="AQ1181">
        <v>0.81030899999999995</v>
      </c>
      <c r="AR1181">
        <v>81.030890999999997</v>
      </c>
      <c r="AS1181">
        <v>100</v>
      </c>
      <c r="AT1181">
        <v>0.75942500000000002</v>
      </c>
      <c r="AU1181">
        <v>0.72306400000000004</v>
      </c>
      <c r="AV1181">
        <v>75.942536000000004</v>
      </c>
      <c r="AW1181">
        <v>100</v>
      </c>
      <c r="AX1181">
        <v>0.78960600000000003</v>
      </c>
      <c r="AY1181">
        <v>0.93668200000000001</v>
      </c>
      <c r="AZ1181">
        <v>78.960622000000001</v>
      </c>
      <c r="BA1181">
        <v>100</v>
      </c>
      <c r="BB1181">
        <v>0.56246700000000005</v>
      </c>
      <c r="BC1181">
        <v>28.123346000000002</v>
      </c>
      <c r="BD1181">
        <v>50</v>
      </c>
      <c r="BE1181">
        <v>0.69819799999999999</v>
      </c>
      <c r="BF1181">
        <v>34.90992</v>
      </c>
      <c r="BG1181">
        <v>50</v>
      </c>
      <c r="BH1181">
        <v>0</v>
      </c>
      <c r="BI1181">
        <v>1</v>
      </c>
      <c r="BJ1181">
        <v>1</v>
      </c>
      <c r="BK1181">
        <v>1</v>
      </c>
      <c r="BL1181">
        <v>0.98853899999999995</v>
      </c>
      <c r="BM1181">
        <v>0.98666699999999996</v>
      </c>
      <c r="BN1181">
        <v>1</v>
      </c>
      <c r="BO1181">
        <v>1</v>
      </c>
      <c r="BP1181">
        <v>1</v>
      </c>
      <c r="BQ1181">
        <v>1</v>
      </c>
      <c r="BR1181">
        <v>3.7248999999999997E-2</v>
      </c>
      <c r="BS1181">
        <v>50</v>
      </c>
      <c r="BT1181">
        <v>50</v>
      </c>
      <c r="BU1181">
        <v>0.04</v>
      </c>
      <c r="BV1181">
        <v>50</v>
      </c>
      <c r="BW1181">
        <v>50</v>
      </c>
      <c r="BX1181" t="s">
        <v>125</v>
      </c>
      <c r="BY1181" t="s">
        <v>125</v>
      </c>
      <c r="BZ1181" t="s">
        <v>125</v>
      </c>
      <c r="CA1181" t="s">
        <v>125</v>
      </c>
      <c r="CB1181" t="s">
        <v>125</v>
      </c>
      <c r="CC1181" t="s">
        <v>125</v>
      </c>
      <c r="CD1181">
        <v>0.836364</v>
      </c>
      <c r="CE1181">
        <v>44.487426999999997</v>
      </c>
      <c r="CF1181">
        <v>50</v>
      </c>
      <c r="CG1181" t="s">
        <v>125</v>
      </c>
      <c r="CH1181" t="s">
        <v>125</v>
      </c>
      <c r="CI1181" t="s">
        <v>125</v>
      </c>
      <c r="CJ1181" t="s">
        <v>125</v>
      </c>
      <c r="CK1181" t="s">
        <v>125</v>
      </c>
      <c r="CL1181" t="s">
        <v>125</v>
      </c>
      <c r="CM1181" t="s">
        <v>125</v>
      </c>
      <c r="CN1181" t="s">
        <v>125</v>
      </c>
      <c r="CO1181" t="s">
        <v>125</v>
      </c>
      <c r="CP1181" t="s">
        <v>125</v>
      </c>
      <c r="CQ1181">
        <v>6.0241000000000003E-2</v>
      </c>
      <c r="CR1181">
        <v>1</v>
      </c>
      <c r="CS1181">
        <v>4.0160640000000001</v>
      </c>
      <c r="CT1181">
        <v>50</v>
      </c>
      <c r="CU1181" t="s">
        <v>125</v>
      </c>
      <c r="CV1181" t="s">
        <v>125</v>
      </c>
      <c r="CW1181" t="s">
        <v>125</v>
      </c>
      <c r="CX1181" t="s">
        <v>125</v>
      </c>
      <c r="CY1181" t="s">
        <v>125</v>
      </c>
      <c r="CZ1181" t="s">
        <v>125</v>
      </c>
      <c r="DA1181">
        <v>15.314097</v>
      </c>
      <c r="DB1181">
        <v>17.400950000000002</v>
      </c>
      <c r="DC1181">
        <v>16.332519999999999</v>
      </c>
      <c r="DD1181" t="s">
        <v>125</v>
      </c>
      <c r="DE1181">
        <v>0</v>
      </c>
      <c r="DH1181" t="s">
        <v>332</v>
      </c>
      <c r="DI1181" t="s">
        <v>597</v>
      </c>
      <c r="DJ1181">
        <v>0</v>
      </c>
      <c r="DK1181">
        <v>0</v>
      </c>
      <c r="DL1181">
        <v>0</v>
      </c>
      <c r="DM1181">
        <v>1</v>
      </c>
      <c r="DN1181">
        <v>1</v>
      </c>
      <c r="DO1181">
        <v>0</v>
      </c>
      <c r="DQ1181" t="s">
        <v>126</v>
      </c>
    </row>
    <row r="1182" spans="1:121" x14ac:dyDescent="0.15">
      <c r="A1182">
        <v>2018</v>
      </c>
      <c r="B1182" t="s">
        <v>316</v>
      </c>
      <c r="C1182" t="str">
        <f>"2850013"</f>
        <v>2850013</v>
      </c>
      <c r="D1182" t="s">
        <v>1329</v>
      </c>
      <c r="E1182" t="str">
        <f>"2850113"</f>
        <v>2850113</v>
      </c>
      <c r="F1182" t="s">
        <v>1316</v>
      </c>
      <c r="G1182" t="s">
        <v>339</v>
      </c>
      <c r="H1182">
        <v>12</v>
      </c>
      <c r="I1182" t="s">
        <v>336</v>
      </c>
      <c r="J1182" t="s">
        <v>331</v>
      </c>
      <c r="K1182">
        <v>1172.4080509999999</v>
      </c>
      <c r="L1182">
        <v>1450</v>
      </c>
      <c r="M1182">
        <v>80.855727999999999</v>
      </c>
      <c r="N1182">
        <v>2</v>
      </c>
      <c r="O1182">
        <v>0</v>
      </c>
      <c r="P1182">
        <v>72.170604999999995</v>
      </c>
      <c r="Q1182">
        <v>48.113736000000003</v>
      </c>
      <c r="R1182">
        <v>50</v>
      </c>
      <c r="S1182">
        <v>72.264791000000002</v>
      </c>
      <c r="T1182" t="s">
        <v>125</v>
      </c>
      <c r="U1182">
        <v>48.176527</v>
      </c>
      <c r="V1182">
        <v>50</v>
      </c>
      <c r="W1182">
        <v>66.127139999999997</v>
      </c>
      <c r="X1182">
        <v>44.084760000000003</v>
      </c>
      <c r="Y1182">
        <v>50</v>
      </c>
      <c r="Z1182" t="s">
        <v>125</v>
      </c>
      <c r="AA1182">
        <v>66.207729999999998</v>
      </c>
      <c r="AB1182">
        <v>44.138486999999998</v>
      </c>
      <c r="AC1182">
        <v>50</v>
      </c>
      <c r="AD1182">
        <v>64.022942999999998</v>
      </c>
      <c r="AE1182">
        <v>42.681961999999999</v>
      </c>
      <c r="AF1182">
        <v>50</v>
      </c>
      <c r="AG1182">
        <v>64.037760000000006</v>
      </c>
      <c r="AH1182" t="s">
        <v>125</v>
      </c>
      <c r="AI1182">
        <v>42.691839999999999</v>
      </c>
      <c r="AJ1182">
        <v>50</v>
      </c>
      <c r="AK1182" t="s">
        <v>125</v>
      </c>
      <c r="AL1182" t="s">
        <v>125</v>
      </c>
      <c r="AM1182" t="s">
        <v>125</v>
      </c>
      <c r="AN1182">
        <v>0.70649700000000004</v>
      </c>
      <c r="AO1182">
        <v>70.649707000000006</v>
      </c>
      <c r="AP1182">
        <v>100</v>
      </c>
      <c r="AQ1182">
        <v>0.61767099999999997</v>
      </c>
      <c r="AR1182">
        <v>61.767100999999997</v>
      </c>
      <c r="AS1182">
        <v>100</v>
      </c>
      <c r="AT1182">
        <v>0.70445599999999997</v>
      </c>
      <c r="AU1182" t="s">
        <v>125</v>
      </c>
      <c r="AV1182">
        <v>70.445586000000006</v>
      </c>
      <c r="AW1182">
        <v>100</v>
      </c>
      <c r="AX1182">
        <v>0.61461699999999997</v>
      </c>
      <c r="AY1182" t="s">
        <v>125</v>
      </c>
      <c r="AZ1182">
        <v>61.461682000000003</v>
      </c>
      <c r="BA1182">
        <v>100</v>
      </c>
      <c r="BB1182">
        <v>0.56917499999999999</v>
      </c>
      <c r="BC1182">
        <v>28.458735999999998</v>
      </c>
      <c r="BD1182">
        <v>50</v>
      </c>
      <c r="BE1182">
        <v>0.49007899999999999</v>
      </c>
      <c r="BF1182">
        <v>24.503962999999999</v>
      </c>
      <c r="BG1182">
        <v>50</v>
      </c>
      <c r="BH1182">
        <v>0</v>
      </c>
      <c r="BI1182">
        <v>0.993344</v>
      </c>
      <c r="BJ1182">
        <v>0.99328899999999998</v>
      </c>
      <c r="BK1182" t="s">
        <v>125</v>
      </c>
      <c r="BL1182">
        <v>0.99333300000000002</v>
      </c>
      <c r="BM1182">
        <v>0.99327699999999997</v>
      </c>
      <c r="BN1182" t="s">
        <v>125</v>
      </c>
      <c r="BO1182">
        <v>0.96982800000000002</v>
      </c>
      <c r="BP1182">
        <v>0.96956500000000001</v>
      </c>
      <c r="BQ1182" t="s">
        <v>125</v>
      </c>
      <c r="BR1182">
        <v>5.7438999999999997E-2</v>
      </c>
      <c r="BS1182">
        <v>48.512241000000003</v>
      </c>
      <c r="BT1182">
        <v>50</v>
      </c>
      <c r="BU1182">
        <v>6.1303000000000003E-2</v>
      </c>
      <c r="BV1182">
        <v>47.739463999999998</v>
      </c>
      <c r="BW1182">
        <v>50</v>
      </c>
      <c r="BX1182">
        <v>1</v>
      </c>
      <c r="BY1182">
        <v>50</v>
      </c>
      <c r="BZ1182">
        <v>50</v>
      </c>
      <c r="CA1182">
        <v>0.51578900000000005</v>
      </c>
      <c r="CB1182">
        <v>34.385964999999999</v>
      </c>
      <c r="CC1182">
        <v>50</v>
      </c>
      <c r="CD1182">
        <v>0.88050300000000004</v>
      </c>
      <c r="CE1182">
        <v>46.835273999999998</v>
      </c>
      <c r="CF1182">
        <v>50</v>
      </c>
      <c r="CG1182">
        <v>0.73333300000000001</v>
      </c>
      <c r="CH1182">
        <v>78.014184</v>
      </c>
      <c r="CI1182">
        <v>100</v>
      </c>
      <c r="CJ1182">
        <v>0</v>
      </c>
      <c r="CK1182">
        <v>0.96428599999999998</v>
      </c>
      <c r="CL1182">
        <v>100</v>
      </c>
      <c r="CM1182">
        <v>100</v>
      </c>
      <c r="CN1182">
        <v>0.89285700000000001</v>
      </c>
      <c r="CO1182">
        <v>100</v>
      </c>
      <c r="CP1182">
        <v>100</v>
      </c>
      <c r="CQ1182">
        <v>0.5</v>
      </c>
      <c r="CR1182">
        <v>1.1858409999999999</v>
      </c>
      <c r="CS1182">
        <v>33.333333000000003</v>
      </c>
      <c r="CT1182">
        <v>50</v>
      </c>
      <c r="CU1182">
        <v>0.55696199999999996</v>
      </c>
      <c r="CV1182">
        <v>46.413502000000001</v>
      </c>
      <c r="CW1182">
        <v>50</v>
      </c>
      <c r="CX1182">
        <v>0.96428599999999998</v>
      </c>
      <c r="CY1182" t="s">
        <v>125</v>
      </c>
      <c r="CZ1182" t="s">
        <v>125</v>
      </c>
      <c r="DA1182">
        <v>15.314097</v>
      </c>
      <c r="DB1182">
        <v>17.400950000000002</v>
      </c>
      <c r="DC1182">
        <v>16.332519999999999</v>
      </c>
      <c r="DD1182">
        <v>7.9891730000000001</v>
      </c>
      <c r="DE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Q1182" t="s">
        <v>126</v>
      </c>
    </row>
    <row r="1183" spans="1:121" x14ac:dyDescent="0.15">
      <c r="A1183">
        <v>2018</v>
      </c>
      <c r="B1183" t="s">
        <v>317</v>
      </c>
      <c r="C1183" t="str">
        <f>"2860013"</f>
        <v>2860013</v>
      </c>
      <c r="D1183" t="s">
        <v>1330</v>
      </c>
      <c r="E1183" t="str">
        <f>"2860113"</f>
        <v>2860113</v>
      </c>
      <c r="F1183" t="s">
        <v>1316</v>
      </c>
      <c r="G1183" t="s">
        <v>329</v>
      </c>
      <c r="H1183">
        <v>12</v>
      </c>
      <c r="I1183" t="s">
        <v>336</v>
      </c>
      <c r="J1183" t="s">
        <v>331</v>
      </c>
      <c r="K1183">
        <v>908.82007599999997</v>
      </c>
      <c r="L1183">
        <v>1250</v>
      </c>
      <c r="M1183">
        <v>72.705606000000003</v>
      </c>
      <c r="N1183">
        <v>2</v>
      </c>
      <c r="O1183">
        <v>0</v>
      </c>
      <c r="P1183">
        <v>59.033707999999997</v>
      </c>
      <c r="Q1183">
        <v>39.355804999999997</v>
      </c>
      <c r="R1183">
        <v>50</v>
      </c>
      <c r="S1183">
        <v>57.495038000000001</v>
      </c>
      <c r="T1183">
        <v>65.225021999999996</v>
      </c>
      <c r="U1183">
        <v>38.330024999999999</v>
      </c>
      <c r="V1183">
        <v>50</v>
      </c>
      <c r="W1183">
        <v>50.367431000000003</v>
      </c>
      <c r="X1183">
        <v>33.578287000000003</v>
      </c>
      <c r="Y1183">
        <v>50</v>
      </c>
      <c r="Z1183">
        <v>56.426958999999997</v>
      </c>
      <c r="AA1183">
        <v>48.861511999999998</v>
      </c>
      <c r="AB1183">
        <v>32.574342000000001</v>
      </c>
      <c r="AC1183">
        <v>50</v>
      </c>
      <c r="AD1183">
        <v>52.623086000000001</v>
      </c>
      <c r="AE1183">
        <v>35.082056999999999</v>
      </c>
      <c r="AF1183">
        <v>50</v>
      </c>
      <c r="AG1183">
        <v>51.524884999999998</v>
      </c>
      <c r="AH1183" t="s">
        <v>125</v>
      </c>
      <c r="AI1183">
        <v>34.349922999999997</v>
      </c>
      <c r="AJ1183">
        <v>50</v>
      </c>
      <c r="AK1183">
        <v>7.72</v>
      </c>
      <c r="AL1183">
        <v>7.56</v>
      </c>
      <c r="AM1183" t="s">
        <v>125</v>
      </c>
      <c r="AN1183">
        <v>0.55426299999999995</v>
      </c>
      <c r="AO1183">
        <v>55.426260999999997</v>
      </c>
      <c r="AP1183">
        <v>100</v>
      </c>
      <c r="AQ1183">
        <v>0.55017000000000005</v>
      </c>
      <c r="AR1183">
        <v>55.016997000000003</v>
      </c>
      <c r="AS1183">
        <v>100</v>
      </c>
      <c r="AT1183">
        <v>0.56563200000000002</v>
      </c>
      <c r="AU1183">
        <v>0.50988599999999995</v>
      </c>
      <c r="AV1183">
        <v>56.563187999999997</v>
      </c>
      <c r="AW1183">
        <v>100</v>
      </c>
      <c r="AX1183">
        <v>0.55130599999999996</v>
      </c>
      <c r="AY1183">
        <v>0.54573499999999997</v>
      </c>
      <c r="AZ1183">
        <v>55.130628999999999</v>
      </c>
      <c r="BA1183">
        <v>100</v>
      </c>
      <c r="BB1183" t="s">
        <v>125</v>
      </c>
      <c r="BC1183" t="s">
        <v>125</v>
      </c>
      <c r="BD1183" t="s">
        <v>125</v>
      </c>
      <c r="BE1183" t="s">
        <v>125</v>
      </c>
      <c r="BF1183" t="s">
        <v>125</v>
      </c>
      <c r="BG1183" t="s">
        <v>125</v>
      </c>
      <c r="BH1183">
        <v>0</v>
      </c>
      <c r="BI1183">
        <v>0.995305</v>
      </c>
      <c r="BJ1183">
        <v>0.99411799999999995</v>
      </c>
      <c r="BK1183">
        <v>1</v>
      </c>
      <c r="BL1183">
        <v>0.995305</v>
      </c>
      <c r="BM1183">
        <v>0.99411799999999995</v>
      </c>
      <c r="BN1183">
        <v>1</v>
      </c>
      <c r="BO1183">
        <v>0.97402599999999995</v>
      </c>
      <c r="BP1183">
        <v>0.96825399999999995</v>
      </c>
      <c r="BQ1183" t="s">
        <v>125</v>
      </c>
      <c r="BR1183">
        <v>9.0666999999999998E-2</v>
      </c>
      <c r="BS1183">
        <v>41.866667</v>
      </c>
      <c r="BT1183">
        <v>50</v>
      </c>
      <c r="BU1183">
        <v>0.10689700000000001</v>
      </c>
      <c r="BV1183">
        <v>38.620690000000003</v>
      </c>
      <c r="BW1183">
        <v>50</v>
      </c>
      <c r="BX1183">
        <v>0.81481499999999996</v>
      </c>
      <c r="BY1183">
        <v>50</v>
      </c>
      <c r="BZ1183">
        <v>50</v>
      </c>
      <c r="CA1183">
        <v>7.4074000000000001E-2</v>
      </c>
      <c r="CB1183">
        <v>4.9382720000000004</v>
      </c>
      <c r="CC1183">
        <v>50</v>
      </c>
      <c r="CD1183">
        <v>0.93333299999999997</v>
      </c>
      <c r="CE1183">
        <v>49.645389999999999</v>
      </c>
      <c r="CF1183">
        <v>50</v>
      </c>
      <c r="CG1183">
        <v>1</v>
      </c>
      <c r="CH1183">
        <v>100</v>
      </c>
      <c r="CI1183">
        <v>100</v>
      </c>
      <c r="CJ1183" t="s">
        <v>125</v>
      </c>
      <c r="CK1183" t="s">
        <v>125</v>
      </c>
      <c r="CL1183" t="s">
        <v>125</v>
      </c>
      <c r="CM1183" t="s">
        <v>125</v>
      </c>
      <c r="CN1183">
        <v>0.71428599999999998</v>
      </c>
      <c r="CO1183">
        <v>95.238095000000001</v>
      </c>
      <c r="CP1183">
        <v>100</v>
      </c>
      <c r="CQ1183">
        <v>0.77391299999999996</v>
      </c>
      <c r="CR1183">
        <v>0.98290599999999995</v>
      </c>
      <c r="CS1183">
        <v>50</v>
      </c>
      <c r="CT1183">
        <v>50</v>
      </c>
      <c r="CU1183">
        <v>0.51724099999999995</v>
      </c>
      <c r="CV1183">
        <v>43.103448</v>
      </c>
      <c r="CW1183">
        <v>50</v>
      </c>
      <c r="CX1183" t="s">
        <v>125</v>
      </c>
      <c r="CY1183" t="s">
        <v>125</v>
      </c>
      <c r="CZ1183" t="s">
        <v>125</v>
      </c>
      <c r="DA1183">
        <v>15.314097</v>
      </c>
      <c r="DB1183">
        <v>17.400950000000002</v>
      </c>
      <c r="DC1183">
        <v>16.332519999999999</v>
      </c>
      <c r="DD1183" t="s">
        <v>125</v>
      </c>
      <c r="DE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Q1183" t="s">
        <v>126</v>
      </c>
    </row>
    <row r="1184" spans="1:121" x14ac:dyDescent="0.15">
      <c r="A1184">
        <v>2018</v>
      </c>
      <c r="B1184" t="s">
        <v>318</v>
      </c>
      <c r="C1184" t="str">
        <f>"2880013"</f>
        <v>2880013</v>
      </c>
      <c r="D1184" t="s">
        <v>1331</v>
      </c>
      <c r="E1184" t="str">
        <f>"2880113"</f>
        <v>2880113</v>
      </c>
      <c r="F1184" t="s">
        <v>1316</v>
      </c>
      <c r="G1184" t="s">
        <v>339</v>
      </c>
      <c r="H1184">
        <v>12</v>
      </c>
      <c r="I1184" t="s">
        <v>336</v>
      </c>
      <c r="J1184" t="s">
        <v>331</v>
      </c>
      <c r="K1184">
        <v>1084.670881</v>
      </c>
      <c r="L1184">
        <v>1450</v>
      </c>
      <c r="M1184">
        <v>74.804888000000005</v>
      </c>
      <c r="N1184">
        <v>2</v>
      </c>
      <c r="O1184">
        <v>0</v>
      </c>
      <c r="P1184">
        <v>68.906041000000002</v>
      </c>
      <c r="Q1184">
        <v>45.937361000000003</v>
      </c>
      <c r="R1184">
        <v>50</v>
      </c>
      <c r="S1184">
        <v>68.886385000000004</v>
      </c>
      <c r="T1184" t="s">
        <v>125</v>
      </c>
      <c r="U1184">
        <v>45.924256999999997</v>
      </c>
      <c r="V1184">
        <v>50</v>
      </c>
      <c r="W1184">
        <v>65.083838999999998</v>
      </c>
      <c r="X1184">
        <v>43.389226000000001</v>
      </c>
      <c r="Y1184">
        <v>50</v>
      </c>
      <c r="Z1184" t="s">
        <v>125</v>
      </c>
      <c r="AA1184">
        <v>65.075581999999997</v>
      </c>
      <c r="AB1184">
        <v>43.383721000000001</v>
      </c>
      <c r="AC1184">
        <v>50</v>
      </c>
      <c r="AD1184">
        <v>56.779539</v>
      </c>
      <c r="AE1184">
        <v>37.853026</v>
      </c>
      <c r="AF1184">
        <v>50</v>
      </c>
      <c r="AG1184">
        <v>56.779539</v>
      </c>
      <c r="AH1184" t="s">
        <v>125</v>
      </c>
      <c r="AI1184">
        <v>37.853026</v>
      </c>
      <c r="AJ1184">
        <v>50</v>
      </c>
      <c r="AK1184" t="s">
        <v>125</v>
      </c>
      <c r="AL1184" t="s">
        <v>125</v>
      </c>
      <c r="AM1184" t="s">
        <v>125</v>
      </c>
      <c r="AN1184">
        <v>0.60180999999999996</v>
      </c>
      <c r="AO1184">
        <v>60.180979000000001</v>
      </c>
      <c r="AP1184">
        <v>100</v>
      </c>
      <c r="AQ1184">
        <v>0.57427700000000004</v>
      </c>
      <c r="AR1184">
        <v>57.427740999999997</v>
      </c>
      <c r="AS1184">
        <v>100</v>
      </c>
      <c r="AT1184">
        <v>0.60180999999999996</v>
      </c>
      <c r="AU1184" t="s">
        <v>125</v>
      </c>
      <c r="AV1184">
        <v>60.180979000000001</v>
      </c>
      <c r="AW1184">
        <v>100</v>
      </c>
      <c r="AX1184">
        <v>0.57427700000000004</v>
      </c>
      <c r="AY1184" t="s">
        <v>125</v>
      </c>
      <c r="AZ1184">
        <v>57.427740999999997</v>
      </c>
      <c r="BA1184">
        <v>100</v>
      </c>
      <c r="BB1184">
        <v>0.42502800000000002</v>
      </c>
      <c r="BC1184">
        <v>21.251407</v>
      </c>
      <c r="BD1184">
        <v>50</v>
      </c>
      <c r="BE1184">
        <v>0.32444000000000001</v>
      </c>
      <c r="BF1184">
        <v>16.222003000000001</v>
      </c>
      <c r="BG1184">
        <v>50</v>
      </c>
      <c r="BH1184">
        <v>0</v>
      </c>
      <c r="BI1184">
        <v>0.99689399999999995</v>
      </c>
      <c r="BJ1184">
        <v>0.99688500000000002</v>
      </c>
      <c r="BK1184" t="s">
        <v>125</v>
      </c>
      <c r="BL1184">
        <v>0.99534199999999995</v>
      </c>
      <c r="BM1184">
        <v>0.99532699999999996</v>
      </c>
      <c r="BN1184" t="s">
        <v>125</v>
      </c>
      <c r="BO1184">
        <v>1</v>
      </c>
      <c r="BP1184">
        <v>1</v>
      </c>
      <c r="BQ1184" t="s">
        <v>125</v>
      </c>
      <c r="BR1184">
        <v>6.5298999999999996E-2</v>
      </c>
      <c r="BS1184">
        <v>46.940299000000003</v>
      </c>
      <c r="BT1184">
        <v>50</v>
      </c>
      <c r="BU1184">
        <v>6.2717999999999996E-2</v>
      </c>
      <c r="BV1184">
        <v>47.456446</v>
      </c>
      <c r="BW1184">
        <v>50</v>
      </c>
      <c r="BX1184">
        <v>1</v>
      </c>
      <c r="BY1184">
        <v>50</v>
      </c>
      <c r="BZ1184">
        <v>50</v>
      </c>
      <c r="CA1184">
        <v>0.51351400000000003</v>
      </c>
      <c r="CB1184">
        <v>34.234234000000001</v>
      </c>
      <c r="CC1184">
        <v>50</v>
      </c>
      <c r="CD1184">
        <v>0.84506999999999999</v>
      </c>
      <c r="CE1184">
        <v>44.950553999999997</v>
      </c>
      <c r="CF1184">
        <v>50</v>
      </c>
      <c r="CG1184">
        <v>0.885714</v>
      </c>
      <c r="CH1184">
        <v>94.224924000000001</v>
      </c>
      <c r="CI1184">
        <v>100</v>
      </c>
      <c r="CJ1184">
        <v>0</v>
      </c>
      <c r="CK1184">
        <v>0.97142899999999999</v>
      </c>
      <c r="CL1184">
        <v>100</v>
      </c>
      <c r="CM1184">
        <v>100</v>
      </c>
      <c r="CN1184">
        <v>0.764706</v>
      </c>
      <c r="CO1184">
        <v>100</v>
      </c>
      <c r="CP1184">
        <v>100</v>
      </c>
      <c r="CQ1184">
        <v>0.19658100000000001</v>
      </c>
      <c r="CR1184">
        <v>0.65363099999999996</v>
      </c>
      <c r="CS1184">
        <v>3.2763529999999998</v>
      </c>
      <c r="CT1184">
        <v>50</v>
      </c>
      <c r="CU1184">
        <v>0.43867899999999999</v>
      </c>
      <c r="CV1184">
        <v>36.556604</v>
      </c>
      <c r="CW1184">
        <v>50</v>
      </c>
      <c r="CX1184">
        <v>0.97142899999999999</v>
      </c>
      <c r="CY1184" t="s">
        <v>125</v>
      </c>
      <c r="CZ1184" t="s">
        <v>125</v>
      </c>
      <c r="DA1184">
        <v>15.314097</v>
      </c>
      <c r="DB1184">
        <v>17.400950000000002</v>
      </c>
      <c r="DC1184">
        <v>16.332519999999999</v>
      </c>
      <c r="DD1184">
        <v>7.9891730000000001</v>
      </c>
      <c r="DE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Q1184" t="s">
        <v>126</v>
      </c>
    </row>
    <row r="1185" spans="1:121" x14ac:dyDescent="0.15">
      <c r="A1185">
        <v>2018</v>
      </c>
      <c r="B1185" t="s">
        <v>319</v>
      </c>
      <c r="C1185" t="str">
        <f>"2890013"</f>
        <v>2890013</v>
      </c>
      <c r="D1185" t="s">
        <v>1332</v>
      </c>
      <c r="E1185" t="str">
        <f>"2890113"</f>
        <v>2890113</v>
      </c>
      <c r="F1185" t="s">
        <v>1316</v>
      </c>
      <c r="G1185" t="s">
        <v>339</v>
      </c>
      <c r="H1185">
        <v>12</v>
      </c>
      <c r="I1185" t="s">
        <v>336</v>
      </c>
      <c r="J1185" t="s">
        <v>331</v>
      </c>
      <c r="K1185">
        <v>1027.2138689999999</v>
      </c>
      <c r="L1185">
        <v>1350</v>
      </c>
      <c r="M1185">
        <v>76.089916000000002</v>
      </c>
      <c r="N1185">
        <v>2</v>
      </c>
      <c r="O1185">
        <v>0</v>
      </c>
      <c r="P1185">
        <v>68.201100999999994</v>
      </c>
      <c r="Q1185">
        <v>45.467399999999998</v>
      </c>
      <c r="R1185">
        <v>50</v>
      </c>
      <c r="S1185">
        <v>68.160968999999994</v>
      </c>
      <c r="T1185" t="s">
        <v>125</v>
      </c>
      <c r="U1185">
        <v>45.440646000000001</v>
      </c>
      <c r="V1185">
        <v>50</v>
      </c>
      <c r="W1185">
        <v>64.464442000000005</v>
      </c>
      <c r="X1185">
        <v>42.976294000000003</v>
      </c>
      <c r="Y1185">
        <v>50</v>
      </c>
      <c r="Z1185" t="s">
        <v>125</v>
      </c>
      <c r="AA1185">
        <v>64.486881999999994</v>
      </c>
      <c r="AB1185">
        <v>42.991255000000002</v>
      </c>
      <c r="AC1185">
        <v>50</v>
      </c>
      <c r="AD1185">
        <v>58.242457000000002</v>
      </c>
      <c r="AE1185">
        <v>38.828305</v>
      </c>
      <c r="AF1185">
        <v>50</v>
      </c>
      <c r="AG1185">
        <v>58.242457000000002</v>
      </c>
      <c r="AH1185" t="s">
        <v>125</v>
      </c>
      <c r="AI1185">
        <v>38.828305</v>
      </c>
      <c r="AJ1185">
        <v>50</v>
      </c>
      <c r="AK1185" t="s">
        <v>125</v>
      </c>
      <c r="AL1185" t="s">
        <v>125</v>
      </c>
      <c r="AM1185" t="s">
        <v>125</v>
      </c>
      <c r="AN1185">
        <v>0.64899899999999999</v>
      </c>
      <c r="AO1185">
        <v>64.899941999999996</v>
      </c>
      <c r="AP1185">
        <v>100</v>
      </c>
      <c r="AQ1185">
        <v>0.61199899999999996</v>
      </c>
      <c r="AR1185">
        <v>61.199862000000003</v>
      </c>
      <c r="AS1185">
        <v>100</v>
      </c>
      <c r="AT1185">
        <v>0.64747100000000002</v>
      </c>
      <c r="AU1185" t="s">
        <v>125</v>
      </c>
      <c r="AV1185">
        <v>64.747060000000005</v>
      </c>
      <c r="AW1185">
        <v>100</v>
      </c>
      <c r="AX1185">
        <v>0.610344</v>
      </c>
      <c r="AY1185" t="s">
        <v>125</v>
      </c>
      <c r="AZ1185">
        <v>61.034438000000002</v>
      </c>
      <c r="BA1185">
        <v>100</v>
      </c>
      <c r="BB1185">
        <v>0.35378399999999999</v>
      </c>
      <c r="BC1185">
        <v>17.689178999999999</v>
      </c>
      <c r="BD1185">
        <v>50</v>
      </c>
      <c r="BE1185">
        <v>0.44099100000000002</v>
      </c>
      <c r="BF1185">
        <v>22.049569000000002</v>
      </c>
      <c r="BG1185">
        <v>50</v>
      </c>
      <c r="BH1185">
        <v>0</v>
      </c>
      <c r="BI1185">
        <v>0.98607900000000004</v>
      </c>
      <c r="BJ1185">
        <v>0.985981</v>
      </c>
      <c r="BK1185" t="s">
        <v>125</v>
      </c>
      <c r="BL1185">
        <v>0.98607900000000004</v>
      </c>
      <c r="BM1185">
        <v>0.985981</v>
      </c>
      <c r="BN1185" t="s">
        <v>125</v>
      </c>
      <c r="BO1185">
        <v>0.95428599999999997</v>
      </c>
      <c r="BP1185">
        <v>0.95428599999999997</v>
      </c>
      <c r="BQ1185" t="s">
        <v>125</v>
      </c>
      <c r="BR1185">
        <v>9.0909000000000004E-2</v>
      </c>
      <c r="BS1185">
        <v>41.818182</v>
      </c>
      <c r="BT1185">
        <v>50</v>
      </c>
      <c r="BU1185">
        <v>9.8720000000000002E-2</v>
      </c>
      <c r="BV1185">
        <v>40.255941</v>
      </c>
      <c r="BW1185">
        <v>50</v>
      </c>
      <c r="BX1185">
        <v>1</v>
      </c>
      <c r="BY1185">
        <v>50</v>
      </c>
      <c r="BZ1185">
        <v>50</v>
      </c>
      <c r="CA1185">
        <v>0.52702700000000002</v>
      </c>
      <c r="CB1185">
        <v>35.135134999999998</v>
      </c>
      <c r="CC1185">
        <v>50</v>
      </c>
      <c r="CD1185">
        <v>0.90816300000000005</v>
      </c>
      <c r="CE1185">
        <v>48.306556999999998</v>
      </c>
      <c r="CF1185">
        <v>50</v>
      </c>
      <c r="CG1185">
        <v>0.961538</v>
      </c>
      <c r="CH1185">
        <v>100</v>
      </c>
      <c r="CI1185">
        <v>100</v>
      </c>
      <c r="CJ1185" t="s">
        <v>125</v>
      </c>
      <c r="CK1185" t="s">
        <v>125</v>
      </c>
      <c r="CL1185" t="s">
        <v>125</v>
      </c>
      <c r="CM1185" t="s">
        <v>125</v>
      </c>
      <c r="CN1185">
        <v>0.86206899999999997</v>
      </c>
      <c r="CO1185">
        <v>100</v>
      </c>
      <c r="CP1185">
        <v>100</v>
      </c>
      <c r="CQ1185">
        <v>0.36206899999999997</v>
      </c>
      <c r="CR1185">
        <v>0.98305100000000001</v>
      </c>
      <c r="CS1185">
        <v>24.137930999999998</v>
      </c>
      <c r="CT1185">
        <v>50</v>
      </c>
      <c r="CU1185">
        <v>0.496894</v>
      </c>
      <c r="CV1185">
        <v>41.407867000000003</v>
      </c>
      <c r="CW1185">
        <v>50</v>
      </c>
      <c r="CX1185" t="s">
        <v>125</v>
      </c>
      <c r="CY1185" t="s">
        <v>125</v>
      </c>
      <c r="CZ1185" t="s">
        <v>125</v>
      </c>
      <c r="DA1185">
        <v>15.314097</v>
      </c>
      <c r="DB1185">
        <v>17.400950000000002</v>
      </c>
      <c r="DC1185">
        <v>16.332519999999999</v>
      </c>
      <c r="DD1185" t="s">
        <v>125</v>
      </c>
      <c r="DE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Q1185" t="s">
        <v>126</v>
      </c>
    </row>
    <row r="1186" spans="1:121" x14ac:dyDescent="0.15">
      <c r="A1186">
        <v>2018</v>
      </c>
      <c r="B1186" t="s">
        <v>320</v>
      </c>
      <c r="C1186" t="str">
        <f>"2900013"</f>
        <v>2900013</v>
      </c>
      <c r="D1186" t="s">
        <v>1333</v>
      </c>
      <c r="E1186" t="str">
        <f>"2900113"</f>
        <v>2900113</v>
      </c>
      <c r="F1186" t="s">
        <v>1316</v>
      </c>
      <c r="G1186" t="s">
        <v>329</v>
      </c>
      <c r="H1186">
        <v>6</v>
      </c>
      <c r="I1186" t="s">
        <v>330</v>
      </c>
      <c r="J1186" t="s">
        <v>331</v>
      </c>
      <c r="K1186">
        <v>590.90684699999997</v>
      </c>
      <c r="L1186">
        <v>850</v>
      </c>
      <c r="M1186">
        <v>69.518452999999994</v>
      </c>
      <c r="N1186">
        <v>3</v>
      </c>
      <c r="O1186">
        <v>0</v>
      </c>
      <c r="P1186">
        <v>71.601861999999997</v>
      </c>
      <c r="Q1186">
        <v>47.734574000000002</v>
      </c>
      <c r="R1186">
        <v>50</v>
      </c>
      <c r="S1186">
        <v>68.785413000000005</v>
      </c>
      <c r="T1186">
        <v>75</v>
      </c>
      <c r="U1186">
        <v>45.856941999999997</v>
      </c>
      <c r="V1186">
        <v>50</v>
      </c>
      <c r="W1186">
        <v>66.716514000000004</v>
      </c>
      <c r="X1186">
        <v>44.477676000000002</v>
      </c>
      <c r="Y1186">
        <v>50</v>
      </c>
      <c r="Z1186">
        <v>73.548327999999998</v>
      </c>
      <c r="AA1186">
        <v>64.025193000000002</v>
      </c>
      <c r="AB1186">
        <v>42.683461999999999</v>
      </c>
      <c r="AC1186">
        <v>50</v>
      </c>
      <c r="AD1186">
        <v>78.131048000000007</v>
      </c>
      <c r="AE1186">
        <v>50</v>
      </c>
      <c r="AF1186">
        <v>50</v>
      </c>
      <c r="AG1186">
        <v>76.467742000000001</v>
      </c>
      <c r="AH1186" t="s">
        <v>125</v>
      </c>
      <c r="AI1186">
        <v>50</v>
      </c>
      <c r="AJ1186">
        <v>50</v>
      </c>
      <c r="AK1186">
        <v>6.21</v>
      </c>
      <c r="AL1186">
        <v>9.52</v>
      </c>
      <c r="AM1186" t="s">
        <v>125</v>
      </c>
      <c r="AN1186">
        <v>0.50933099999999998</v>
      </c>
      <c r="AO1186">
        <v>50.933101000000001</v>
      </c>
      <c r="AP1186">
        <v>100</v>
      </c>
      <c r="AQ1186">
        <v>0.52999300000000005</v>
      </c>
      <c r="AR1186">
        <v>52.999324000000001</v>
      </c>
      <c r="AS1186">
        <v>100</v>
      </c>
      <c r="AT1186">
        <v>0.51198299999999997</v>
      </c>
      <c r="AU1186">
        <v>0.50369600000000003</v>
      </c>
      <c r="AV1186">
        <v>51.198278999999999</v>
      </c>
      <c r="AW1186">
        <v>100</v>
      </c>
      <c r="AX1186">
        <v>0.48871399999999998</v>
      </c>
      <c r="AY1186">
        <v>0.61771200000000004</v>
      </c>
      <c r="AZ1186">
        <v>48.871388000000003</v>
      </c>
      <c r="BA1186">
        <v>100</v>
      </c>
      <c r="BB1186" t="s">
        <v>125</v>
      </c>
      <c r="BC1186" t="s">
        <v>125</v>
      </c>
      <c r="BD1186" t="s">
        <v>125</v>
      </c>
      <c r="BE1186" t="s">
        <v>125</v>
      </c>
      <c r="BF1186" t="s">
        <v>125</v>
      </c>
      <c r="BG1186" t="s">
        <v>125</v>
      </c>
      <c r="BH1186">
        <v>0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1</v>
      </c>
      <c r="BP1186">
        <v>1</v>
      </c>
      <c r="BQ1186" t="s">
        <v>125</v>
      </c>
      <c r="BR1186">
        <v>8.7649000000000005E-2</v>
      </c>
      <c r="BS1186">
        <v>42.470120000000001</v>
      </c>
      <c r="BT1186">
        <v>50</v>
      </c>
      <c r="BU1186">
        <v>0.112903</v>
      </c>
      <c r="BV1186">
        <v>37.419355000000003</v>
      </c>
      <c r="BW1186">
        <v>50</v>
      </c>
      <c r="BX1186" t="s">
        <v>125</v>
      </c>
      <c r="BY1186" t="s">
        <v>125</v>
      </c>
      <c r="BZ1186" t="s">
        <v>125</v>
      </c>
      <c r="CA1186" t="s">
        <v>125</v>
      </c>
      <c r="CB1186" t="s">
        <v>125</v>
      </c>
      <c r="CC1186" t="s">
        <v>125</v>
      </c>
      <c r="CD1186" t="s">
        <v>125</v>
      </c>
      <c r="CE1186" t="s">
        <v>125</v>
      </c>
      <c r="CF1186" t="s">
        <v>125</v>
      </c>
      <c r="CG1186" t="s">
        <v>125</v>
      </c>
      <c r="CH1186" t="s">
        <v>125</v>
      </c>
      <c r="CI1186" t="s">
        <v>125</v>
      </c>
      <c r="CJ1186" t="s">
        <v>125</v>
      </c>
      <c r="CK1186" t="s">
        <v>125</v>
      </c>
      <c r="CL1186" t="s">
        <v>125</v>
      </c>
      <c r="CM1186" t="s">
        <v>125</v>
      </c>
      <c r="CN1186" t="s">
        <v>125</v>
      </c>
      <c r="CO1186" t="s">
        <v>125</v>
      </c>
      <c r="CP1186" t="s">
        <v>125</v>
      </c>
      <c r="CQ1186">
        <v>0.39393899999999998</v>
      </c>
      <c r="CR1186">
        <v>0.90410999999999997</v>
      </c>
      <c r="CS1186">
        <v>26.262626000000001</v>
      </c>
      <c r="CT1186">
        <v>50</v>
      </c>
      <c r="CU1186" t="s">
        <v>125</v>
      </c>
      <c r="CV1186" t="s">
        <v>125</v>
      </c>
      <c r="CW1186" t="s">
        <v>125</v>
      </c>
      <c r="CX1186" t="s">
        <v>125</v>
      </c>
      <c r="CY1186" t="s">
        <v>125</v>
      </c>
      <c r="CZ1186" t="s">
        <v>125</v>
      </c>
      <c r="DA1186">
        <v>15.314097</v>
      </c>
      <c r="DB1186">
        <v>17.400950000000002</v>
      </c>
      <c r="DC1186">
        <v>16.332519999999999</v>
      </c>
      <c r="DD1186" t="s">
        <v>125</v>
      </c>
      <c r="DE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Q1186" t="s">
        <v>126</v>
      </c>
    </row>
    <row r="1187" spans="1:121" x14ac:dyDescent="0.15">
      <c r="A1187">
        <v>2018</v>
      </c>
      <c r="B1187" t="s">
        <v>321</v>
      </c>
      <c r="C1187" t="str">
        <f>"2910013"</f>
        <v>2910013</v>
      </c>
      <c r="D1187" t="s">
        <v>1334</v>
      </c>
      <c r="E1187" t="str">
        <f>"2910113"</f>
        <v>2910113</v>
      </c>
      <c r="F1187" t="s">
        <v>1316</v>
      </c>
      <c r="G1187" t="s">
        <v>329</v>
      </c>
      <c r="H1187">
        <v>4</v>
      </c>
      <c r="I1187" t="s">
        <v>336</v>
      </c>
      <c r="J1187" t="s">
        <v>331</v>
      </c>
      <c r="K1187">
        <v>240.90757199999999</v>
      </c>
      <c r="L1187">
        <v>300</v>
      </c>
      <c r="M1187">
        <v>80.302524000000005</v>
      </c>
      <c r="N1187">
        <v>2</v>
      </c>
      <c r="O1187">
        <v>0</v>
      </c>
      <c r="P1187">
        <v>64.032691999999997</v>
      </c>
      <c r="Q1187">
        <v>85.376923000000005</v>
      </c>
      <c r="R1187">
        <v>100</v>
      </c>
      <c r="S1187" t="s">
        <v>125</v>
      </c>
      <c r="T1187">
        <v>68.166610000000006</v>
      </c>
      <c r="U1187" t="s">
        <v>125</v>
      </c>
      <c r="V1187" t="s">
        <v>125</v>
      </c>
      <c r="W1187">
        <v>53.220514999999999</v>
      </c>
      <c r="X1187">
        <v>70.960686999999993</v>
      </c>
      <c r="Y1187">
        <v>100</v>
      </c>
      <c r="Z1187">
        <v>56.931038999999998</v>
      </c>
      <c r="AA1187" t="s">
        <v>125</v>
      </c>
      <c r="AB1187" t="s">
        <v>125</v>
      </c>
      <c r="AC1187" t="s">
        <v>125</v>
      </c>
      <c r="AD1187" t="s">
        <v>125</v>
      </c>
      <c r="AE1187" t="s">
        <v>125</v>
      </c>
      <c r="AF1187" t="s">
        <v>125</v>
      </c>
      <c r="AG1187" t="s">
        <v>125</v>
      </c>
      <c r="AH1187" t="s">
        <v>125</v>
      </c>
      <c r="AI1187" t="s">
        <v>125</v>
      </c>
      <c r="AJ1187" t="s">
        <v>125</v>
      </c>
      <c r="AK1187" t="s">
        <v>125</v>
      </c>
      <c r="AL1187" t="s">
        <v>125</v>
      </c>
      <c r="AM1187" t="s">
        <v>125</v>
      </c>
      <c r="AN1187" t="s">
        <v>125</v>
      </c>
      <c r="AO1187" t="s">
        <v>125</v>
      </c>
      <c r="AP1187" t="s">
        <v>125</v>
      </c>
      <c r="AQ1187" t="s">
        <v>125</v>
      </c>
      <c r="AR1187" t="s">
        <v>125</v>
      </c>
      <c r="AS1187" t="s">
        <v>125</v>
      </c>
      <c r="AT1187" t="s">
        <v>125</v>
      </c>
      <c r="AU1187" t="s">
        <v>125</v>
      </c>
      <c r="AV1187" t="s">
        <v>125</v>
      </c>
      <c r="AW1187" t="s">
        <v>125</v>
      </c>
      <c r="AX1187" t="s">
        <v>125</v>
      </c>
      <c r="AY1187" t="s">
        <v>125</v>
      </c>
      <c r="AZ1187" t="s">
        <v>125</v>
      </c>
      <c r="BA1187" t="s">
        <v>125</v>
      </c>
      <c r="BB1187" t="s">
        <v>125</v>
      </c>
      <c r="BC1187" t="s">
        <v>125</v>
      </c>
      <c r="BD1187" t="s">
        <v>125</v>
      </c>
      <c r="BE1187" t="s">
        <v>125</v>
      </c>
      <c r="BF1187" t="s">
        <v>125</v>
      </c>
      <c r="BG1187" t="s">
        <v>125</v>
      </c>
      <c r="BH1187">
        <v>0</v>
      </c>
      <c r="BI1187">
        <v>1</v>
      </c>
      <c r="BJ1187" t="s">
        <v>125</v>
      </c>
      <c r="BK1187">
        <v>1</v>
      </c>
      <c r="BL1187">
        <v>1</v>
      </c>
      <c r="BM1187" t="s">
        <v>125</v>
      </c>
      <c r="BN1187">
        <v>1</v>
      </c>
      <c r="BO1187" t="s">
        <v>125</v>
      </c>
      <c r="BP1187" t="s">
        <v>125</v>
      </c>
      <c r="BQ1187" t="s">
        <v>125</v>
      </c>
      <c r="BR1187">
        <v>8.9430999999999997E-2</v>
      </c>
      <c r="BS1187">
        <v>42.113821000000002</v>
      </c>
      <c r="BT1187">
        <v>50</v>
      </c>
      <c r="BU1187">
        <v>8.7719000000000005E-2</v>
      </c>
      <c r="BV1187">
        <v>42.456139999999998</v>
      </c>
      <c r="BW1187">
        <v>50</v>
      </c>
      <c r="BX1187" t="s">
        <v>125</v>
      </c>
      <c r="BY1187" t="s">
        <v>125</v>
      </c>
      <c r="BZ1187" t="s">
        <v>125</v>
      </c>
      <c r="CA1187" t="s">
        <v>125</v>
      </c>
      <c r="CB1187" t="s">
        <v>125</v>
      </c>
      <c r="CC1187" t="s">
        <v>125</v>
      </c>
      <c r="CD1187" t="s">
        <v>125</v>
      </c>
      <c r="CE1187" t="s">
        <v>125</v>
      </c>
      <c r="CF1187" t="s">
        <v>125</v>
      </c>
      <c r="CG1187" t="s">
        <v>125</v>
      </c>
      <c r="CH1187" t="s">
        <v>125</v>
      </c>
      <c r="CI1187" t="s">
        <v>125</v>
      </c>
      <c r="CJ1187" t="s">
        <v>125</v>
      </c>
      <c r="CK1187" t="s">
        <v>125</v>
      </c>
      <c r="CL1187" t="s">
        <v>125</v>
      </c>
      <c r="CM1187" t="s">
        <v>125</v>
      </c>
      <c r="CN1187" t="s">
        <v>125</v>
      </c>
      <c r="CO1187" t="s">
        <v>125</v>
      </c>
      <c r="CP1187" t="s">
        <v>125</v>
      </c>
      <c r="CQ1187" t="s">
        <v>125</v>
      </c>
      <c r="CR1187" t="s">
        <v>125</v>
      </c>
      <c r="CS1187" t="s">
        <v>125</v>
      </c>
      <c r="CT1187" t="s">
        <v>125</v>
      </c>
      <c r="CU1187" t="s">
        <v>125</v>
      </c>
      <c r="CV1187" t="s">
        <v>125</v>
      </c>
      <c r="CW1187" t="s">
        <v>125</v>
      </c>
      <c r="CX1187" t="s">
        <v>125</v>
      </c>
      <c r="CY1187" t="s">
        <v>125</v>
      </c>
      <c r="CZ1187" t="s">
        <v>125</v>
      </c>
      <c r="DA1187">
        <v>15.314097</v>
      </c>
      <c r="DB1187">
        <v>17.400950000000002</v>
      </c>
      <c r="DC1187">
        <v>16.332519999999999</v>
      </c>
      <c r="DD1187" t="s">
        <v>125</v>
      </c>
      <c r="DE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Q1187" t="s">
        <v>126</v>
      </c>
    </row>
    <row r="1188" spans="1:121" x14ac:dyDescent="0.15">
      <c r="A1188">
        <v>2018</v>
      </c>
      <c r="B1188" t="s">
        <v>322</v>
      </c>
      <c r="C1188" t="str">
        <f>"2940013"</f>
        <v>2940013</v>
      </c>
      <c r="D1188" t="s">
        <v>1335</v>
      </c>
      <c r="E1188" t="str">
        <f>"2940113"</f>
        <v>2940113</v>
      </c>
      <c r="F1188" t="s">
        <v>1316</v>
      </c>
      <c r="G1188">
        <v>6</v>
      </c>
      <c r="H1188">
        <v>10</v>
      </c>
      <c r="I1188" t="s">
        <v>336</v>
      </c>
      <c r="J1188" t="s">
        <v>331</v>
      </c>
      <c r="K1188">
        <v>506.40380699999997</v>
      </c>
      <c r="L1188">
        <v>1050</v>
      </c>
      <c r="M1188">
        <v>48.228934000000002</v>
      </c>
      <c r="N1188">
        <v>3</v>
      </c>
      <c r="O1188">
        <v>0</v>
      </c>
      <c r="P1188">
        <v>52.266235000000002</v>
      </c>
      <c r="Q1188">
        <v>34.844157000000003</v>
      </c>
      <c r="R1188">
        <v>50</v>
      </c>
      <c r="S1188">
        <v>50.670878999999999</v>
      </c>
      <c r="T1188">
        <v>60.211111000000002</v>
      </c>
      <c r="U1188">
        <v>33.780586</v>
      </c>
      <c r="V1188">
        <v>50</v>
      </c>
      <c r="W1188">
        <v>43.126134</v>
      </c>
      <c r="X1188">
        <v>28.750755999999999</v>
      </c>
      <c r="Y1188">
        <v>50</v>
      </c>
      <c r="Z1188">
        <v>52.912014999999997</v>
      </c>
      <c r="AA1188">
        <v>41.161098000000003</v>
      </c>
      <c r="AB1188">
        <v>27.440732000000001</v>
      </c>
      <c r="AC1188">
        <v>50</v>
      </c>
      <c r="AD1188">
        <v>52.082521</v>
      </c>
      <c r="AE1188">
        <v>34.721680999999997</v>
      </c>
      <c r="AF1188">
        <v>50</v>
      </c>
      <c r="AG1188">
        <v>51.426907</v>
      </c>
      <c r="AH1188" t="s">
        <v>125</v>
      </c>
      <c r="AI1188">
        <v>34.284604000000002</v>
      </c>
      <c r="AJ1188">
        <v>50</v>
      </c>
      <c r="AK1188">
        <v>9.5399999999999991</v>
      </c>
      <c r="AL1188">
        <v>11.75</v>
      </c>
      <c r="AM1188" t="s">
        <v>125</v>
      </c>
      <c r="AN1188">
        <v>0.58294100000000004</v>
      </c>
      <c r="AO1188">
        <v>58.294097999999998</v>
      </c>
      <c r="AP1188">
        <v>100</v>
      </c>
      <c r="AQ1188">
        <v>0.405061</v>
      </c>
      <c r="AR1188">
        <v>40.506138</v>
      </c>
      <c r="AS1188">
        <v>100</v>
      </c>
      <c r="AT1188">
        <v>0.55626299999999995</v>
      </c>
      <c r="AU1188">
        <v>0.712924</v>
      </c>
      <c r="AV1188">
        <v>55.626330000000003</v>
      </c>
      <c r="AW1188">
        <v>100</v>
      </c>
      <c r="AX1188">
        <v>0.38648100000000002</v>
      </c>
      <c r="AY1188">
        <v>0.49409399999999998</v>
      </c>
      <c r="AZ1188">
        <v>38.648063</v>
      </c>
      <c r="BA1188">
        <v>100</v>
      </c>
      <c r="BB1188">
        <v>0.52063300000000001</v>
      </c>
      <c r="BC1188">
        <v>26.031665</v>
      </c>
      <c r="BD1188">
        <v>50</v>
      </c>
      <c r="BE1188">
        <v>0.32341700000000001</v>
      </c>
      <c r="BF1188">
        <v>16.170852</v>
      </c>
      <c r="BG1188">
        <v>50</v>
      </c>
      <c r="BH1188">
        <v>0</v>
      </c>
      <c r="BI1188">
        <v>0.98697100000000004</v>
      </c>
      <c r="BJ1188">
        <v>0.98828099999999997</v>
      </c>
      <c r="BK1188">
        <v>0.98039200000000004</v>
      </c>
      <c r="BL1188">
        <v>0.98697100000000004</v>
      </c>
      <c r="BM1188">
        <v>0.98828099999999997</v>
      </c>
      <c r="BN1188">
        <v>0.98039200000000004</v>
      </c>
      <c r="BO1188">
        <v>0.98912999999999995</v>
      </c>
      <c r="BP1188">
        <v>0.98648599999999997</v>
      </c>
      <c r="BQ1188" t="s">
        <v>125</v>
      </c>
      <c r="BR1188">
        <v>0.234043</v>
      </c>
      <c r="BS1188">
        <v>13.191489000000001</v>
      </c>
      <c r="BT1188">
        <v>50</v>
      </c>
      <c r="BU1188">
        <v>0.24712600000000001</v>
      </c>
      <c r="BV1188">
        <v>10.574712999999999</v>
      </c>
      <c r="BW1188">
        <v>50</v>
      </c>
      <c r="BX1188" t="s">
        <v>125</v>
      </c>
      <c r="BY1188" t="s">
        <v>125</v>
      </c>
      <c r="BZ1188" t="s">
        <v>125</v>
      </c>
      <c r="CA1188" t="s">
        <v>125</v>
      </c>
      <c r="CB1188" t="s">
        <v>125</v>
      </c>
      <c r="CC1188" t="s">
        <v>125</v>
      </c>
      <c r="CD1188">
        <v>0.24427499999999999</v>
      </c>
      <c r="CE1188">
        <v>12.993340999999999</v>
      </c>
      <c r="CF1188">
        <v>50</v>
      </c>
      <c r="CG1188" t="s">
        <v>125</v>
      </c>
      <c r="CH1188" t="s">
        <v>125</v>
      </c>
      <c r="CI1188" t="s">
        <v>125</v>
      </c>
      <c r="CJ1188" t="s">
        <v>125</v>
      </c>
      <c r="CK1188" t="s">
        <v>125</v>
      </c>
      <c r="CL1188" t="s">
        <v>125</v>
      </c>
      <c r="CM1188" t="s">
        <v>125</v>
      </c>
      <c r="CN1188" t="s">
        <v>125</v>
      </c>
      <c r="CO1188" t="s">
        <v>125</v>
      </c>
      <c r="CP1188" t="s">
        <v>125</v>
      </c>
      <c r="CQ1188">
        <v>0.13147400000000001</v>
      </c>
      <c r="CR1188">
        <v>0.97286799999999996</v>
      </c>
      <c r="CS1188">
        <v>8.7649399999999993</v>
      </c>
      <c r="CT1188">
        <v>50</v>
      </c>
      <c r="CU1188">
        <v>0.38135599999999997</v>
      </c>
      <c r="CV1188">
        <v>31.779661000000001</v>
      </c>
      <c r="CW1188">
        <v>50</v>
      </c>
      <c r="CX1188" t="s">
        <v>125</v>
      </c>
      <c r="CY1188" t="s">
        <v>125</v>
      </c>
      <c r="CZ1188" t="s">
        <v>125</v>
      </c>
      <c r="DA1188">
        <v>15.314097</v>
      </c>
      <c r="DB1188">
        <v>17.400950000000002</v>
      </c>
      <c r="DC1188">
        <v>16.332519999999999</v>
      </c>
      <c r="DD1188" t="s">
        <v>125</v>
      </c>
      <c r="DE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Q1188" t="s">
        <v>126</v>
      </c>
    </row>
    <row r="1189" spans="1:121" x14ac:dyDescent="0.15">
      <c r="A1189">
        <v>2018</v>
      </c>
      <c r="B1189" t="s">
        <v>323</v>
      </c>
      <c r="C1189" t="str">
        <f>"2950013"</f>
        <v>2950013</v>
      </c>
      <c r="D1189" t="s">
        <v>1336</v>
      </c>
      <c r="E1189" t="str">
        <f>"2950113"</f>
        <v>2950113</v>
      </c>
      <c r="F1189" t="s">
        <v>1316</v>
      </c>
      <c r="G1189" t="s">
        <v>339</v>
      </c>
      <c r="H1189">
        <v>5</v>
      </c>
      <c r="I1189" t="s">
        <v>336</v>
      </c>
      <c r="J1189" t="s">
        <v>331</v>
      </c>
      <c r="K1189">
        <v>525.14587500000005</v>
      </c>
      <c r="L1189">
        <v>850</v>
      </c>
      <c r="M1189">
        <v>61.781868000000003</v>
      </c>
      <c r="N1189">
        <v>3</v>
      </c>
      <c r="O1189">
        <v>0</v>
      </c>
      <c r="P1189">
        <v>66.593853999999993</v>
      </c>
      <c r="Q1189">
        <v>44.395902</v>
      </c>
      <c r="R1189">
        <v>50</v>
      </c>
      <c r="S1189">
        <v>64.704437999999996</v>
      </c>
      <c r="T1189" t="s">
        <v>125</v>
      </c>
      <c r="U1189">
        <v>43.136291999999997</v>
      </c>
      <c r="V1189">
        <v>50</v>
      </c>
      <c r="W1189">
        <v>64.060057999999998</v>
      </c>
      <c r="X1189">
        <v>42.706704999999999</v>
      </c>
      <c r="Y1189">
        <v>50</v>
      </c>
      <c r="Z1189" t="s">
        <v>125</v>
      </c>
      <c r="AA1189">
        <v>62.409542000000002</v>
      </c>
      <c r="AB1189">
        <v>41.606361</v>
      </c>
      <c r="AC1189">
        <v>50</v>
      </c>
      <c r="AD1189">
        <v>61.344515999999999</v>
      </c>
      <c r="AE1189">
        <v>40.896343999999999</v>
      </c>
      <c r="AF1189">
        <v>50</v>
      </c>
      <c r="AG1189">
        <v>59.612903000000003</v>
      </c>
      <c r="AH1189" t="s">
        <v>125</v>
      </c>
      <c r="AI1189">
        <v>39.741934999999998</v>
      </c>
      <c r="AJ1189">
        <v>50</v>
      </c>
      <c r="AK1189" t="s">
        <v>125</v>
      </c>
      <c r="AL1189" t="s">
        <v>125</v>
      </c>
      <c r="AM1189" t="s">
        <v>125</v>
      </c>
      <c r="AN1189">
        <v>0.42341800000000002</v>
      </c>
      <c r="AO1189">
        <v>42.341779000000002</v>
      </c>
      <c r="AP1189">
        <v>100</v>
      </c>
      <c r="AQ1189">
        <v>0.41669699999999998</v>
      </c>
      <c r="AR1189">
        <v>41.669651999999999</v>
      </c>
      <c r="AS1189">
        <v>100</v>
      </c>
      <c r="AT1189">
        <v>0.42871399999999998</v>
      </c>
      <c r="AU1189" t="s">
        <v>125</v>
      </c>
      <c r="AV1189">
        <v>42.871388000000003</v>
      </c>
      <c r="AW1189">
        <v>100</v>
      </c>
      <c r="AX1189">
        <v>0.40751199999999999</v>
      </c>
      <c r="AY1189" t="s">
        <v>125</v>
      </c>
      <c r="AZ1189">
        <v>40.751195000000003</v>
      </c>
      <c r="BA1189">
        <v>100</v>
      </c>
      <c r="BB1189" t="s">
        <v>125</v>
      </c>
      <c r="BC1189" t="s">
        <v>125</v>
      </c>
      <c r="BD1189" t="s">
        <v>125</v>
      </c>
      <c r="BE1189" t="s">
        <v>125</v>
      </c>
      <c r="BF1189" t="s">
        <v>125</v>
      </c>
      <c r="BG1189" t="s">
        <v>125</v>
      </c>
      <c r="BH1189">
        <v>0</v>
      </c>
      <c r="BI1189">
        <v>1</v>
      </c>
      <c r="BJ1189">
        <v>1</v>
      </c>
      <c r="BK1189" t="s">
        <v>125</v>
      </c>
      <c r="BL1189">
        <v>1</v>
      </c>
      <c r="BM1189">
        <v>1</v>
      </c>
      <c r="BN1189" t="s">
        <v>125</v>
      </c>
      <c r="BO1189">
        <v>1</v>
      </c>
      <c r="BP1189">
        <v>1</v>
      </c>
      <c r="BQ1189" t="s">
        <v>125</v>
      </c>
      <c r="BR1189">
        <v>0.12209299999999999</v>
      </c>
      <c r="BS1189">
        <v>35.581395000000001</v>
      </c>
      <c r="BT1189">
        <v>50</v>
      </c>
      <c r="BU1189">
        <v>0.14788699999999999</v>
      </c>
      <c r="BV1189">
        <v>30.422535</v>
      </c>
      <c r="BW1189">
        <v>50</v>
      </c>
      <c r="BX1189" t="s">
        <v>125</v>
      </c>
      <c r="BY1189" t="s">
        <v>125</v>
      </c>
      <c r="BZ1189" t="s">
        <v>125</v>
      </c>
      <c r="CA1189" t="s">
        <v>125</v>
      </c>
      <c r="CB1189" t="s">
        <v>125</v>
      </c>
      <c r="CC1189" t="s">
        <v>125</v>
      </c>
      <c r="CD1189" t="s">
        <v>125</v>
      </c>
      <c r="CE1189" t="s">
        <v>125</v>
      </c>
      <c r="CF1189" t="s">
        <v>125</v>
      </c>
      <c r="CG1189" t="s">
        <v>125</v>
      </c>
      <c r="CH1189" t="s">
        <v>125</v>
      </c>
      <c r="CI1189" t="s">
        <v>125</v>
      </c>
      <c r="CJ1189" t="s">
        <v>125</v>
      </c>
      <c r="CK1189" t="s">
        <v>125</v>
      </c>
      <c r="CL1189" t="s">
        <v>125</v>
      </c>
      <c r="CM1189" t="s">
        <v>125</v>
      </c>
      <c r="CN1189" t="s">
        <v>125</v>
      </c>
      <c r="CO1189" t="s">
        <v>125</v>
      </c>
      <c r="CP1189" t="s">
        <v>125</v>
      </c>
      <c r="CQ1189">
        <v>0.58536600000000005</v>
      </c>
      <c r="CR1189">
        <v>1</v>
      </c>
      <c r="CS1189">
        <v>39.024389999999997</v>
      </c>
      <c r="CT1189">
        <v>50</v>
      </c>
      <c r="CU1189" t="s">
        <v>125</v>
      </c>
      <c r="CV1189" t="s">
        <v>125</v>
      </c>
      <c r="CW1189" t="s">
        <v>125</v>
      </c>
      <c r="CX1189" t="s">
        <v>125</v>
      </c>
      <c r="CY1189" t="s">
        <v>125</v>
      </c>
      <c r="CZ1189" t="s">
        <v>125</v>
      </c>
      <c r="DA1189">
        <v>15.314097</v>
      </c>
      <c r="DB1189">
        <v>17.400950000000002</v>
      </c>
      <c r="DC1189">
        <v>16.332519999999999</v>
      </c>
      <c r="DD1189" t="s">
        <v>125</v>
      </c>
      <c r="DE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Q1189" t="s">
        <v>126</v>
      </c>
    </row>
    <row r="1190" spans="1:121" x14ac:dyDescent="0.15">
      <c r="A1190">
        <v>2018</v>
      </c>
      <c r="B1190" t="s">
        <v>324</v>
      </c>
      <c r="C1190" t="str">
        <f>"2960013"</f>
        <v>2960013</v>
      </c>
      <c r="D1190" t="s">
        <v>1337</v>
      </c>
      <c r="E1190" t="str">
        <f>"2960113"</f>
        <v>2960113</v>
      </c>
      <c r="F1190" t="s">
        <v>1316</v>
      </c>
      <c r="G1190" t="s">
        <v>329</v>
      </c>
      <c r="H1190">
        <v>4</v>
      </c>
      <c r="I1190" t="s">
        <v>336</v>
      </c>
      <c r="J1190" t="s">
        <v>331</v>
      </c>
      <c r="K1190">
        <v>628.23225600000001</v>
      </c>
      <c r="L1190">
        <v>750</v>
      </c>
      <c r="M1190">
        <v>83.764301000000003</v>
      </c>
      <c r="N1190">
        <v>2</v>
      </c>
      <c r="O1190">
        <v>0</v>
      </c>
      <c r="P1190">
        <v>86.921521999999996</v>
      </c>
      <c r="Q1190">
        <v>50</v>
      </c>
      <c r="R1190">
        <v>50</v>
      </c>
      <c r="S1190">
        <v>84.965452999999997</v>
      </c>
      <c r="T1190">
        <v>75</v>
      </c>
      <c r="U1190">
        <v>50</v>
      </c>
      <c r="V1190">
        <v>50</v>
      </c>
      <c r="W1190">
        <v>86.071667000000005</v>
      </c>
      <c r="X1190">
        <v>50</v>
      </c>
      <c r="Y1190">
        <v>50</v>
      </c>
      <c r="Z1190">
        <v>75</v>
      </c>
      <c r="AA1190">
        <v>83.683981000000003</v>
      </c>
      <c r="AB1190">
        <v>50</v>
      </c>
      <c r="AC1190">
        <v>50</v>
      </c>
      <c r="AD1190" t="s">
        <v>125</v>
      </c>
      <c r="AE1190" t="s">
        <v>125</v>
      </c>
      <c r="AF1190" t="s">
        <v>125</v>
      </c>
      <c r="AG1190" t="s">
        <v>125</v>
      </c>
      <c r="AH1190" t="s">
        <v>125</v>
      </c>
      <c r="AI1190" t="s">
        <v>125</v>
      </c>
      <c r="AJ1190" t="s">
        <v>125</v>
      </c>
      <c r="AK1190">
        <v>-9.9600000000000009</v>
      </c>
      <c r="AL1190">
        <v>-8.68</v>
      </c>
      <c r="AM1190" t="s">
        <v>125</v>
      </c>
      <c r="AN1190">
        <v>0.89843700000000004</v>
      </c>
      <c r="AO1190">
        <v>89.843736000000007</v>
      </c>
      <c r="AP1190">
        <v>100</v>
      </c>
      <c r="AQ1190">
        <v>0.74051500000000003</v>
      </c>
      <c r="AR1190">
        <v>74.051452999999995</v>
      </c>
      <c r="AS1190">
        <v>100</v>
      </c>
      <c r="AT1190">
        <v>0.82647000000000004</v>
      </c>
      <c r="AU1190" t="s">
        <v>125</v>
      </c>
      <c r="AV1190">
        <v>82.646975999999995</v>
      </c>
      <c r="AW1190">
        <v>100</v>
      </c>
      <c r="AX1190">
        <v>0.65598400000000001</v>
      </c>
      <c r="AY1190" t="s">
        <v>125</v>
      </c>
      <c r="AZ1190">
        <v>65.598352000000006</v>
      </c>
      <c r="BA1190">
        <v>100</v>
      </c>
      <c r="BB1190" t="s">
        <v>125</v>
      </c>
      <c r="BC1190" t="s">
        <v>125</v>
      </c>
      <c r="BD1190" t="s">
        <v>125</v>
      </c>
      <c r="BE1190" t="s">
        <v>125</v>
      </c>
      <c r="BF1190" t="s">
        <v>125</v>
      </c>
      <c r="BG1190" t="s">
        <v>125</v>
      </c>
      <c r="BH1190">
        <v>0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 t="s">
        <v>125</v>
      </c>
      <c r="BP1190" t="s">
        <v>125</v>
      </c>
      <c r="BQ1190" t="s">
        <v>125</v>
      </c>
      <c r="BR1190">
        <v>9.5784999999999995E-2</v>
      </c>
      <c r="BS1190">
        <v>40.842911999999998</v>
      </c>
      <c r="BT1190">
        <v>50</v>
      </c>
      <c r="BU1190">
        <v>7.0422999999999999E-2</v>
      </c>
      <c r="BV1190">
        <v>45.915492999999998</v>
      </c>
      <c r="BW1190">
        <v>50</v>
      </c>
      <c r="BX1190" t="s">
        <v>125</v>
      </c>
      <c r="BY1190" t="s">
        <v>125</v>
      </c>
      <c r="BZ1190" t="s">
        <v>125</v>
      </c>
      <c r="CA1190" t="s">
        <v>125</v>
      </c>
      <c r="CB1190" t="s">
        <v>125</v>
      </c>
      <c r="CC1190" t="s">
        <v>125</v>
      </c>
      <c r="CD1190" t="s">
        <v>125</v>
      </c>
      <c r="CE1190" t="s">
        <v>125</v>
      </c>
      <c r="CF1190" t="s">
        <v>125</v>
      </c>
      <c r="CG1190" t="s">
        <v>125</v>
      </c>
      <c r="CH1190" t="s">
        <v>125</v>
      </c>
      <c r="CI1190" t="s">
        <v>125</v>
      </c>
      <c r="CJ1190" t="s">
        <v>125</v>
      </c>
      <c r="CK1190" t="s">
        <v>125</v>
      </c>
      <c r="CL1190" t="s">
        <v>125</v>
      </c>
      <c r="CM1190" t="s">
        <v>125</v>
      </c>
      <c r="CN1190" t="s">
        <v>125</v>
      </c>
      <c r="CO1190" t="s">
        <v>125</v>
      </c>
      <c r="CP1190" t="s">
        <v>125</v>
      </c>
      <c r="CQ1190">
        <v>0.44</v>
      </c>
      <c r="CR1190">
        <v>0.98039200000000004</v>
      </c>
      <c r="CS1190">
        <v>29.333333</v>
      </c>
      <c r="CT1190">
        <v>50</v>
      </c>
      <c r="CU1190" t="s">
        <v>125</v>
      </c>
      <c r="CV1190" t="s">
        <v>125</v>
      </c>
      <c r="CW1190" t="s">
        <v>125</v>
      </c>
      <c r="CX1190" t="s">
        <v>125</v>
      </c>
      <c r="CY1190" t="s">
        <v>125</v>
      </c>
      <c r="CZ1190" t="s">
        <v>125</v>
      </c>
      <c r="DA1190">
        <v>15.314097</v>
      </c>
      <c r="DB1190">
        <v>17.400950000000002</v>
      </c>
      <c r="DC1190">
        <v>16.332519999999999</v>
      </c>
      <c r="DD1190" t="s">
        <v>125</v>
      </c>
      <c r="DE1190">
        <v>0</v>
      </c>
      <c r="DH1190" t="s">
        <v>332</v>
      </c>
      <c r="DI1190" t="s">
        <v>529</v>
      </c>
      <c r="DJ1190">
        <v>0</v>
      </c>
      <c r="DK1190">
        <v>1</v>
      </c>
      <c r="DL1190">
        <v>0</v>
      </c>
      <c r="DM1190">
        <v>1</v>
      </c>
      <c r="DN1190">
        <v>0</v>
      </c>
      <c r="DO1190">
        <v>0</v>
      </c>
      <c r="DQ1190" t="s">
        <v>126</v>
      </c>
    </row>
    <row r="1191" spans="1:121" x14ac:dyDescent="0.15">
      <c r="A1191">
        <v>2018</v>
      </c>
      <c r="B1191" t="s">
        <v>325</v>
      </c>
      <c r="C1191" t="str">
        <f>"2970013"</f>
        <v>2970013</v>
      </c>
      <c r="D1191" t="s">
        <v>1338</v>
      </c>
      <c r="E1191" t="str">
        <f>"2970113"</f>
        <v>2970113</v>
      </c>
      <c r="F1191" t="s">
        <v>1316</v>
      </c>
      <c r="G1191" t="s">
        <v>339</v>
      </c>
      <c r="H1191">
        <v>12</v>
      </c>
      <c r="I1191" t="s">
        <v>336</v>
      </c>
      <c r="J1191" t="s">
        <v>331</v>
      </c>
      <c r="K1191">
        <v>761.48371399999996</v>
      </c>
      <c r="L1191">
        <v>1250</v>
      </c>
      <c r="M1191">
        <v>60.918697000000002</v>
      </c>
      <c r="N1191">
        <v>3</v>
      </c>
      <c r="O1191">
        <v>0</v>
      </c>
      <c r="P1191">
        <v>57.136149000000003</v>
      </c>
      <c r="Q1191">
        <v>38.090766000000002</v>
      </c>
      <c r="R1191">
        <v>50</v>
      </c>
      <c r="S1191">
        <v>56.295921</v>
      </c>
      <c r="T1191">
        <v>60.902687999999998</v>
      </c>
      <c r="U1191">
        <v>37.530614</v>
      </c>
      <c r="V1191">
        <v>50</v>
      </c>
      <c r="W1191">
        <v>51.671360999999997</v>
      </c>
      <c r="X1191">
        <v>34.447574000000003</v>
      </c>
      <c r="Y1191">
        <v>50</v>
      </c>
      <c r="Z1191">
        <v>54.993409999999997</v>
      </c>
      <c r="AA1191">
        <v>50.943064999999997</v>
      </c>
      <c r="AB1191">
        <v>33.962043000000001</v>
      </c>
      <c r="AC1191">
        <v>50</v>
      </c>
      <c r="AD1191">
        <v>53.19623</v>
      </c>
      <c r="AE1191">
        <v>35.464153000000003</v>
      </c>
      <c r="AF1191">
        <v>50</v>
      </c>
      <c r="AG1191">
        <v>51.997228999999997</v>
      </c>
      <c r="AH1191">
        <v>57.692484999999998</v>
      </c>
      <c r="AI1191">
        <v>34.664819000000001</v>
      </c>
      <c r="AJ1191">
        <v>50</v>
      </c>
      <c r="AK1191">
        <v>4.5999999999999996</v>
      </c>
      <c r="AL1191">
        <v>4.05</v>
      </c>
      <c r="AM1191">
        <v>5.69</v>
      </c>
      <c r="AN1191">
        <v>0.51252399999999998</v>
      </c>
      <c r="AO1191">
        <v>51.252378</v>
      </c>
      <c r="AP1191">
        <v>100</v>
      </c>
      <c r="AQ1191">
        <v>0.64471500000000004</v>
      </c>
      <c r="AR1191">
        <v>64.471486999999996</v>
      </c>
      <c r="AS1191">
        <v>100</v>
      </c>
      <c r="AT1191">
        <v>0.51894899999999999</v>
      </c>
      <c r="AU1191">
        <v>0.48286800000000002</v>
      </c>
      <c r="AV1191">
        <v>51.894928999999998</v>
      </c>
      <c r="AW1191">
        <v>100</v>
      </c>
      <c r="AX1191">
        <v>0.640733</v>
      </c>
      <c r="AY1191">
        <v>0.66357600000000005</v>
      </c>
      <c r="AZ1191">
        <v>64.073316000000005</v>
      </c>
      <c r="BA1191">
        <v>100</v>
      </c>
      <c r="BB1191" t="s">
        <v>125</v>
      </c>
      <c r="BC1191" t="s">
        <v>125</v>
      </c>
      <c r="BD1191" t="s">
        <v>125</v>
      </c>
      <c r="BE1191" t="s">
        <v>125</v>
      </c>
      <c r="BF1191" t="s">
        <v>125</v>
      </c>
      <c r="BG1191" t="s">
        <v>125</v>
      </c>
      <c r="BH1191">
        <v>0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1</v>
      </c>
      <c r="BO1191">
        <v>0.99280599999999997</v>
      </c>
      <c r="BP1191">
        <v>0.99056599999999995</v>
      </c>
      <c r="BQ1191">
        <v>1</v>
      </c>
      <c r="BR1191">
        <v>0.111481</v>
      </c>
      <c r="BS1191">
        <v>37.703826999999997</v>
      </c>
      <c r="BT1191">
        <v>50</v>
      </c>
      <c r="BU1191">
        <v>0.124736</v>
      </c>
      <c r="BV1191">
        <v>35.052854000000004</v>
      </c>
      <c r="BW1191">
        <v>50</v>
      </c>
      <c r="BX1191">
        <v>0.169014</v>
      </c>
      <c r="BY1191">
        <v>11.267606000000001</v>
      </c>
      <c r="BZ1191">
        <v>50</v>
      </c>
      <c r="CA1191">
        <v>0.140845</v>
      </c>
      <c r="CB1191">
        <v>9.3896709999999999</v>
      </c>
      <c r="CC1191">
        <v>50</v>
      </c>
      <c r="CD1191">
        <v>0.91176500000000005</v>
      </c>
      <c r="CE1191">
        <v>48.498123</v>
      </c>
      <c r="CF1191">
        <v>50</v>
      </c>
      <c r="CG1191">
        <v>0.5625</v>
      </c>
      <c r="CH1191">
        <v>59.840426000000001</v>
      </c>
      <c r="CI1191">
        <v>100</v>
      </c>
      <c r="CJ1191" t="s">
        <v>125</v>
      </c>
      <c r="CK1191" t="s">
        <v>125</v>
      </c>
      <c r="CL1191" t="s">
        <v>125</v>
      </c>
      <c r="CM1191" t="s">
        <v>125</v>
      </c>
      <c r="CN1191">
        <v>0.76</v>
      </c>
      <c r="CO1191">
        <v>100</v>
      </c>
      <c r="CP1191">
        <v>100</v>
      </c>
      <c r="CQ1191">
        <v>0.40112999999999999</v>
      </c>
      <c r="CR1191">
        <v>0.89393900000000004</v>
      </c>
      <c r="CS1191">
        <v>13.370998</v>
      </c>
      <c r="CT1191">
        <v>50</v>
      </c>
      <c r="CU1191">
        <v>6.0980000000000001E-3</v>
      </c>
      <c r="CV1191">
        <v>0.50812999999999997</v>
      </c>
      <c r="CW1191">
        <v>50</v>
      </c>
      <c r="CX1191" t="s">
        <v>125</v>
      </c>
      <c r="CY1191" t="s">
        <v>125</v>
      </c>
      <c r="CZ1191" t="s">
        <v>125</v>
      </c>
      <c r="DA1191">
        <v>15.314097</v>
      </c>
      <c r="DB1191">
        <v>17.400950000000002</v>
      </c>
      <c r="DC1191">
        <v>16.332519999999999</v>
      </c>
      <c r="DD1191" t="s">
        <v>125</v>
      </c>
      <c r="DE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Q1191" t="s">
        <v>126</v>
      </c>
    </row>
    <row r="1192" spans="1:121" x14ac:dyDescent="0.15">
      <c r="A1192">
        <v>2018</v>
      </c>
      <c r="B1192" t="s">
        <v>326</v>
      </c>
      <c r="C1192" t="str">
        <f t="shared" ref="C1192:C1202" si="55">"3360015"</f>
        <v>3360015</v>
      </c>
      <c r="D1192" t="s">
        <v>1339</v>
      </c>
      <c r="E1192" t="str">
        <f>"3360115"</f>
        <v>3360115</v>
      </c>
      <c r="F1192" t="s">
        <v>1340</v>
      </c>
      <c r="G1192">
        <v>9</v>
      </c>
      <c r="H1192">
        <v>12</v>
      </c>
      <c r="J1192" t="s">
        <v>331</v>
      </c>
      <c r="K1192">
        <v>0</v>
      </c>
      <c r="L1192">
        <v>0</v>
      </c>
      <c r="M1192">
        <v>0</v>
      </c>
      <c r="N1192" t="s">
        <v>125</v>
      </c>
      <c r="O1192" t="s">
        <v>125</v>
      </c>
      <c r="P1192" t="s">
        <v>125</v>
      </c>
      <c r="Q1192" t="s">
        <v>125</v>
      </c>
      <c r="R1192" t="s">
        <v>125</v>
      </c>
      <c r="S1192" t="s">
        <v>125</v>
      </c>
      <c r="T1192" t="s">
        <v>125</v>
      </c>
      <c r="U1192" t="s">
        <v>125</v>
      </c>
      <c r="V1192" t="s">
        <v>125</v>
      </c>
      <c r="W1192" t="s">
        <v>125</v>
      </c>
      <c r="X1192" t="s">
        <v>125</v>
      </c>
      <c r="Y1192" t="s">
        <v>125</v>
      </c>
      <c r="Z1192" t="s">
        <v>125</v>
      </c>
      <c r="AA1192" t="s">
        <v>125</v>
      </c>
      <c r="AB1192" t="s">
        <v>125</v>
      </c>
      <c r="AC1192" t="s">
        <v>125</v>
      </c>
      <c r="AD1192" t="s">
        <v>125</v>
      </c>
      <c r="AE1192" t="s">
        <v>125</v>
      </c>
      <c r="AF1192" t="s">
        <v>125</v>
      </c>
      <c r="AG1192" t="s">
        <v>125</v>
      </c>
      <c r="AH1192" t="s">
        <v>125</v>
      </c>
      <c r="AI1192" t="s">
        <v>125</v>
      </c>
      <c r="AJ1192" t="s">
        <v>125</v>
      </c>
      <c r="AK1192" t="s">
        <v>125</v>
      </c>
      <c r="AL1192" t="s">
        <v>125</v>
      </c>
      <c r="AM1192" t="s">
        <v>125</v>
      </c>
      <c r="AN1192" t="s">
        <v>125</v>
      </c>
      <c r="AO1192" t="s">
        <v>125</v>
      </c>
      <c r="AP1192" t="s">
        <v>125</v>
      </c>
      <c r="AQ1192" t="s">
        <v>125</v>
      </c>
      <c r="AR1192" t="s">
        <v>125</v>
      </c>
      <c r="AS1192" t="s">
        <v>125</v>
      </c>
      <c r="AT1192" t="s">
        <v>125</v>
      </c>
      <c r="AU1192" t="s">
        <v>125</v>
      </c>
      <c r="AV1192" t="s">
        <v>125</v>
      </c>
      <c r="AW1192" t="s">
        <v>125</v>
      </c>
      <c r="AX1192" t="s">
        <v>125</v>
      </c>
      <c r="AY1192" t="s">
        <v>125</v>
      </c>
      <c r="AZ1192" t="s">
        <v>125</v>
      </c>
      <c r="BA1192" t="s">
        <v>125</v>
      </c>
      <c r="BB1192" t="s">
        <v>125</v>
      </c>
      <c r="BC1192" t="s">
        <v>125</v>
      </c>
      <c r="BD1192" t="s">
        <v>125</v>
      </c>
      <c r="BE1192" t="s">
        <v>125</v>
      </c>
      <c r="BF1192" t="s">
        <v>125</v>
      </c>
      <c r="BG1192" t="s">
        <v>125</v>
      </c>
      <c r="BH1192" t="s">
        <v>125</v>
      </c>
      <c r="BI1192" t="s">
        <v>125</v>
      </c>
      <c r="BJ1192" t="s">
        <v>125</v>
      </c>
      <c r="BK1192" t="s">
        <v>125</v>
      </c>
      <c r="BL1192" t="s">
        <v>125</v>
      </c>
      <c r="BM1192" t="s">
        <v>125</v>
      </c>
      <c r="BN1192" t="s">
        <v>125</v>
      </c>
      <c r="BO1192" t="s">
        <v>125</v>
      </c>
      <c r="BP1192" t="s">
        <v>125</v>
      </c>
      <c r="BQ1192" t="s">
        <v>125</v>
      </c>
      <c r="BR1192" t="s">
        <v>125</v>
      </c>
      <c r="BS1192" t="s">
        <v>125</v>
      </c>
      <c r="BT1192" t="s">
        <v>125</v>
      </c>
      <c r="BU1192" t="s">
        <v>125</v>
      </c>
      <c r="BV1192" t="s">
        <v>125</v>
      </c>
      <c r="BW1192" t="s">
        <v>125</v>
      </c>
      <c r="BX1192" t="s">
        <v>125</v>
      </c>
      <c r="BY1192" t="s">
        <v>125</v>
      </c>
      <c r="BZ1192" t="s">
        <v>125</v>
      </c>
      <c r="CA1192" t="s">
        <v>125</v>
      </c>
      <c r="CB1192" t="s">
        <v>125</v>
      </c>
      <c r="CC1192" t="s">
        <v>125</v>
      </c>
      <c r="CD1192" t="s">
        <v>125</v>
      </c>
      <c r="CE1192" t="s">
        <v>125</v>
      </c>
      <c r="CF1192" t="s">
        <v>125</v>
      </c>
      <c r="CG1192" t="s">
        <v>125</v>
      </c>
      <c r="CH1192" t="s">
        <v>125</v>
      </c>
      <c r="CI1192" t="s">
        <v>125</v>
      </c>
      <c r="CJ1192" t="s">
        <v>125</v>
      </c>
      <c r="CK1192" t="s">
        <v>125</v>
      </c>
      <c r="CL1192" t="s">
        <v>125</v>
      </c>
      <c r="CM1192" t="s">
        <v>125</v>
      </c>
      <c r="CN1192" t="s">
        <v>125</v>
      </c>
      <c r="CO1192" t="s">
        <v>125</v>
      </c>
      <c r="CP1192" t="s">
        <v>125</v>
      </c>
      <c r="CQ1192" t="s">
        <v>125</v>
      </c>
      <c r="CR1192" t="s">
        <v>125</v>
      </c>
      <c r="CS1192" t="s">
        <v>125</v>
      </c>
      <c r="CT1192" t="s">
        <v>125</v>
      </c>
      <c r="CU1192" t="s">
        <v>125</v>
      </c>
      <c r="CV1192" t="s">
        <v>125</v>
      </c>
      <c r="CW1192" t="s">
        <v>125</v>
      </c>
      <c r="CX1192" t="s">
        <v>125</v>
      </c>
      <c r="CY1192" t="s">
        <v>125</v>
      </c>
      <c r="CZ1192" t="s">
        <v>125</v>
      </c>
      <c r="DA1192" t="s">
        <v>125</v>
      </c>
      <c r="DB1192" t="s">
        <v>125</v>
      </c>
      <c r="DC1192" t="s">
        <v>125</v>
      </c>
      <c r="DD1192" t="s">
        <v>125</v>
      </c>
      <c r="DE1192" t="s">
        <v>125</v>
      </c>
      <c r="DJ1192" t="s">
        <v>125</v>
      </c>
      <c r="DK1192" t="s">
        <v>125</v>
      </c>
      <c r="DL1192" t="s">
        <v>125</v>
      </c>
      <c r="DM1192" t="s">
        <v>125</v>
      </c>
      <c r="DN1192" t="s">
        <v>125</v>
      </c>
      <c r="DO1192" t="s">
        <v>125</v>
      </c>
      <c r="DQ1192" t="s">
        <v>126</v>
      </c>
    </row>
    <row r="1193" spans="1:121" x14ac:dyDescent="0.15">
      <c r="A1193">
        <v>2018</v>
      </c>
      <c r="B1193" t="s">
        <v>326</v>
      </c>
      <c r="C1193" t="str">
        <f t="shared" si="55"/>
        <v>3360015</v>
      </c>
      <c r="D1193" t="s">
        <v>1341</v>
      </c>
      <c r="E1193" t="str">
        <f>"3360315"</f>
        <v>3360315</v>
      </c>
      <c r="F1193" t="s">
        <v>1340</v>
      </c>
      <c r="G1193">
        <v>9</v>
      </c>
      <c r="H1193">
        <v>12</v>
      </c>
      <c r="J1193" t="s">
        <v>331</v>
      </c>
      <c r="K1193">
        <v>0</v>
      </c>
      <c r="L1193">
        <v>0</v>
      </c>
      <c r="M1193">
        <v>0</v>
      </c>
      <c r="N1193" t="s">
        <v>125</v>
      </c>
      <c r="O1193" t="s">
        <v>125</v>
      </c>
      <c r="P1193" t="s">
        <v>125</v>
      </c>
      <c r="Q1193" t="s">
        <v>125</v>
      </c>
      <c r="R1193" t="s">
        <v>125</v>
      </c>
      <c r="S1193" t="s">
        <v>125</v>
      </c>
      <c r="T1193" t="s">
        <v>125</v>
      </c>
      <c r="U1193" t="s">
        <v>125</v>
      </c>
      <c r="V1193" t="s">
        <v>125</v>
      </c>
      <c r="W1193" t="s">
        <v>125</v>
      </c>
      <c r="X1193" t="s">
        <v>125</v>
      </c>
      <c r="Y1193" t="s">
        <v>125</v>
      </c>
      <c r="Z1193" t="s">
        <v>125</v>
      </c>
      <c r="AA1193" t="s">
        <v>125</v>
      </c>
      <c r="AB1193" t="s">
        <v>125</v>
      </c>
      <c r="AC1193" t="s">
        <v>125</v>
      </c>
      <c r="AD1193" t="s">
        <v>125</v>
      </c>
      <c r="AE1193" t="s">
        <v>125</v>
      </c>
      <c r="AF1193" t="s">
        <v>125</v>
      </c>
      <c r="AG1193" t="s">
        <v>125</v>
      </c>
      <c r="AH1193" t="s">
        <v>125</v>
      </c>
      <c r="AI1193" t="s">
        <v>125</v>
      </c>
      <c r="AJ1193" t="s">
        <v>125</v>
      </c>
      <c r="AK1193" t="s">
        <v>125</v>
      </c>
      <c r="AL1193" t="s">
        <v>125</v>
      </c>
      <c r="AM1193" t="s">
        <v>125</v>
      </c>
      <c r="AN1193" t="s">
        <v>125</v>
      </c>
      <c r="AO1193" t="s">
        <v>125</v>
      </c>
      <c r="AP1193" t="s">
        <v>125</v>
      </c>
      <c r="AQ1193" t="s">
        <v>125</v>
      </c>
      <c r="AR1193" t="s">
        <v>125</v>
      </c>
      <c r="AS1193" t="s">
        <v>125</v>
      </c>
      <c r="AT1193" t="s">
        <v>125</v>
      </c>
      <c r="AU1193" t="s">
        <v>125</v>
      </c>
      <c r="AV1193" t="s">
        <v>125</v>
      </c>
      <c r="AW1193" t="s">
        <v>125</v>
      </c>
      <c r="AX1193" t="s">
        <v>125</v>
      </c>
      <c r="AY1193" t="s">
        <v>125</v>
      </c>
      <c r="AZ1193" t="s">
        <v>125</v>
      </c>
      <c r="BA1193" t="s">
        <v>125</v>
      </c>
      <c r="BB1193" t="s">
        <v>125</v>
      </c>
      <c r="BC1193" t="s">
        <v>125</v>
      </c>
      <c r="BD1193" t="s">
        <v>125</v>
      </c>
      <c r="BE1193" t="s">
        <v>125</v>
      </c>
      <c r="BF1193" t="s">
        <v>125</v>
      </c>
      <c r="BG1193" t="s">
        <v>125</v>
      </c>
      <c r="BH1193" t="s">
        <v>125</v>
      </c>
      <c r="BI1193" t="s">
        <v>125</v>
      </c>
      <c r="BJ1193" t="s">
        <v>125</v>
      </c>
      <c r="BK1193" t="s">
        <v>125</v>
      </c>
      <c r="BL1193" t="s">
        <v>125</v>
      </c>
      <c r="BM1193" t="s">
        <v>125</v>
      </c>
      <c r="BN1193" t="s">
        <v>125</v>
      </c>
      <c r="BO1193" t="s">
        <v>125</v>
      </c>
      <c r="BP1193" t="s">
        <v>125</v>
      </c>
      <c r="BQ1193" t="s">
        <v>125</v>
      </c>
      <c r="BR1193" t="s">
        <v>125</v>
      </c>
      <c r="BS1193" t="s">
        <v>125</v>
      </c>
      <c r="BT1193" t="s">
        <v>125</v>
      </c>
      <c r="BU1193" t="s">
        <v>125</v>
      </c>
      <c r="BV1193" t="s">
        <v>125</v>
      </c>
      <c r="BW1193" t="s">
        <v>125</v>
      </c>
      <c r="BX1193" t="s">
        <v>125</v>
      </c>
      <c r="BY1193" t="s">
        <v>125</v>
      </c>
      <c r="BZ1193" t="s">
        <v>125</v>
      </c>
      <c r="CA1193" t="s">
        <v>125</v>
      </c>
      <c r="CB1193" t="s">
        <v>125</v>
      </c>
      <c r="CC1193" t="s">
        <v>125</v>
      </c>
      <c r="CD1193" t="s">
        <v>125</v>
      </c>
      <c r="CE1193" t="s">
        <v>125</v>
      </c>
      <c r="CF1193" t="s">
        <v>125</v>
      </c>
      <c r="CG1193" t="s">
        <v>125</v>
      </c>
      <c r="CH1193" t="s">
        <v>125</v>
      </c>
      <c r="CI1193" t="s">
        <v>125</v>
      </c>
      <c r="CJ1193" t="s">
        <v>125</v>
      </c>
      <c r="CK1193" t="s">
        <v>125</v>
      </c>
      <c r="CL1193" t="s">
        <v>125</v>
      </c>
      <c r="CM1193" t="s">
        <v>125</v>
      </c>
      <c r="CN1193" t="s">
        <v>125</v>
      </c>
      <c r="CO1193" t="s">
        <v>125</v>
      </c>
      <c r="CP1193" t="s">
        <v>125</v>
      </c>
      <c r="CQ1193" t="s">
        <v>125</v>
      </c>
      <c r="CR1193" t="s">
        <v>125</v>
      </c>
      <c r="CS1193" t="s">
        <v>125</v>
      </c>
      <c r="CT1193" t="s">
        <v>125</v>
      </c>
      <c r="CU1193" t="s">
        <v>125</v>
      </c>
      <c r="CV1193" t="s">
        <v>125</v>
      </c>
      <c r="CW1193" t="s">
        <v>125</v>
      </c>
      <c r="CX1193" t="s">
        <v>125</v>
      </c>
      <c r="CY1193" t="s">
        <v>125</v>
      </c>
      <c r="CZ1193" t="s">
        <v>125</v>
      </c>
      <c r="DA1193" t="s">
        <v>125</v>
      </c>
      <c r="DB1193" t="s">
        <v>125</v>
      </c>
      <c r="DC1193" t="s">
        <v>125</v>
      </c>
      <c r="DD1193" t="s">
        <v>125</v>
      </c>
      <c r="DE1193" t="s">
        <v>125</v>
      </c>
      <c r="DJ1193" t="s">
        <v>125</v>
      </c>
      <c r="DK1193" t="s">
        <v>125</v>
      </c>
      <c r="DL1193" t="s">
        <v>125</v>
      </c>
      <c r="DM1193" t="s">
        <v>125</v>
      </c>
      <c r="DN1193" t="s">
        <v>125</v>
      </c>
      <c r="DO1193" t="s">
        <v>125</v>
      </c>
      <c r="DQ1193" t="s">
        <v>126</v>
      </c>
    </row>
    <row r="1194" spans="1:121" x14ac:dyDescent="0.15">
      <c r="A1194">
        <v>2018</v>
      </c>
      <c r="B1194" t="s">
        <v>326</v>
      </c>
      <c r="C1194" t="str">
        <f t="shared" si="55"/>
        <v>3360015</v>
      </c>
      <c r="D1194" t="s">
        <v>1342</v>
      </c>
      <c r="E1194" t="str">
        <f>"3362415"</f>
        <v>3362415</v>
      </c>
      <c r="F1194" t="s">
        <v>1340</v>
      </c>
      <c r="G1194">
        <v>9</v>
      </c>
      <c r="H1194">
        <v>12</v>
      </c>
      <c r="J1194" t="s">
        <v>331</v>
      </c>
      <c r="K1194">
        <v>0</v>
      </c>
      <c r="L1194">
        <v>0</v>
      </c>
      <c r="M1194">
        <v>0</v>
      </c>
      <c r="N1194" t="s">
        <v>125</v>
      </c>
      <c r="O1194" t="s">
        <v>125</v>
      </c>
      <c r="P1194" t="s">
        <v>125</v>
      </c>
      <c r="Q1194" t="s">
        <v>125</v>
      </c>
      <c r="R1194" t="s">
        <v>125</v>
      </c>
      <c r="S1194" t="s">
        <v>125</v>
      </c>
      <c r="T1194" t="s">
        <v>125</v>
      </c>
      <c r="U1194" t="s">
        <v>125</v>
      </c>
      <c r="V1194" t="s">
        <v>125</v>
      </c>
      <c r="W1194" t="s">
        <v>125</v>
      </c>
      <c r="X1194" t="s">
        <v>125</v>
      </c>
      <c r="Y1194" t="s">
        <v>125</v>
      </c>
      <c r="Z1194" t="s">
        <v>125</v>
      </c>
      <c r="AA1194" t="s">
        <v>125</v>
      </c>
      <c r="AB1194" t="s">
        <v>125</v>
      </c>
      <c r="AC1194" t="s">
        <v>125</v>
      </c>
      <c r="AD1194" t="s">
        <v>125</v>
      </c>
      <c r="AE1194" t="s">
        <v>125</v>
      </c>
      <c r="AF1194" t="s">
        <v>125</v>
      </c>
      <c r="AG1194" t="s">
        <v>125</v>
      </c>
      <c r="AH1194" t="s">
        <v>125</v>
      </c>
      <c r="AI1194" t="s">
        <v>125</v>
      </c>
      <c r="AJ1194" t="s">
        <v>125</v>
      </c>
      <c r="AK1194" t="s">
        <v>125</v>
      </c>
      <c r="AL1194" t="s">
        <v>125</v>
      </c>
      <c r="AM1194" t="s">
        <v>125</v>
      </c>
      <c r="AN1194" t="s">
        <v>125</v>
      </c>
      <c r="AO1194" t="s">
        <v>125</v>
      </c>
      <c r="AP1194" t="s">
        <v>125</v>
      </c>
      <c r="AQ1194" t="s">
        <v>125</v>
      </c>
      <c r="AR1194" t="s">
        <v>125</v>
      </c>
      <c r="AS1194" t="s">
        <v>125</v>
      </c>
      <c r="AT1194" t="s">
        <v>125</v>
      </c>
      <c r="AU1194" t="s">
        <v>125</v>
      </c>
      <c r="AV1194" t="s">
        <v>125</v>
      </c>
      <c r="AW1194" t="s">
        <v>125</v>
      </c>
      <c r="AX1194" t="s">
        <v>125</v>
      </c>
      <c r="AY1194" t="s">
        <v>125</v>
      </c>
      <c r="AZ1194" t="s">
        <v>125</v>
      </c>
      <c r="BA1194" t="s">
        <v>125</v>
      </c>
      <c r="BB1194" t="s">
        <v>125</v>
      </c>
      <c r="BC1194" t="s">
        <v>125</v>
      </c>
      <c r="BD1194" t="s">
        <v>125</v>
      </c>
      <c r="BE1194" t="s">
        <v>125</v>
      </c>
      <c r="BF1194" t="s">
        <v>125</v>
      </c>
      <c r="BG1194" t="s">
        <v>125</v>
      </c>
      <c r="BH1194" t="s">
        <v>125</v>
      </c>
      <c r="BI1194" t="s">
        <v>125</v>
      </c>
      <c r="BJ1194" t="s">
        <v>125</v>
      </c>
      <c r="BK1194" t="s">
        <v>125</v>
      </c>
      <c r="BL1194" t="s">
        <v>125</v>
      </c>
      <c r="BM1194" t="s">
        <v>125</v>
      </c>
      <c r="BN1194" t="s">
        <v>125</v>
      </c>
      <c r="BO1194" t="s">
        <v>125</v>
      </c>
      <c r="BP1194" t="s">
        <v>125</v>
      </c>
      <c r="BQ1194" t="s">
        <v>125</v>
      </c>
      <c r="BR1194" t="s">
        <v>125</v>
      </c>
      <c r="BS1194" t="s">
        <v>125</v>
      </c>
      <c r="BT1194" t="s">
        <v>125</v>
      </c>
      <c r="BU1194" t="s">
        <v>125</v>
      </c>
      <c r="BV1194" t="s">
        <v>125</v>
      </c>
      <c r="BW1194" t="s">
        <v>125</v>
      </c>
      <c r="BX1194" t="s">
        <v>125</v>
      </c>
      <c r="BY1194" t="s">
        <v>125</v>
      </c>
      <c r="BZ1194" t="s">
        <v>125</v>
      </c>
      <c r="CA1194" t="s">
        <v>125</v>
      </c>
      <c r="CB1194" t="s">
        <v>125</v>
      </c>
      <c r="CC1194" t="s">
        <v>125</v>
      </c>
      <c r="CD1194" t="s">
        <v>125</v>
      </c>
      <c r="CE1194" t="s">
        <v>125</v>
      </c>
      <c r="CF1194" t="s">
        <v>125</v>
      </c>
      <c r="CG1194" t="s">
        <v>125</v>
      </c>
      <c r="CH1194" t="s">
        <v>125</v>
      </c>
      <c r="CI1194" t="s">
        <v>125</v>
      </c>
      <c r="CJ1194" t="s">
        <v>125</v>
      </c>
      <c r="CK1194" t="s">
        <v>125</v>
      </c>
      <c r="CL1194" t="s">
        <v>125</v>
      </c>
      <c r="CM1194" t="s">
        <v>125</v>
      </c>
      <c r="CN1194" t="s">
        <v>125</v>
      </c>
      <c r="CO1194" t="s">
        <v>125</v>
      </c>
      <c r="CP1194" t="s">
        <v>125</v>
      </c>
      <c r="CQ1194" t="s">
        <v>125</v>
      </c>
      <c r="CR1194" t="s">
        <v>125</v>
      </c>
      <c r="CS1194" t="s">
        <v>125</v>
      </c>
      <c r="CT1194" t="s">
        <v>125</v>
      </c>
      <c r="CU1194" t="s">
        <v>125</v>
      </c>
      <c r="CV1194" t="s">
        <v>125</v>
      </c>
      <c r="CW1194" t="s">
        <v>125</v>
      </c>
      <c r="CX1194" t="s">
        <v>125</v>
      </c>
      <c r="CY1194" t="s">
        <v>125</v>
      </c>
      <c r="CZ1194" t="s">
        <v>125</v>
      </c>
      <c r="DA1194" t="s">
        <v>125</v>
      </c>
      <c r="DB1194" t="s">
        <v>125</v>
      </c>
      <c r="DC1194" t="s">
        <v>125</v>
      </c>
      <c r="DD1194" t="s">
        <v>125</v>
      </c>
      <c r="DE1194" t="s">
        <v>125</v>
      </c>
      <c r="DJ1194" t="s">
        <v>125</v>
      </c>
      <c r="DK1194" t="s">
        <v>125</v>
      </c>
      <c r="DL1194" t="s">
        <v>125</v>
      </c>
      <c r="DM1194" t="s">
        <v>125</v>
      </c>
      <c r="DN1194" t="s">
        <v>125</v>
      </c>
      <c r="DO1194" t="s">
        <v>125</v>
      </c>
      <c r="DQ1194" t="s">
        <v>126</v>
      </c>
    </row>
    <row r="1195" spans="1:121" x14ac:dyDescent="0.15">
      <c r="A1195">
        <v>2018</v>
      </c>
      <c r="B1195" t="s">
        <v>326</v>
      </c>
      <c r="C1195" t="str">
        <f t="shared" si="55"/>
        <v>3360015</v>
      </c>
      <c r="D1195" t="s">
        <v>1343</v>
      </c>
      <c r="E1195" t="str">
        <f>"3361915"</f>
        <v>3361915</v>
      </c>
      <c r="F1195" t="s">
        <v>1340</v>
      </c>
      <c r="G1195">
        <v>9</v>
      </c>
      <c r="H1195">
        <v>12</v>
      </c>
      <c r="J1195" t="s">
        <v>331</v>
      </c>
      <c r="K1195">
        <v>0</v>
      </c>
      <c r="L1195">
        <v>0</v>
      </c>
      <c r="M1195">
        <v>0</v>
      </c>
      <c r="N1195" t="s">
        <v>125</v>
      </c>
      <c r="O1195" t="s">
        <v>125</v>
      </c>
      <c r="P1195" t="s">
        <v>125</v>
      </c>
      <c r="Q1195" t="s">
        <v>125</v>
      </c>
      <c r="R1195" t="s">
        <v>125</v>
      </c>
      <c r="S1195" t="s">
        <v>125</v>
      </c>
      <c r="T1195" t="s">
        <v>125</v>
      </c>
      <c r="U1195" t="s">
        <v>125</v>
      </c>
      <c r="V1195" t="s">
        <v>125</v>
      </c>
      <c r="W1195" t="s">
        <v>125</v>
      </c>
      <c r="X1195" t="s">
        <v>125</v>
      </c>
      <c r="Y1195" t="s">
        <v>125</v>
      </c>
      <c r="Z1195" t="s">
        <v>125</v>
      </c>
      <c r="AA1195" t="s">
        <v>125</v>
      </c>
      <c r="AB1195" t="s">
        <v>125</v>
      </c>
      <c r="AC1195" t="s">
        <v>125</v>
      </c>
      <c r="AD1195" t="s">
        <v>125</v>
      </c>
      <c r="AE1195" t="s">
        <v>125</v>
      </c>
      <c r="AF1195" t="s">
        <v>125</v>
      </c>
      <c r="AG1195" t="s">
        <v>125</v>
      </c>
      <c r="AH1195" t="s">
        <v>125</v>
      </c>
      <c r="AI1195" t="s">
        <v>125</v>
      </c>
      <c r="AJ1195" t="s">
        <v>125</v>
      </c>
      <c r="AK1195" t="s">
        <v>125</v>
      </c>
      <c r="AL1195" t="s">
        <v>125</v>
      </c>
      <c r="AM1195" t="s">
        <v>125</v>
      </c>
      <c r="AN1195" t="s">
        <v>125</v>
      </c>
      <c r="AO1195" t="s">
        <v>125</v>
      </c>
      <c r="AP1195" t="s">
        <v>125</v>
      </c>
      <c r="AQ1195" t="s">
        <v>125</v>
      </c>
      <c r="AR1195" t="s">
        <v>125</v>
      </c>
      <c r="AS1195" t="s">
        <v>125</v>
      </c>
      <c r="AT1195" t="s">
        <v>125</v>
      </c>
      <c r="AU1195" t="s">
        <v>125</v>
      </c>
      <c r="AV1195" t="s">
        <v>125</v>
      </c>
      <c r="AW1195" t="s">
        <v>125</v>
      </c>
      <c r="AX1195" t="s">
        <v>125</v>
      </c>
      <c r="AY1195" t="s">
        <v>125</v>
      </c>
      <c r="AZ1195" t="s">
        <v>125</v>
      </c>
      <c r="BA1195" t="s">
        <v>125</v>
      </c>
      <c r="BB1195" t="s">
        <v>125</v>
      </c>
      <c r="BC1195" t="s">
        <v>125</v>
      </c>
      <c r="BD1195" t="s">
        <v>125</v>
      </c>
      <c r="BE1195" t="s">
        <v>125</v>
      </c>
      <c r="BF1195" t="s">
        <v>125</v>
      </c>
      <c r="BG1195" t="s">
        <v>125</v>
      </c>
      <c r="BH1195" t="s">
        <v>125</v>
      </c>
      <c r="BI1195" t="s">
        <v>125</v>
      </c>
      <c r="BJ1195" t="s">
        <v>125</v>
      </c>
      <c r="BK1195" t="s">
        <v>125</v>
      </c>
      <c r="BL1195" t="s">
        <v>125</v>
      </c>
      <c r="BM1195" t="s">
        <v>125</v>
      </c>
      <c r="BN1195" t="s">
        <v>125</v>
      </c>
      <c r="BO1195" t="s">
        <v>125</v>
      </c>
      <c r="BP1195" t="s">
        <v>125</v>
      </c>
      <c r="BQ1195" t="s">
        <v>125</v>
      </c>
      <c r="BR1195" t="s">
        <v>125</v>
      </c>
      <c r="BS1195" t="s">
        <v>125</v>
      </c>
      <c r="BT1195" t="s">
        <v>125</v>
      </c>
      <c r="BU1195" t="s">
        <v>125</v>
      </c>
      <c r="BV1195" t="s">
        <v>125</v>
      </c>
      <c r="BW1195" t="s">
        <v>125</v>
      </c>
      <c r="BX1195" t="s">
        <v>125</v>
      </c>
      <c r="BY1195" t="s">
        <v>125</v>
      </c>
      <c r="BZ1195" t="s">
        <v>125</v>
      </c>
      <c r="CA1195" t="s">
        <v>125</v>
      </c>
      <c r="CB1195" t="s">
        <v>125</v>
      </c>
      <c r="CC1195" t="s">
        <v>125</v>
      </c>
      <c r="CD1195" t="s">
        <v>125</v>
      </c>
      <c r="CE1195" t="s">
        <v>125</v>
      </c>
      <c r="CF1195" t="s">
        <v>125</v>
      </c>
      <c r="CG1195" t="s">
        <v>125</v>
      </c>
      <c r="CH1195" t="s">
        <v>125</v>
      </c>
      <c r="CI1195" t="s">
        <v>125</v>
      </c>
      <c r="CJ1195" t="s">
        <v>125</v>
      </c>
      <c r="CK1195" t="s">
        <v>125</v>
      </c>
      <c r="CL1195" t="s">
        <v>125</v>
      </c>
      <c r="CM1195" t="s">
        <v>125</v>
      </c>
      <c r="CN1195" t="s">
        <v>125</v>
      </c>
      <c r="CO1195" t="s">
        <v>125</v>
      </c>
      <c r="CP1195" t="s">
        <v>125</v>
      </c>
      <c r="CQ1195" t="s">
        <v>125</v>
      </c>
      <c r="CR1195" t="s">
        <v>125</v>
      </c>
      <c r="CS1195" t="s">
        <v>125</v>
      </c>
      <c r="CT1195" t="s">
        <v>125</v>
      </c>
      <c r="CU1195" t="s">
        <v>125</v>
      </c>
      <c r="CV1195" t="s">
        <v>125</v>
      </c>
      <c r="CW1195" t="s">
        <v>125</v>
      </c>
      <c r="CX1195" t="s">
        <v>125</v>
      </c>
      <c r="CY1195" t="s">
        <v>125</v>
      </c>
      <c r="CZ1195" t="s">
        <v>125</v>
      </c>
      <c r="DA1195" t="s">
        <v>125</v>
      </c>
      <c r="DB1195" t="s">
        <v>125</v>
      </c>
      <c r="DC1195" t="s">
        <v>125</v>
      </c>
      <c r="DD1195" t="s">
        <v>125</v>
      </c>
      <c r="DE1195" t="s">
        <v>125</v>
      </c>
      <c r="DJ1195" t="s">
        <v>125</v>
      </c>
      <c r="DK1195" t="s">
        <v>125</v>
      </c>
      <c r="DL1195" t="s">
        <v>125</v>
      </c>
      <c r="DM1195" t="s">
        <v>125</v>
      </c>
      <c r="DN1195" t="s">
        <v>125</v>
      </c>
      <c r="DO1195" t="s">
        <v>125</v>
      </c>
      <c r="DQ1195" t="s">
        <v>126</v>
      </c>
    </row>
    <row r="1196" spans="1:121" x14ac:dyDescent="0.15">
      <c r="A1196">
        <v>2018</v>
      </c>
      <c r="B1196" t="s">
        <v>326</v>
      </c>
      <c r="C1196" t="str">
        <f t="shared" si="55"/>
        <v>3360015</v>
      </c>
      <c r="D1196" t="s">
        <v>1344</v>
      </c>
      <c r="E1196" t="str">
        <f>"3362215"</f>
        <v>3362215</v>
      </c>
      <c r="F1196" t="s">
        <v>1340</v>
      </c>
      <c r="G1196">
        <v>7</v>
      </c>
      <c r="H1196">
        <v>12</v>
      </c>
      <c r="J1196" t="s">
        <v>331</v>
      </c>
      <c r="K1196">
        <v>0</v>
      </c>
      <c r="L1196">
        <v>0</v>
      </c>
      <c r="M1196">
        <v>0</v>
      </c>
      <c r="N1196" t="s">
        <v>125</v>
      </c>
      <c r="O1196" t="s">
        <v>125</v>
      </c>
      <c r="P1196" t="s">
        <v>125</v>
      </c>
      <c r="Q1196" t="s">
        <v>125</v>
      </c>
      <c r="R1196" t="s">
        <v>125</v>
      </c>
      <c r="S1196" t="s">
        <v>125</v>
      </c>
      <c r="T1196" t="s">
        <v>125</v>
      </c>
      <c r="U1196" t="s">
        <v>125</v>
      </c>
      <c r="V1196" t="s">
        <v>125</v>
      </c>
      <c r="W1196" t="s">
        <v>125</v>
      </c>
      <c r="X1196" t="s">
        <v>125</v>
      </c>
      <c r="Y1196" t="s">
        <v>125</v>
      </c>
      <c r="Z1196" t="s">
        <v>125</v>
      </c>
      <c r="AA1196" t="s">
        <v>125</v>
      </c>
      <c r="AB1196" t="s">
        <v>125</v>
      </c>
      <c r="AC1196" t="s">
        <v>125</v>
      </c>
      <c r="AD1196" t="s">
        <v>125</v>
      </c>
      <c r="AE1196" t="s">
        <v>125</v>
      </c>
      <c r="AF1196" t="s">
        <v>125</v>
      </c>
      <c r="AG1196" t="s">
        <v>125</v>
      </c>
      <c r="AH1196" t="s">
        <v>125</v>
      </c>
      <c r="AI1196" t="s">
        <v>125</v>
      </c>
      <c r="AJ1196" t="s">
        <v>125</v>
      </c>
      <c r="AK1196" t="s">
        <v>125</v>
      </c>
      <c r="AL1196" t="s">
        <v>125</v>
      </c>
      <c r="AM1196" t="s">
        <v>125</v>
      </c>
      <c r="AN1196" t="s">
        <v>125</v>
      </c>
      <c r="AO1196" t="s">
        <v>125</v>
      </c>
      <c r="AP1196" t="s">
        <v>125</v>
      </c>
      <c r="AQ1196" t="s">
        <v>125</v>
      </c>
      <c r="AR1196" t="s">
        <v>125</v>
      </c>
      <c r="AS1196" t="s">
        <v>125</v>
      </c>
      <c r="AT1196" t="s">
        <v>125</v>
      </c>
      <c r="AU1196" t="s">
        <v>125</v>
      </c>
      <c r="AV1196" t="s">
        <v>125</v>
      </c>
      <c r="AW1196" t="s">
        <v>125</v>
      </c>
      <c r="AX1196" t="s">
        <v>125</v>
      </c>
      <c r="AY1196" t="s">
        <v>125</v>
      </c>
      <c r="AZ1196" t="s">
        <v>125</v>
      </c>
      <c r="BA1196" t="s">
        <v>125</v>
      </c>
      <c r="BB1196" t="s">
        <v>125</v>
      </c>
      <c r="BC1196" t="s">
        <v>125</v>
      </c>
      <c r="BD1196" t="s">
        <v>125</v>
      </c>
      <c r="BE1196" t="s">
        <v>125</v>
      </c>
      <c r="BF1196" t="s">
        <v>125</v>
      </c>
      <c r="BG1196" t="s">
        <v>125</v>
      </c>
      <c r="BH1196" t="s">
        <v>125</v>
      </c>
      <c r="BI1196" t="s">
        <v>125</v>
      </c>
      <c r="BJ1196" t="s">
        <v>125</v>
      </c>
      <c r="BK1196" t="s">
        <v>125</v>
      </c>
      <c r="BL1196" t="s">
        <v>125</v>
      </c>
      <c r="BM1196" t="s">
        <v>125</v>
      </c>
      <c r="BN1196" t="s">
        <v>125</v>
      </c>
      <c r="BO1196" t="s">
        <v>125</v>
      </c>
      <c r="BP1196" t="s">
        <v>125</v>
      </c>
      <c r="BQ1196" t="s">
        <v>125</v>
      </c>
      <c r="BR1196" t="s">
        <v>125</v>
      </c>
      <c r="BS1196" t="s">
        <v>125</v>
      </c>
      <c r="BT1196" t="s">
        <v>125</v>
      </c>
      <c r="BU1196" t="s">
        <v>125</v>
      </c>
      <c r="BV1196" t="s">
        <v>125</v>
      </c>
      <c r="BW1196" t="s">
        <v>125</v>
      </c>
      <c r="BX1196" t="s">
        <v>125</v>
      </c>
      <c r="BY1196" t="s">
        <v>125</v>
      </c>
      <c r="BZ1196" t="s">
        <v>125</v>
      </c>
      <c r="CA1196" t="s">
        <v>125</v>
      </c>
      <c r="CB1196" t="s">
        <v>125</v>
      </c>
      <c r="CC1196" t="s">
        <v>125</v>
      </c>
      <c r="CD1196" t="s">
        <v>125</v>
      </c>
      <c r="CE1196" t="s">
        <v>125</v>
      </c>
      <c r="CF1196" t="s">
        <v>125</v>
      </c>
      <c r="CG1196" t="s">
        <v>125</v>
      </c>
      <c r="CH1196" t="s">
        <v>125</v>
      </c>
      <c r="CI1196" t="s">
        <v>125</v>
      </c>
      <c r="CJ1196" t="s">
        <v>125</v>
      </c>
      <c r="CK1196" t="s">
        <v>125</v>
      </c>
      <c r="CL1196" t="s">
        <v>125</v>
      </c>
      <c r="CM1196" t="s">
        <v>125</v>
      </c>
      <c r="CN1196" t="s">
        <v>125</v>
      </c>
      <c r="CO1196" t="s">
        <v>125</v>
      </c>
      <c r="CP1196" t="s">
        <v>125</v>
      </c>
      <c r="CQ1196" t="s">
        <v>125</v>
      </c>
      <c r="CR1196" t="s">
        <v>125</v>
      </c>
      <c r="CS1196" t="s">
        <v>125</v>
      </c>
      <c r="CT1196" t="s">
        <v>125</v>
      </c>
      <c r="CU1196" t="s">
        <v>125</v>
      </c>
      <c r="CV1196" t="s">
        <v>125</v>
      </c>
      <c r="CW1196" t="s">
        <v>125</v>
      </c>
      <c r="CX1196" t="s">
        <v>125</v>
      </c>
      <c r="CY1196" t="s">
        <v>125</v>
      </c>
      <c r="CZ1196" t="s">
        <v>125</v>
      </c>
      <c r="DA1196" t="s">
        <v>125</v>
      </c>
      <c r="DB1196" t="s">
        <v>125</v>
      </c>
      <c r="DC1196" t="s">
        <v>125</v>
      </c>
      <c r="DD1196" t="s">
        <v>125</v>
      </c>
      <c r="DE1196" t="s">
        <v>125</v>
      </c>
      <c r="DJ1196" t="s">
        <v>125</v>
      </c>
      <c r="DK1196" t="s">
        <v>125</v>
      </c>
      <c r="DL1196" t="s">
        <v>125</v>
      </c>
      <c r="DM1196" t="s">
        <v>125</v>
      </c>
      <c r="DN1196" t="s">
        <v>125</v>
      </c>
      <c r="DO1196" t="s">
        <v>125</v>
      </c>
      <c r="DQ1196" t="s">
        <v>126</v>
      </c>
    </row>
    <row r="1197" spans="1:121" x14ac:dyDescent="0.15">
      <c r="A1197">
        <v>2018</v>
      </c>
      <c r="B1197" t="s">
        <v>326</v>
      </c>
      <c r="C1197" t="str">
        <f t="shared" si="55"/>
        <v>3360015</v>
      </c>
      <c r="D1197" t="s">
        <v>1345</v>
      </c>
      <c r="E1197" t="str">
        <f>"3361115"</f>
        <v>3361115</v>
      </c>
      <c r="F1197" t="s">
        <v>1340</v>
      </c>
      <c r="G1197">
        <v>7</v>
      </c>
      <c r="H1197">
        <v>12</v>
      </c>
      <c r="J1197" t="s">
        <v>331</v>
      </c>
      <c r="K1197">
        <v>100.967118</v>
      </c>
      <c r="L1197">
        <v>250</v>
      </c>
      <c r="M1197">
        <v>40.386847000000003</v>
      </c>
      <c r="N1197" t="s">
        <v>125</v>
      </c>
      <c r="O1197" t="s">
        <v>125</v>
      </c>
      <c r="P1197" t="s">
        <v>125</v>
      </c>
      <c r="Q1197" t="s">
        <v>125</v>
      </c>
      <c r="R1197" t="s">
        <v>125</v>
      </c>
      <c r="S1197" t="s">
        <v>125</v>
      </c>
      <c r="T1197" t="s">
        <v>125</v>
      </c>
      <c r="U1197" t="s">
        <v>125</v>
      </c>
      <c r="V1197" t="s">
        <v>125</v>
      </c>
      <c r="W1197" t="s">
        <v>125</v>
      </c>
      <c r="X1197" t="s">
        <v>125</v>
      </c>
      <c r="Y1197" t="s">
        <v>125</v>
      </c>
      <c r="Z1197" t="s">
        <v>125</v>
      </c>
      <c r="AA1197" t="s">
        <v>125</v>
      </c>
      <c r="AB1197" t="s">
        <v>125</v>
      </c>
      <c r="AC1197" t="s">
        <v>125</v>
      </c>
      <c r="AD1197" t="s">
        <v>125</v>
      </c>
      <c r="AE1197" t="s">
        <v>125</v>
      </c>
      <c r="AF1197" t="s">
        <v>125</v>
      </c>
      <c r="AG1197" t="s">
        <v>125</v>
      </c>
      <c r="AH1197" t="s">
        <v>125</v>
      </c>
      <c r="AI1197" t="s">
        <v>125</v>
      </c>
      <c r="AJ1197" t="s">
        <v>125</v>
      </c>
      <c r="AK1197" t="s">
        <v>125</v>
      </c>
      <c r="AL1197" t="s">
        <v>125</v>
      </c>
      <c r="AM1197" t="s">
        <v>125</v>
      </c>
      <c r="AN1197" t="s">
        <v>125</v>
      </c>
      <c r="AO1197" t="s">
        <v>125</v>
      </c>
      <c r="AP1197" t="s">
        <v>125</v>
      </c>
      <c r="AQ1197" t="s">
        <v>125</v>
      </c>
      <c r="AR1197" t="s">
        <v>125</v>
      </c>
      <c r="AS1197" t="s">
        <v>125</v>
      </c>
      <c r="AT1197" t="s">
        <v>125</v>
      </c>
      <c r="AU1197" t="s">
        <v>125</v>
      </c>
      <c r="AV1197" t="s">
        <v>125</v>
      </c>
      <c r="AW1197" t="s">
        <v>125</v>
      </c>
      <c r="AX1197" t="s">
        <v>125</v>
      </c>
      <c r="AY1197" t="s">
        <v>125</v>
      </c>
      <c r="AZ1197" t="s">
        <v>125</v>
      </c>
      <c r="BA1197" t="s">
        <v>125</v>
      </c>
      <c r="BB1197" t="s">
        <v>125</v>
      </c>
      <c r="BC1197" t="s">
        <v>125</v>
      </c>
      <c r="BD1197" t="s">
        <v>125</v>
      </c>
      <c r="BE1197" t="s">
        <v>125</v>
      </c>
      <c r="BF1197" t="s">
        <v>125</v>
      </c>
      <c r="BG1197" t="s">
        <v>125</v>
      </c>
      <c r="BH1197" t="s">
        <v>125</v>
      </c>
      <c r="BI1197" t="s">
        <v>125</v>
      </c>
      <c r="BJ1197" t="s">
        <v>125</v>
      </c>
      <c r="BK1197" t="s">
        <v>125</v>
      </c>
      <c r="BL1197" t="s">
        <v>125</v>
      </c>
      <c r="BM1197" t="s">
        <v>125</v>
      </c>
      <c r="BN1197" t="s">
        <v>125</v>
      </c>
      <c r="BO1197" t="s">
        <v>125</v>
      </c>
      <c r="BP1197" t="s">
        <v>125</v>
      </c>
      <c r="BQ1197" t="s">
        <v>125</v>
      </c>
      <c r="BR1197">
        <v>1.9608E-2</v>
      </c>
      <c r="BS1197">
        <v>50</v>
      </c>
      <c r="BT1197">
        <v>50</v>
      </c>
      <c r="BU1197">
        <v>1.9608E-2</v>
      </c>
      <c r="BV1197">
        <v>50</v>
      </c>
      <c r="BW1197">
        <v>50</v>
      </c>
      <c r="BX1197" t="s">
        <v>125</v>
      </c>
      <c r="BY1197" t="s">
        <v>125</v>
      </c>
      <c r="BZ1197" t="s">
        <v>125</v>
      </c>
      <c r="CA1197" t="s">
        <v>125</v>
      </c>
      <c r="CB1197" t="s">
        <v>125</v>
      </c>
      <c r="CC1197" t="s">
        <v>125</v>
      </c>
      <c r="CD1197">
        <v>1.8182E-2</v>
      </c>
      <c r="CE1197">
        <v>0.96711800000000003</v>
      </c>
      <c r="CF1197">
        <v>50</v>
      </c>
      <c r="CG1197" t="s">
        <v>125</v>
      </c>
      <c r="CH1197" t="s">
        <v>125</v>
      </c>
      <c r="CI1197" t="s">
        <v>125</v>
      </c>
      <c r="CJ1197" t="s">
        <v>125</v>
      </c>
      <c r="CK1197" t="s">
        <v>125</v>
      </c>
      <c r="CL1197" t="s">
        <v>125</v>
      </c>
      <c r="CM1197" t="s">
        <v>125</v>
      </c>
      <c r="CN1197" t="s">
        <v>125</v>
      </c>
      <c r="CO1197" t="s">
        <v>125</v>
      </c>
      <c r="CP1197" t="s">
        <v>125</v>
      </c>
      <c r="CQ1197" t="s">
        <v>125</v>
      </c>
      <c r="CR1197" t="s">
        <v>125</v>
      </c>
      <c r="CS1197">
        <v>0</v>
      </c>
      <c r="CT1197">
        <v>50</v>
      </c>
      <c r="CU1197">
        <v>0</v>
      </c>
      <c r="CV1197">
        <v>0</v>
      </c>
      <c r="CW1197">
        <v>50</v>
      </c>
      <c r="CX1197" t="s">
        <v>125</v>
      </c>
      <c r="CY1197" t="s">
        <v>125</v>
      </c>
      <c r="CZ1197" t="s">
        <v>125</v>
      </c>
      <c r="DA1197" t="s">
        <v>125</v>
      </c>
      <c r="DB1197" t="s">
        <v>125</v>
      </c>
      <c r="DC1197" t="s">
        <v>125</v>
      </c>
      <c r="DD1197" t="s">
        <v>125</v>
      </c>
      <c r="DE1197" t="s">
        <v>125</v>
      </c>
      <c r="DJ1197" t="s">
        <v>125</v>
      </c>
      <c r="DK1197" t="s">
        <v>125</v>
      </c>
      <c r="DL1197" t="s">
        <v>125</v>
      </c>
      <c r="DM1197" t="s">
        <v>125</v>
      </c>
      <c r="DN1197" t="s">
        <v>125</v>
      </c>
      <c r="DO1197" t="s">
        <v>125</v>
      </c>
      <c r="DQ1197" t="s">
        <v>126</v>
      </c>
    </row>
    <row r="1198" spans="1:121" x14ac:dyDescent="0.15">
      <c r="A1198">
        <v>2018</v>
      </c>
      <c r="B1198" t="s">
        <v>326</v>
      </c>
      <c r="C1198" t="str">
        <f t="shared" si="55"/>
        <v>3360015</v>
      </c>
      <c r="D1198" t="s">
        <v>1346</v>
      </c>
      <c r="E1198" t="str">
        <f>"3362615"</f>
        <v>3362615</v>
      </c>
      <c r="F1198" t="s">
        <v>1340</v>
      </c>
      <c r="G1198">
        <v>9</v>
      </c>
      <c r="H1198">
        <v>12</v>
      </c>
      <c r="J1198" t="s">
        <v>331</v>
      </c>
      <c r="K1198">
        <v>0</v>
      </c>
      <c r="L1198">
        <v>0</v>
      </c>
      <c r="M1198">
        <v>0</v>
      </c>
      <c r="N1198" t="s">
        <v>125</v>
      </c>
      <c r="O1198" t="s">
        <v>125</v>
      </c>
      <c r="P1198" t="s">
        <v>125</v>
      </c>
      <c r="Q1198" t="s">
        <v>125</v>
      </c>
      <c r="R1198" t="s">
        <v>125</v>
      </c>
      <c r="S1198" t="s">
        <v>125</v>
      </c>
      <c r="T1198" t="s">
        <v>125</v>
      </c>
      <c r="U1198" t="s">
        <v>125</v>
      </c>
      <c r="V1198" t="s">
        <v>125</v>
      </c>
      <c r="W1198" t="s">
        <v>125</v>
      </c>
      <c r="X1198" t="s">
        <v>125</v>
      </c>
      <c r="Y1198" t="s">
        <v>125</v>
      </c>
      <c r="Z1198" t="s">
        <v>125</v>
      </c>
      <c r="AA1198" t="s">
        <v>125</v>
      </c>
      <c r="AB1198" t="s">
        <v>125</v>
      </c>
      <c r="AC1198" t="s">
        <v>125</v>
      </c>
      <c r="AD1198" t="s">
        <v>125</v>
      </c>
      <c r="AE1198" t="s">
        <v>125</v>
      </c>
      <c r="AF1198" t="s">
        <v>125</v>
      </c>
      <c r="AG1198" t="s">
        <v>125</v>
      </c>
      <c r="AH1198" t="s">
        <v>125</v>
      </c>
      <c r="AI1198" t="s">
        <v>125</v>
      </c>
      <c r="AJ1198" t="s">
        <v>125</v>
      </c>
      <c r="AK1198" t="s">
        <v>125</v>
      </c>
      <c r="AL1198" t="s">
        <v>125</v>
      </c>
      <c r="AM1198" t="s">
        <v>125</v>
      </c>
      <c r="AN1198" t="s">
        <v>125</v>
      </c>
      <c r="AO1198" t="s">
        <v>125</v>
      </c>
      <c r="AP1198" t="s">
        <v>125</v>
      </c>
      <c r="AQ1198" t="s">
        <v>125</v>
      </c>
      <c r="AR1198" t="s">
        <v>125</v>
      </c>
      <c r="AS1198" t="s">
        <v>125</v>
      </c>
      <c r="AT1198" t="s">
        <v>125</v>
      </c>
      <c r="AU1198" t="s">
        <v>125</v>
      </c>
      <c r="AV1198" t="s">
        <v>125</v>
      </c>
      <c r="AW1198" t="s">
        <v>125</v>
      </c>
      <c r="AX1198" t="s">
        <v>125</v>
      </c>
      <c r="AY1198" t="s">
        <v>125</v>
      </c>
      <c r="AZ1198" t="s">
        <v>125</v>
      </c>
      <c r="BA1198" t="s">
        <v>125</v>
      </c>
      <c r="BB1198" t="s">
        <v>125</v>
      </c>
      <c r="BC1198" t="s">
        <v>125</v>
      </c>
      <c r="BD1198" t="s">
        <v>125</v>
      </c>
      <c r="BE1198" t="s">
        <v>125</v>
      </c>
      <c r="BF1198" t="s">
        <v>125</v>
      </c>
      <c r="BG1198" t="s">
        <v>125</v>
      </c>
      <c r="BH1198" t="s">
        <v>125</v>
      </c>
      <c r="BI1198" t="s">
        <v>125</v>
      </c>
      <c r="BJ1198" t="s">
        <v>125</v>
      </c>
      <c r="BK1198" t="s">
        <v>125</v>
      </c>
      <c r="BL1198" t="s">
        <v>125</v>
      </c>
      <c r="BM1198" t="s">
        <v>125</v>
      </c>
      <c r="BN1198" t="s">
        <v>125</v>
      </c>
      <c r="BO1198" t="s">
        <v>125</v>
      </c>
      <c r="BP1198" t="s">
        <v>125</v>
      </c>
      <c r="BQ1198" t="s">
        <v>125</v>
      </c>
      <c r="BR1198" t="s">
        <v>125</v>
      </c>
      <c r="BS1198" t="s">
        <v>125</v>
      </c>
      <c r="BT1198" t="s">
        <v>125</v>
      </c>
      <c r="BU1198" t="s">
        <v>125</v>
      </c>
      <c r="BV1198" t="s">
        <v>125</v>
      </c>
      <c r="BW1198" t="s">
        <v>125</v>
      </c>
      <c r="BX1198" t="s">
        <v>125</v>
      </c>
      <c r="BY1198" t="s">
        <v>125</v>
      </c>
      <c r="BZ1198" t="s">
        <v>125</v>
      </c>
      <c r="CA1198" t="s">
        <v>125</v>
      </c>
      <c r="CB1198" t="s">
        <v>125</v>
      </c>
      <c r="CC1198" t="s">
        <v>125</v>
      </c>
      <c r="CD1198" t="s">
        <v>125</v>
      </c>
      <c r="CE1198" t="s">
        <v>125</v>
      </c>
      <c r="CF1198" t="s">
        <v>125</v>
      </c>
      <c r="CG1198" t="s">
        <v>125</v>
      </c>
      <c r="CH1198" t="s">
        <v>125</v>
      </c>
      <c r="CI1198" t="s">
        <v>125</v>
      </c>
      <c r="CJ1198" t="s">
        <v>125</v>
      </c>
      <c r="CK1198" t="s">
        <v>125</v>
      </c>
      <c r="CL1198" t="s">
        <v>125</v>
      </c>
      <c r="CM1198" t="s">
        <v>125</v>
      </c>
      <c r="CN1198" t="s">
        <v>125</v>
      </c>
      <c r="CO1198" t="s">
        <v>125</v>
      </c>
      <c r="CP1198" t="s">
        <v>125</v>
      </c>
      <c r="CQ1198" t="s">
        <v>125</v>
      </c>
      <c r="CR1198" t="s">
        <v>125</v>
      </c>
      <c r="CS1198" t="s">
        <v>125</v>
      </c>
      <c r="CT1198" t="s">
        <v>125</v>
      </c>
      <c r="CU1198" t="s">
        <v>125</v>
      </c>
      <c r="CV1198" t="s">
        <v>125</v>
      </c>
      <c r="CW1198" t="s">
        <v>125</v>
      </c>
      <c r="CX1198" t="s">
        <v>125</v>
      </c>
      <c r="CY1198" t="s">
        <v>125</v>
      </c>
      <c r="CZ1198" t="s">
        <v>125</v>
      </c>
      <c r="DA1198" t="s">
        <v>125</v>
      </c>
      <c r="DB1198" t="s">
        <v>125</v>
      </c>
      <c r="DC1198" t="s">
        <v>125</v>
      </c>
      <c r="DD1198" t="s">
        <v>125</v>
      </c>
      <c r="DE1198" t="s">
        <v>125</v>
      </c>
      <c r="DJ1198" t="s">
        <v>125</v>
      </c>
      <c r="DK1198" t="s">
        <v>125</v>
      </c>
      <c r="DL1198" t="s">
        <v>125</v>
      </c>
      <c r="DM1198" t="s">
        <v>125</v>
      </c>
      <c r="DN1198" t="s">
        <v>125</v>
      </c>
      <c r="DO1198" t="s">
        <v>125</v>
      </c>
      <c r="DQ1198" t="s">
        <v>126</v>
      </c>
    </row>
    <row r="1199" spans="1:121" x14ac:dyDescent="0.15">
      <c r="A1199">
        <v>2018</v>
      </c>
      <c r="B1199" t="s">
        <v>326</v>
      </c>
      <c r="C1199" t="str">
        <f t="shared" si="55"/>
        <v>3360015</v>
      </c>
      <c r="D1199" t="s">
        <v>1347</v>
      </c>
      <c r="E1199" t="str">
        <f>"3361215"</f>
        <v>3361215</v>
      </c>
      <c r="F1199" t="s">
        <v>1340</v>
      </c>
      <c r="G1199">
        <v>9</v>
      </c>
      <c r="H1199">
        <v>12</v>
      </c>
      <c r="J1199" t="s">
        <v>331</v>
      </c>
      <c r="K1199">
        <v>0</v>
      </c>
      <c r="L1199">
        <v>0</v>
      </c>
      <c r="M1199">
        <v>0</v>
      </c>
      <c r="N1199" t="s">
        <v>125</v>
      </c>
      <c r="O1199" t="s">
        <v>125</v>
      </c>
      <c r="P1199" t="s">
        <v>125</v>
      </c>
      <c r="Q1199" t="s">
        <v>125</v>
      </c>
      <c r="R1199" t="s">
        <v>125</v>
      </c>
      <c r="S1199" t="s">
        <v>125</v>
      </c>
      <c r="T1199" t="s">
        <v>125</v>
      </c>
      <c r="U1199" t="s">
        <v>125</v>
      </c>
      <c r="V1199" t="s">
        <v>125</v>
      </c>
      <c r="W1199" t="s">
        <v>125</v>
      </c>
      <c r="X1199" t="s">
        <v>125</v>
      </c>
      <c r="Y1199" t="s">
        <v>125</v>
      </c>
      <c r="Z1199" t="s">
        <v>125</v>
      </c>
      <c r="AA1199" t="s">
        <v>125</v>
      </c>
      <c r="AB1199" t="s">
        <v>125</v>
      </c>
      <c r="AC1199" t="s">
        <v>125</v>
      </c>
      <c r="AD1199" t="s">
        <v>125</v>
      </c>
      <c r="AE1199" t="s">
        <v>125</v>
      </c>
      <c r="AF1199" t="s">
        <v>125</v>
      </c>
      <c r="AG1199" t="s">
        <v>125</v>
      </c>
      <c r="AH1199" t="s">
        <v>125</v>
      </c>
      <c r="AI1199" t="s">
        <v>125</v>
      </c>
      <c r="AJ1199" t="s">
        <v>125</v>
      </c>
      <c r="AK1199" t="s">
        <v>125</v>
      </c>
      <c r="AL1199" t="s">
        <v>125</v>
      </c>
      <c r="AM1199" t="s">
        <v>125</v>
      </c>
      <c r="AN1199" t="s">
        <v>125</v>
      </c>
      <c r="AO1199" t="s">
        <v>125</v>
      </c>
      <c r="AP1199" t="s">
        <v>125</v>
      </c>
      <c r="AQ1199" t="s">
        <v>125</v>
      </c>
      <c r="AR1199" t="s">
        <v>125</v>
      </c>
      <c r="AS1199" t="s">
        <v>125</v>
      </c>
      <c r="AT1199" t="s">
        <v>125</v>
      </c>
      <c r="AU1199" t="s">
        <v>125</v>
      </c>
      <c r="AV1199" t="s">
        <v>125</v>
      </c>
      <c r="AW1199" t="s">
        <v>125</v>
      </c>
      <c r="AX1199" t="s">
        <v>125</v>
      </c>
      <c r="AY1199" t="s">
        <v>125</v>
      </c>
      <c r="AZ1199" t="s">
        <v>125</v>
      </c>
      <c r="BA1199" t="s">
        <v>125</v>
      </c>
      <c r="BB1199" t="s">
        <v>125</v>
      </c>
      <c r="BC1199" t="s">
        <v>125</v>
      </c>
      <c r="BD1199" t="s">
        <v>125</v>
      </c>
      <c r="BE1199" t="s">
        <v>125</v>
      </c>
      <c r="BF1199" t="s">
        <v>125</v>
      </c>
      <c r="BG1199" t="s">
        <v>125</v>
      </c>
      <c r="BH1199" t="s">
        <v>125</v>
      </c>
      <c r="BI1199" t="s">
        <v>125</v>
      </c>
      <c r="BJ1199" t="s">
        <v>125</v>
      </c>
      <c r="BK1199" t="s">
        <v>125</v>
      </c>
      <c r="BL1199" t="s">
        <v>125</v>
      </c>
      <c r="BM1199" t="s">
        <v>125</v>
      </c>
      <c r="BN1199" t="s">
        <v>125</v>
      </c>
      <c r="BO1199" t="s">
        <v>125</v>
      </c>
      <c r="BP1199" t="s">
        <v>125</v>
      </c>
      <c r="BQ1199" t="s">
        <v>125</v>
      </c>
      <c r="BR1199" t="s">
        <v>125</v>
      </c>
      <c r="BS1199" t="s">
        <v>125</v>
      </c>
      <c r="BT1199" t="s">
        <v>125</v>
      </c>
      <c r="BU1199" t="s">
        <v>125</v>
      </c>
      <c r="BV1199" t="s">
        <v>125</v>
      </c>
      <c r="BW1199" t="s">
        <v>125</v>
      </c>
      <c r="BX1199" t="s">
        <v>125</v>
      </c>
      <c r="BY1199" t="s">
        <v>125</v>
      </c>
      <c r="BZ1199" t="s">
        <v>125</v>
      </c>
      <c r="CA1199" t="s">
        <v>125</v>
      </c>
      <c r="CB1199" t="s">
        <v>125</v>
      </c>
      <c r="CC1199" t="s">
        <v>125</v>
      </c>
      <c r="CD1199" t="s">
        <v>125</v>
      </c>
      <c r="CE1199" t="s">
        <v>125</v>
      </c>
      <c r="CF1199" t="s">
        <v>125</v>
      </c>
      <c r="CG1199" t="s">
        <v>125</v>
      </c>
      <c r="CH1199" t="s">
        <v>125</v>
      </c>
      <c r="CI1199" t="s">
        <v>125</v>
      </c>
      <c r="CJ1199" t="s">
        <v>125</v>
      </c>
      <c r="CK1199" t="s">
        <v>125</v>
      </c>
      <c r="CL1199" t="s">
        <v>125</v>
      </c>
      <c r="CM1199" t="s">
        <v>125</v>
      </c>
      <c r="CN1199" t="s">
        <v>125</v>
      </c>
      <c r="CO1199" t="s">
        <v>125</v>
      </c>
      <c r="CP1199" t="s">
        <v>125</v>
      </c>
      <c r="CQ1199" t="s">
        <v>125</v>
      </c>
      <c r="CR1199" t="s">
        <v>125</v>
      </c>
      <c r="CS1199" t="s">
        <v>125</v>
      </c>
      <c r="CT1199" t="s">
        <v>125</v>
      </c>
      <c r="CU1199" t="s">
        <v>125</v>
      </c>
      <c r="CV1199" t="s">
        <v>125</v>
      </c>
      <c r="CW1199" t="s">
        <v>125</v>
      </c>
      <c r="CX1199" t="s">
        <v>125</v>
      </c>
      <c r="CY1199" t="s">
        <v>125</v>
      </c>
      <c r="CZ1199" t="s">
        <v>125</v>
      </c>
      <c r="DA1199" t="s">
        <v>125</v>
      </c>
      <c r="DB1199" t="s">
        <v>125</v>
      </c>
      <c r="DC1199" t="s">
        <v>125</v>
      </c>
      <c r="DD1199" t="s">
        <v>125</v>
      </c>
      <c r="DE1199" t="s">
        <v>125</v>
      </c>
      <c r="DJ1199" t="s">
        <v>125</v>
      </c>
      <c r="DK1199" t="s">
        <v>125</v>
      </c>
      <c r="DL1199" t="s">
        <v>125</v>
      </c>
      <c r="DM1199" t="s">
        <v>125</v>
      </c>
      <c r="DN1199" t="s">
        <v>125</v>
      </c>
      <c r="DO1199" t="s">
        <v>125</v>
      </c>
      <c r="DQ1199" t="s">
        <v>126</v>
      </c>
    </row>
    <row r="1200" spans="1:121" x14ac:dyDescent="0.15">
      <c r="A1200">
        <v>2018</v>
      </c>
      <c r="B1200" t="s">
        <v>326</v>
      </c>
      <c r="C1200" t="str">
        <f t="shared" si="55"/>
        <v>3360015</v>
      </c>
      <c r="D1200" t="s">
        <v>1348</v>
      </c>
      <c r="E1200" t="str">
        <f>"3361315"</f>
        <v>3361315</v>
      </c>
      <c r="F1200" t="s">
        <v>1340</v>
      </c>
      <c r="G1200">
        <v>9</v>
      </c>
      <c r="H1200">
        <v>12</v>
      </c>
      <c r="J1200" t="s">
        <v>331</v>
      </c>
      <c r="K1200">
        <v>0</v>
      </c>
      <c r="L1200">
        <v>0</v>
      </c>
      <c r="M1200">
        <v>0</v>
      </c>
      <c r="N1200" t="s">
        <v>125</v>
      </c>
      <c r="O1200" t="s">
        <v>125</v>
      </c>
      <c r="P1200" t="s">
        <v>125</v>
      </c>
      <c r="Q1200" t="s">
        <v>125</v>
      </c>
      <c r="R1200" t="s">
        <v>125</v>
      </c>
      <c r="S1200" t="s">
        <v>125</v>
      </c>
      <c r="T1200" t="s">
        <v>125</v>
      </c>
      <c r="U1200" t="s">
        <v>125</v>
      </c>
      <c r="V1200" t="s">
        <v>125</v>
      </c>
      <c r="W1200" t="s">
        <v>125</v>
      </c>
      <c r="X1200" t="s">
        <v>125</v>
      </c>
      <c r="Y1200" t="s">
        <v>125</v>
      </c>
      <c r="Z1200" t="s">
        <v>125</v>
      </c>
      <c r="AA1200" t="s">
        <v>125</v>
      </c>
      <c r="AB1200" t="s">
        <v>125</v>
      </c>
      <c r="AC1200" t="s">
        <v>125</v>
      </c>
      <c r="AD1200" t="s">
        <v>125</v>
      </c>
      <c r="AE1200" t="s">
        <v>125</v>
      </c>
      <c r="AF1200" t="s">
        <v>125</v>
      </c>
      <c r="AG1200" t="s">
        <v>125</v>
      </c>
      <c r="AH1200" t="s">
        <v>125</v>
      </c>
      <c r="AI1200" t="s">
        <v>125</v>
      </c>
      <c r="AJ1200" t="s">
        <v>125</v>
      </c>
      <c r="AK1200" t="s">
        <v>125</v>
      </c>
      <c r="AL1200" t="s">
        <v>125</v>
      </c>
      <c r="AM1200" t="s">
        <v>125</v>
      </c>
      <c r="AN1200" t="s">
        <v>125</v>
      </c>
      <c r="AO1200" t="s">
        <v>125</v>
      </c>
      <c r="AP1200" t="s">
        <v>125</v>
      </c>
      <c r="AQ1200" t="s">
        <v>125</v>
      </c>
      <c r="AR1200" t="s">
        <v>125</v>
      </c>
      <c r="AS1200" t="s">
        <v>125</v>
      </c>
      <c r="AT1200" t="s">
        <v>125</v>
      </c>
      <c r="AU1200" t="s">
        <v>125</v>
      </c>
      <c r="AV1200" t="s">
        <v>125</v>
      </c>
      <c r="AW1200" t="s">
        <v>125</v>
      </c>
      <c r="AX1200" t="s">
        <v>125</v>
      </c>
      <c r="AY1200" t="s">
        <v>125</v>
      </c>
      <c r="AZ1200" t="s">
        <v>125</v>
      </c>
      <c r="BA1200" t="s">
        <v>125</v>
      </c>
      <c r="BB1200" t="s">
        <v>125</v>
      </c>
      <c r="BC1200" t="s">
        <v>125</v>
      </c>
      <c r="BD1200" t="s">
        <v>125</v>
      </c>
      <c r="BE1200" t="s">
        <v>125</v>
      </c>
      <c r="BF1200" t="s">
        <v>125</v>
      </c>
      <c r="BG1200" t="s">
        <v>125</v>
      </c>
      <c r="BH1200" t="s">
        <v>125</v>
      </c>
      <c r="BI1200" t="s">
        <v>125</v>
      </c>
      <c r="BJ1200" t="s">
        <v>125</v>
      </c>
      <c r="BK1200" t="s">
        <v>125</v>
      </c>
      <c r="BL1200" t="s">
        <v>125</v>
      </c>
      <c r="BM1200" t="s">
        <v>125</v>
      </c>
      <c r="BN1200" t="s">
        <v>125</v>
      </c>
      <c r="BO1200" t="s">
        <v>125</v>
      </c>
      <c r="BP1200" t="s">
        <v>125</v>
      </c>
      <c r="BQ1200" t="s">
        <v>125</v>
      </c>
      <c r="BR1200" t="s">
        <v>125</v>
      </c>
      <c r="BS1200" t="s">
        <v>125</v>
      </c>
      <c r="BT1200" t="s">
        <v>125</v>
      </c>
      <c r="BU1200" t="s">
        <v>125</v>
      </c>
      <c r="BV1200" t="s">
        <v>125</v>
      </c>
      <c r="BW1200" t="s">
        <v>125</v>
      </c>
      <c r="BX1200" t="s">
        <v>125</v>
      </c>
      <c r="BY1200" t="s">
        <v>125</v>
      </c>
      <c r="BZ1200" t="s">
        <v>125</v>
      </c>
      <c r="CA1200" t="s">
        <v>125</v>
      </c>
      <c r="CB1200" t="s">
        <v>125</v>
      </c>
      <c r="CC1200" t="s">
        <v>125</v>
      </c>
      <c r="CD1200" t="s">
        <v>125</v>
      </c>
      <c r="CE1200" t="s">
        <v>125</v>
      </c>
      <c r="CF1200" t="s">
        <v>125</v>
      </c>
      <c r="CG1200" t="s">
        <v>125</v>
      </c>
      <c r="CH1200" t="s">
        <v>125</v>
      </c>
      <c r="CI1200" t="s">
        <v>125</v>
      </c>
      <c r="CJ1200" t="s">
        <v>125</v>
      </c>
      <c r="CK1200" t="s">
        <v>125</v>
      </c>
      <c r="CL1200" t="s">
        <v>125</v>
      </c>
      <c r="CM1200" t="s">
        <v>125</v>
      </c>
      <c r="CN1200" t="s">
        <v>125</v>
      </c>
      <c r="CO1200" t="s">
        <v>125</v>
      </c>
      <c r="CP1200" t="s">
        <v>125</v>
      </c>
      <c r="CQ1200" t="s">
        <v>125</v>
      </c>
      <c r="CR1200" t="s">
        <v>125</v>
      </c>
      <c r="CS1200" t="s">
        <v>125</v>
      </c>
      <c r="CT1200" t="s">
        <v>125</v>
      </c>
      <c r="CU1200" t="s">
        <v>125</v>
      </c>
      <c r="CV1200" t="s">
        <v>125</v>
      </c>
      <c r="CW1200" t="s">
        <v>125</v>
      </c>
      <c r="CX1200" t="s">
        <v>125</v>
      </c>
      <c r="CY1200" t="s">
        <v>125</v>
      </c>
      <c r="CZ1200" t="s">
        <v>125</v>
      </c>
      <c r="DA1200" t="s">
        <v>125</v>
      </c>
      <c r="DB1200" t="s">
        <v>125</v>
      </c>
      <c r="DC1200" t="s">
        <v>125</v>
      </c>
      <c r="DD1200" t="s">
        <v>125</v>
      </c>
      <c r="DE1200" t="s">
        <v>125</v>
      </c>
      <c r="DJ1200" t="s">
        <v>125</v>
      </c>
      <c r="DK1200" t="s">
        <v>125</v>
      </c>
      <c r="DL1200" t="s">
        <v>125</v>
      </c>
      <c r="DM1200" t="s">
        <v>125</v>
      </c>
      <c r="DN1200" t="s">
        <v>125</v>
      </c>
      <c r="DO1200" t="s">
        <v>125</v>
      </c>
      <c r="DQ1200" t="s">
        <v>126</v>
      </c>
    </row>
    <row r="1201" spans="1:121" x14ac:dyDescent="0.15">
      <c r="A1201">
        <v>2018</v>
      </c>
      <c r="B1201" t="s">
        <v>326</v>
      </c>
      <c r="C1201" t="str">
        <f t="shared" si="55"/>
        <v>3360015</v>
      </c>
      <c r="D1201" t="s">
        <v>1349</v>
      </c>
      <c r="E1201" t="str">
        <f>"3361515"</f>
        <v>3361515</v>
      </c>
      <c r="F1201" t="s">
        <v>1340</v>
      </c>
      <c r="G1201">
        <v>9</v>
      </c>
      <c r="H1201">
        <v>12</v>
      </c>
      <c r="J1201" t="s">
        <v>331</v>
      </c>
      <c r="K1201">
        <v>0</v>
      </c>
      <c r="L1201">
        <v>0</v>
      </c>
      <c r="M1201">
        <v>0</v>
      </c>
      <c r="N1201" t="s">
        <v>125</v>
      </c>
      <c r="O1201" t="s">
        <v>125</v>
      </c>
      <c r="P1201" t="s">
        <v>125</v>
      </c>
      <c r="Q1201" t="s">
        <v>125</v>
      </c>
      <c r="R1201" t="s">
        <v>125</v>
      </c>
      <c r="S1201" t="s">
        <v>125</v>
      </c>
      <c r="T1201" t="s">
        <v>125</v>
      </c>
      <c r="U1201" t="s">
        <v>125</v>
      </c>
      <c r="V1201" t="s">
        <v>125</v>
      </c>
      <c r="W1201" t="s">
        <v>125</v>
      </c>
      <c r="X1201" t="s">
        <v>125</v>
      </c>
      <c r="Y1201" t="s">
        <v>125</v>
      </c>
      <c r="Z1201" t="s">
        <v>125</v>
      </c>
      <c r="AA1201" t="s">
        <v>125</v>
      </c>
      <c r="AB1201" t="s">
        <v>125</v>
      </c>
      <c r="AC1201" t="s">
        <v>125</v>
      </c>
      <c r="AD1201" t="s">
        <v>125</v>
      </c>
      <c r="AE1201" t="s">
        <v>125</v>
      </c>
      <c r="AF1201" t="s">
        <v>125</v>
      </c>
      <c r="AG1201" t="s">
        <v>125</v>
      </c>
      <c r="AH1201" t="s">
        <v>125</v>
      </c>
      <c r="AI1201" t="s">
        <v>125</v>
      </c>
      <c r="AJ1201" t="s">
        <v>125</v>
      </c>
      <c r="AK1201" t="s">
        <v>125</v>
      </c>
      <c r="AL1201" t="s">
        <v>125</v>
      </c>
      <c r="AM1201" t="s">
        <v>125</v>
      </c>
      <c r="AN1201" t="s">
        <v>125</v>
      </c>
      <c r="AO1201" t="s">
        <v>125</v>
      </c>
      <c r="AP1201" t="s">
        <v>125</v>
      </c>
      <c r="AQ1201" t="s">
        <v>125</v>
      </c>
      <c r="AR1201" t="s">
        <v>125</v>
      </c>
      <c r="AS1201" t="s">
        <v>125</v>
      </c>
      <c r="AT1201" t="s">
        <v>125</v>
      </c>
      <c r="AU1201" t="s">
        <v>125</v>
      </c>
      <c r="AV1201" t="s">
        <v>125</v>
      </c>
      <c r="AW1201" t="s">
        <v>125</v>
      </c>
      <c r="AX1201" t="s">
        <v>125</v>
      </c>
      <c r="AY1201" t="s">
        <v>125</v>
      </c>
      <c r="AZ1201" t="s">
        <v>125</v>
      </c>
      <c r="BA1201" t="s">
        <v>125</v>
      </c>
      <c r="BB1201" t="s">
        <v>125</v>
      </c>
      <c r="BC1201" t="s">
        <v>125</v>
      </c>
      <c r="BD1201" t="s">
        <v>125</v>
      </c>
      <c r="BE1201" t="s">
        <v>125</v>
      </c>
      <c r="BF1201" t="s">
        <v>125</v>
      </c>
      <c r="BG1201" t="s">
        <v>125</v>
      </c>
      <c r="BH1201" t="s">
        <v>125</v>
      </c>
      <c r="BI1201" t="s">
        <v>125</v>
      </c>
      <c r="BJ1201" t="s">
        <v>125</v>
      </c>
      <c r="BK1201" t="s">
        <v>125</v>
      </c>
      <c r="BL1201" t="s">
        <v>125</v>
      </c>
      <c r="BM1201" t="s">
        <v>125</v>
      </c>
      <c r="BN1201" t="s">
        <v>125</v>
      </c>
      <c r="BO1201" t="s">
        <v>125</v>
      </c>
      <c r="BP1201" t="s">
        <v>125</v>
      </c>
      <c r="BQ1201" t="s">
        <v>125</v>
      </c>
      <c r="BR1201" t="s">
        <v>125</v>
      </c>
      <c r="BS1201" t="s">
        <v>125</v>
      </c>
      <c r="BT1201" t="s">
        <v>125</v>
      </c>
      <c r="BU1201" t="s">
        <v>125</v>
      </c>
      <c r="BV1201" t="s">
        <v>125</v>
      </c>
      <c r="BW1201" t="s">
        <v>125</v>
      </c>
      <c r="BX1201" t="s">
        <v>125</v>
      </c>
      <c r="BY1201" t="s">
        <v>125</v>
      </c>
      <c r="BZ1201" t="s">
        <v>125</v>
      </c>
      <c r="CA1201" t="s">
        <v>125</v>
      </c>
      <c r="CB1201" t="s">
        <v>125</v>
      </c>
      <c r="CC1201" t="s">
        <v>125</v>
      </c>
      <c r="CD1201" t="s">
        <v>125</v>
      </c>
      <c r="CE1201" t="s">
        <v>125</v>
      </c>
      <c r="CF1201" t="s">
        <v>125</v>
      </c>
      <c r="CG1201" t="s">
        <v>125</v>
      </c>
      <c r="CH1201" t="s">
        <v>125</v>
      </c>
      <c r="CI1201" t="s">
        <v>125</v>
      </c>
      <c r="CJ1201" t="s">
        <v>125</v>
      </c>
      <c r="CK1201" t="s">
        <v>125</v>
      </c>
      <c r="CL1201" t="s">
        <v>125</v>
      </c>
      <c r="CM1201" t="s">
        <v>125</v>
      </c>
      <c r="CN1201" t="s">
        <v>125</v>
      </c>
      <c r="CO1201" t="s">
        <v>125</v>
      </c>
      <c r="CP1201" t="s">
        <v>125</v>
      </c>
      <c r="CQ1201" t="s">
        <v>125</v>
      </c>
      <c r="CR1201" t="s">
        <v>125</v>
      </c>
      <c r="CS1201" t="s">
        <v>125</v>
      </c>
      <c r="CT1201" t="s">
        <v>125</v>
      </c>
      <c r="CU1201" t="s">
        <v>125</v>
      </c>
      <c r="CV1201" t="s">
        <v>125</v>
      </c>
      <c r="CW1201" t="s">
        <v>125</v>
      </c>
      <c r="CX1201" t="s">
        <v>125</v>
      </c>
      <c r="CY1201" t="s">
        <v>125</v>
      </c>
      <c r="CZ1201" t="s">
        <v>125</v>
      </c>
      <c r="DA1201" t="s">
        <v>125</v>
      </c>
      <c r="DB1201" t="s">
        <v>125</v>
      </c>
      <c r="DC1201" t="s">
        <v>125</v>
      </c>
      <c r="DD1201" t="s">
        <v>125</v>
      </c>
      <c r="DE1201" t="s">
        <v>125</v>
      </c>
      <c r="DJ1201" t="s">
        <v>125</v>
      </c>
      <c r="DK1201" t="s">
        <v>125</v>
      </c>
      <c r="DL1201" t="s">
        <v>125</v>
      </c>
      <c r="DM1201" t="s">
        <v>125</v>
      </c>
      <c r="DN1201" t="s">
        <v>125</v>
      </c>
      <c r="DO1201" t="s">
        <v>125</v>
      </c>
      <c r="DQ1201" t="s">
        <v>126</v>
      </c>
    </row>
    <row r="1202" spans="1:121" x14ac:dyDescent="0.15">
      <c r="A1202">
        <v>2018</v>
      </c>
      <c r="B1202" t="s">
        <v>326</v>
      </c>
      <c r="C1202" t="str">
        <f t="shared" si="55"/>
        <v>3360015</v>
      </c>
      <c r="D1202" t="s">
        <v>1350</v>
      </c>
      <c r="E1202" t="str">
        <f>"3362515"</f>
        <v>3362515</v>
      </c>
      <c r="F1202" t="s">
        <v>1340</v>
      </c>
      <c r="G1202">
        <v>7</v>
      </c>
      <c r="H1202">
        <v>12</v>
      </c>
      <c r="J1202" t="s">
        <v>331</v>
      </c>
      <c r="K1202">
        <v>0</v>
      </c>
      <c r="L1202">
        <v>0</v>
      </c>
      <c r="M1202">
        <v>0</v>
      </c>
      <c r="N1202" t="s">
        <v>125</v>
      </c>
      <c r="O1202" t="s">
        <v>125</v>
      </c>
      <c r="P1202" t="s">
        <v>125</v>
      </c>
      <c r="Q1202" t="s">
        <v>125</v>
      </c>
      <c r="R1202" t="s">
        <v>125</v>
      </c>
      <c r="S1202" t="s">
        <v>125</v>
      </c>
      <c r="T1202" t="s">
        <v>125</v>
      </c>
      <c r="U1202" t="s">
        <v>125</v>
      </c>
      <c r="V1202" t="s">
        <v>125</v>
      </c>
      <c r="W1202" t="s">
        <v>125</v>
      </c>
      <c r="X1202" t="s">
        <v>125</v>
      </c>
      <c r="Y1202" t="s">
        <v>125</v>
      </c>
      <c r="Z1202" t="s">
        <v>125</v>
      </c>
      <c r="AA1202" t="s">
        <v>125</v>
      </c>
      <c r="AB1202" t="s">
        <v>125</v>
      </c>
      <c r="AC1202" t="s">
        <v>125</v>
      </c>
      <c r="AD1202" t="s">
        <v>125</v>
      </c>
      <c r="AE1202" t="s">
        <v>125</v>
      </c>
      <c r="AF1202" t="s">
        <v>125</v>
      </c>
      <c r="AG1202" t="s">
        <v>125</v>
      </c>
      <c r="AH1202" t="s">
        <v>125</v>
      </c>
      <c r="AI1202" t="s">
        <v>125</v>
      </c>
      <c r="AJ1202" t="s">
        <v>125</v>
      </c>
      <c r="AK1202" t="s">
        <v>125</v>
      </c>
      <c r="AL1202" t="s">
        <v>125</v>
      </c>
      <c r="AM1202" t="s">
        <v>125</v>
      </c>
      <c r="AN1202" t="s">
        <v>125</v>
      </c>
      <c r="AO1202" t="s">
        <v>125</v>
      </c>
      <c r="AP1202" t="s">
        <v>125</v>
      </c>
      <c r="AQ1202" t="s">
        <v>125</v>
      </c>
      <c r="AR1202" t="s">
        <v>125</v>
      </c>
      <c r="AS1202" t="s">
        <v>125</v>
      </c>
      <c r="AT1202" t="s">
        <v>125</v>
      </c>
      <c r="AU1202" t="s">
        <v>125</v>
      </c>
      <c r="AV1202" t="s">
        <v>125</v>
      </c>
      <c r="AW1202" t="s">
        <v>125</v>
      </c>
      <c r="AX1202" t="s">
        <v>125</v>
      </c>
      <c r="AY1202" t="s">
        <v>125</v>
      </c>
      <c r="AZ1202" t="s">
        <v>125</v>
      </c>
      <c r="BA1202" t="s">
        <v>125</v>
      </c>
      <c r="BB1202" t="s">
        <v>125</v>
      </c>
      <c r="BC1202" t="s">
        <v>125</v>
      </c>
      <c r="BD1202" t="s">
        <v>125</v>
      </c>
      <c r="BE1202" t="s">
        <v>125</v>
      </c>
      <c r="BF1202" t="s">
        <v>125</v>
      </c>
      <c r="BG1202" t="s">
        <v>125</v>
      </c>
      <c r="BH1202" t="s">
        <v>125</v>
      </c>
      <c r="BI1202" t="s">
        <v>125</v>
      </c>
      <c r="BJ1202" t="s">
        <v>125</v>
      </c>
      <c r="BK1202" t="s">
        <v>125</v>
      </c>
      <c r="BL1202" t="s">
        <v>125</v>
      </c>
      <c r="BM1202" t="s">
        <v>125</v>
      </c>
      <c r="BN1202" t="s">
        <v>125</v>
      </c>
      <c r="BO1202" t="s">
        <v>125</v>
      </c>
      <c r="BP1202" t="s">
        <v>125</v>
      </c>
      <c r="BQ1202" t="s">
        <v>125</v>
      </c>
      <c r="BR1202" t="s">
        <v>125</v>
      </c>
      <c r="BS1202" t="s">
        <v>125</v>
      </c>
      <c r="BT1202" t="s">
        <v>125</v>
      </c>
      <c r="BU1202" t="s">
        <v>125</v>
      </c>
      <c r="BV1202" t="s">
        <v>125</v>
      </c>
      <c r="BW1202" t="s">
        <v>125</v>
      </c>
      <c r="BX1202" t="s">
        <v>125</v>
      </c>
      <c r="BY1202" t="s">
        <v>125</v>
      </c>
      <c r="BZ1202" t="s">
        <v>125</v>
      </c>
      <c r="CA1202" t="s">
        <v>125</v>
      </c>
      <c r="CB1202" t="s">
        <v>125</v>
      </c>
      <c r="CC1202" t="s">
        <v>125</v>
      </c>
      <c r="CD1202" t="s">
        <v>125</v>
      </c>
      <c r="CE1202" t="s">
        <v>125</v>
      </c>
      <c r="CF1202" t="s">
        <v>125</v>
      </c>
      <c r="CG1202" t="s">
        <v>125</v>
      </c>
      <c r="CH1202" t="s">
        <v>125</v>
      </c>
      <c r="CI1202" t="s">
        <v>125</v>
      </c>
      <c r="CJ1202" t="s">
        <v>125</v>
      </c>
      <c r="CK1202" t="s">
        <v>125</v>
      </c>
      <c r="CL1202" t="s">
        <v>125</v>
      </c>
      <c r="CM1202" t="s">
        <v>125</v>
      </c>
      <c r="CN1202" t="s">
        <v>125</v>
      </c>
      <c r="CO1202" t="s">
        <v>125</v>
      </c>
      <c r="CP1202" t="s">
        <v>125</v>
      </c>
      <c r="CQ1202" t="s">
        <v>125</v>
      </c>
      <c r="CR1202" t="s">
        <v>125</v>
      </c>
      <c r="CS1202" t="s">
        <v>125</v>
      </c>
      <c r="CT1202" t="s">
        <v>125</v>
      </c>
      <c r="CU1202" t="s">
        <v>125</v>
      </c>
      <c r="CV1202" t="s">
        <v>125</v>
      </c>
      <c r="CW1202" t="s">
        <v>125</v>
      </c>
      <c r="CX1202" t="s">
        <v>125</v>
      </c>
      <c r="CY1202" t="s">
        <v>125</v>
      </c>
      <c r="CZ1202" t="s">
        <v>125</v>
      </c>
      <c r="DA1202" t="s">
        <v>125</v>
      </c>
      <c r="DB1202" t="s">
        <v>125</v>
      </c>
      <c r="DC1202" t="s">
        <v>125</v>
      </c>
      <c r="DD1202" t="s">
        <v>125</v>
      </c>
      <c r="DE1202" t="s">
        <v>125</v>
      </c>
      <c r="DJ1202" t="s">
        <v>125</v>
      </c>
      <c r="DK1202" t="s">
        <v>125</v>
      </c>
      <c r="DL1202" t="s">
        <v>125</v>
      </c>
      <c r="DM1202" t="s">
        <v>125</v>
      </c>
      <c r="DN1202" t="s">
        <v>125</v>
      </c>
      <c r="DO1202" t="s">
        <v>125</v>
      </c>
      <c r="DQ1202" t="s">
        <v>126</v>
      </c>
    </row>
    <row r="1203" spans="1:121" x14ac:dyDescent="0.15">
      <c r="A1203">
        <v>2018</v>
      </c>
      <c r="B1203" t="s">
        <v>305</v>
      </c>
      <c r="C1203" t="str">
        <f>"3470015"</f>
        <v>3470015</v>
      </c>
      <c r="D1203" t="s">
        <v>1351</v>
      </c>
      <c r="E1203" t="str">
        <f>"3470115"</f>
        <v>3470115</v>
      </c>
      <c r="F1203" t="s">
        <v>1340</v>
      </c>
      <c r="G1203">
        <v>4</v>
      </c>
      <c r="H1203">
        <v>12</v>
      </c>
      <c r="J1203" t="s">
        <v>331</v>
      </c>
      <c r="K1203">
        <v>0</v>
      </c>
      <c r="L1203">
        <v>100</v>
      </c>
      <c r="M1203">
        <v>0</v>
      </c>
      <c r="N1203" t="s">
        <v>125</v>
      </c>
      <c r="O1203" t="s">
        <v>125</v>
      </c>
      <c r="P1203" t="s">
        <v>125</v>
      </c>
      <c r="Q1203" t="s">
        <v>125</v>
      </c>
      <c r="R1203" t="s">
        <v>125</v>
      </c>
      <c r="S1203" t="s">
        <v>125</v>
      </c>
      <c r="T1203" t="s">
        <v>125</v>
      </c>
      <c r="U1203" t="s">
        <v>125</v>
      </c>
      <c r="V1203" t="s">
        <v>125</v>
      </c>
      <c r="W1203" t="s">
        <v>125</v>
      </c>
      <c r="X1203" t="s">
        <v>125</v>
      </c>
      <c r="Y1203" t="s">
        <v>125</v>
      </c>
      <c r="Z1203" t="s">
        <v>125</v>
      </c>
      <c r="AA1203" t="s">
        <v>125</v>
      </c>
      <c r="AB1203" t="s">
        <v>125</v>
      </c>
      <c r="AC1203" t="s">
        <v>125</v>
      </c>
      <c r="AD1203" t="s">
        <v>125</v>
      </c>
      <c r="AE1203" t="s">
        <v>125</v>
      </c>
      <c r="AF1203" t="s">
        <v>125</v>
      </c>
      <c r="AG1203" t="s">
        <v>125</v>
      </c>
      <c r="AH1203" t="s">
        <v>125</v>
      </c>
      <c r="AI1203" t="s">
        <v>125</v>
      </c>
      <c r="AJ1203" t="s">
        <v>125</v>
      </c>
      <c r="AK1203" t="s">
        <v>125</v>
      </c>
      <c r="AL1203" t="s">
        <v>125</v>
      </c>
      <c r="AM1203" t="s">
        <v>125</v>
      </c>
      <c r="AN1203" t="s">
        <v>125</v>
      </c>
      <c r="AO1203" t="s">
        <v>125</v>
      </c>
      <c r="AP1203" t="s">
        <v>125</v>
      </c>
      <c r="AQ1203" t="s">
        <v>125</v>
      </c>
      <c r="AR1203" t="s">
        <v>125</v>
      </c>
      <c r="AS1203" t="s">
        <v>125</v>
      </c>
      <c r="AT1203" t="s">
        <v>125</v>
      </c>
      <c r="AU1203" t="s">
        <v>125</v>
      </c>
      <c r="AV1203" t="s">
        <v>125</v>
      </c>
      <c r="AW1203" t="s">
        <v>125</v>
      </c>
      <c r="AX1203" t="s">
        <v>125</v>
      </c>
      <c r="AY1203" t="s">
        <v>125</v>
      </c>
      <c r="AZ1203" t="s">
        <v>125</v>
      </c>
      <c r="BA1203" t="s">
        <v>125</v>
      </c>
      <c r="BB1203" t="s">
        <v>125</v>
      </c>
      <c r="BC1203" t="s">
        <v>125</v>
      </c>
      <c r="BD1203" t="s">
        <v>125</v>
      </c>
      <c r="BE1203" t="s">
        <v>125</v>
      </c>
      <c r="BF1203" t="s">
        <v>125</v>
      </c>
      <c r="BG1203" t="s">
        <v>125</v>
      </c>
      <c r="BH1203">
        <v>0</v>
      </c>
      <c r="BI1203" t="s">
        <v>125</v>
      </c>
      <c r="BJ1203" t="s">
        <v>125</v>
      </c>
      <c r="BK1203" t="s">
        <v>125</v>
      </c>
      <c r="BL1203" t="s">
        <v>125</v>
      </c>
      <c r="BM1203" t="s">
        <v>125</v>
      </c>
      <c r="BN1203" t="s">
        <v>125</v>
      </c>
      <c r="BO1203" t="s">
        <v>125</v>
      </c>
      <c r="BP1203" t="s">
        <v>125</v>
      </c>
      <c r="BQ1203" t="s">
        <v>125</v>
      </c>
      <c r="BR1203">
        <v>0.36363600000000001</v>
      </c>
      <c r="BS1203">
        <v>0</v>
      </c>
      <c r="BT1203">
        <v>50</v>
      </c>
      <c r="BU1203">
        <v>0.36363600000000001</v>
      </c>
      <c r="BV1203">
        <v>0</v>
      </c>
      <c r="BW1203">
        <v>50</v>
      </c>
      <c r="BX1203" t="s">
        <v>125</v>
      </c>
      <c r="BY1203" t="s">
        <v>125</v>
      </c>
      <c r="BZ1203" t="s">
        <v>125</v>
      </c>
      <c r="CA1203" t="s">
        <v>125</v>
      </c>
      <c r="CB1203" t="s">
        <v>125</v>
      </c>
      <c r="CC1203" t="s">
        <v>125</v>
      </c>
      <c r="CD1203" t="s">
        <v>125</v>
      </c>
      <c r="CE1203" t="s">
        <v>125</v>
      </c>
      <c r="CF1203" t="s">
        <v>125</v>
      </c>
      <c r="CG1203" t="s">
        <v>125</v>
      </c>
      <c r="CH1203" t="s">
        <v>125</v>
      </c>
      <c r="CI1203" t="s">
        <v>125</v>
      </c>
      <c r="CJ1203" t="s">
        <v>125</v>
      </c>
      <c r="CK1203" t="s">
        <v>125</v>
      </c>
      <c r="CL1203" t="s">
        <v>125</v>
      </c>
      <c r="CM1203" t="s">
        <v>125</v>
      </c>
      <c r="CN1203" t="s">
        <v>125</v>
      </c>
      <c r="CO1203" t="s">
        <v>125</v>
      </c>
      <c r="CP1203" t="s">
        <v>125</v>
      </c>
      <c r="CQ1203" t="s">
        <v>125</v>
      </c>
      <c r="CR1203" t="s">
        <v>125</v>
      </c>
      <c r="CS1203" t="s">
        <v>125</v>
      </c>
      <c r="CT1203" t="s">
        <v>125</v>
      </c>
      <c r="CU1203" t="s">
        <v>125</v>
      </c>
      <c r="CV1203" t="s">
        <v>125</v>
      </c>
      <c r="CW1203" t="s">
        <v>125</v>
      </c>
      <c r="CX1203" t="s">
        <v>125</v>
      </c>
      <c r="CY1203" t="s">
        <v>125</v>
      </c>
      <c r="CZ1203" t="s">
        <v>125</v>
      </c>
      <c r="DA1203" t="s">
        <v>125</v>
      </c>
      <c r="DB1203" t="s">
        <v>125</v>
      </c>
      <c r="DC1203" t="s">
        <v>125</v>
      </c>
      <c r="DD1203" t="s">
        <v>125</v>
      </c>
      <c r="DE1203" t="s">
        <v>125</v>
      </c>
      <c r="DJ1203" t="s">
        <v>125</v>
      </c>
      <c r="DK1203" t="s">
        <v>125</v>
      </c>
      <c r="DL1203" t="s">
        <v>125</v>
      </c>
      <c r="DM1203" t="s">
        <v>125</v>
      </c>
      <c r="DN1203" t="s">
        <v>125</v>
      </c>
      <c r="DO1203" t="s">
        <v>125</v>
      </c>
      <c r="DQ1203" t="s">
        <v>126</v>
      </c>
    </row>
    <row r="1204" spans="1:121" x14ac:dyDescent="0.15">
      <c r="A1204">
        <v>2018</v>
      </c>
      <c r="B1204" t="s">
        <v>305</v>
      </c>
      <c r="C1204" t="str">
        <f>"3470015"</f>
        <v>3470015</v>
      </c>
      <c r="D1204" t="s">
        <v>1352</v>
      </c>
      <c r="E1204" t="str">
        <f>"3470315"</f>
        <v>3470315</v>
      </c>
      <c r="F1204" t="s">
        <v>1340</v>
      </c>
      <c r="G1204" t="s">
        <v>339</v>
      </c>
      <c r="H1204">
        <v>12</v>
      </c>
      <c r="J1204" t="s">
        <v>331</v>
      </c>
      <c r="K1204">
        <v>105.490544</v>
      </c>
      <c r="L1204">
        <v>250</v>
      </c>
      <c r="M1204">
        <v>42.196216999999997</v>
      </c>
      <c r="N1204">
        <v>3</v>
      </c>
      <c r="O1204" t="s">
        <v>125</v>
      </c>
      <c r="P1204" t="s">
        <v>125</v>
      </c>
      <c r="Q1204" t="s">
        <v>125</v>
      </c>
      <c r="R1204" t="s">
        <v>125</v>
      </c>
      <c r="S1204" t="s">
        <v>125</v>
      </c>
      <c r="T1204" t="s">
        <v>125</v>
      </c>
      <c r="U1204" t="s">
        <v>125</v>
      </c>
      <c r="V1204" t="s">
        <v>125</v>
      </c>
      <c r="W1204" t="s">
        <v>125</v>
      </c>
      <c r="X1204" t="s">
        <v>125</v>
      </c>
      <c r="Y1204" t="s">
        <v>125</v>
      </c>
      <c r="Z1204" t="s">
        <v>125</v>
      </c>
      <c r="AA1204" t="s">
        <v>125</v>
      </c>
      <c r="AB1204" t="s">
        <v>125</v>
      </c>
      <c r="AC1204" t="s">
        <v>125</v>
      </c>
      <c r="AD1204" t="s">
        <v>125</v>
      </c>
      <c r="AE1204" t="s">
        <v>125</v>
      </c>
      <c r="AF1204" t="s">
        <v>125</v>
      </c>
      <c r="AG1204" t="s">
        <v>125</v>
      </c>
      <c r="AH1204" t="s">
        <v>125</v>
      </c>
      <c r="AI1204" t="s">
        <v>125</v>
      </c>
      <c r="AJ1204" t="s">
        <v>125</v>
      </c>
      <c r="AK1204" t="s">
        <v>125</v>
      </c>
      <c r="AL1204" t="s">
        <v>125</v>
      </c>
      <c r="AM1204" t="s">
        <v>125</v>
      </c>
      <c r="AN1204" t="s">
        <v>125</v>
      </c>
      <c r="AO1204" t="s">
        <v>125</v>
      </c>
      <c r="AP1204" t="s">
        <v>125</v>
      </c>
      <c r="AQ1204" t="s">
        <v>125</v>
      </c>
      <c r="AR1204" t="s">
        <v>125</v>
      </c>
      <c r="AS1204" t="s">
        <v>125</v>
      </c>
      <c r="AT1204" t="s">
        <v>125</v>
      </c>
      <c r="AU1204" t="s">
        <v>125</v>
      </c>
      <c r="AV1204" t="s">
        <v>125</v>
      </c>
      <c r="AW1204" t="s">
        <v>125</v>
      </c>
      <c r="AX1204" t="s">
        <v>125</v>
      </c>
      <c r="AY1204" t="s">
        <v>125</v>
      </c>
      <c r="AZ1204" t="s">
        <v>125</v>
      </c>
      <c r="BA1204" t="s">
        <v>125</v>
      </c>
      <c r="BB1204" t="s">
        <v>125</v>
      </c>
      <c r="BC1204" t="s">
        <v>125</v>
      </c>
      <c r="BD1204" t="s">
        <v>125</v>
      </c>
      <c r="BE1204" t="s">
        <v>125</v>
      </c>
      <c r="BF1204" t="s">
        <v>125</v>
      </c>
      <c r="BG1204" t="s">
        <v>125</v>
      </c>
      <c r="BH1204">
        <v>1</v>
      </c>
      <c r="BI1204">
        <v>0.96296300000000001</v>
      </c>
      <c r="BJ1204">
        <v>0.96296300000000001</v>
      </c>
      <c r="BK1204" t="s">
        <v>125</v>
      </c>
      <c r="BL1204">
        <v>0.92857100000000004</v>
      </c>
      <c r="BM1204">
        <v>0.92857100000000004</v>
      </c>
      <c r="BN1204" t="s">
        <v>125</v>
      </c>
      <c r="BO1204" t="s">
        <v>125</v>
      </c>
      <c r="BP1204" t="s">
        <v>125</v>
      </c>
      <c r="BQ1204" t="s">
        <v>125</v>
      </c>
      <c r="BR1204">
        <v>0.222222</v>
      </c>
      <c r="BS1204">
        <v>15.555555999999999</v>
      </c>
      <c r="BT1204">
        <v>50</v>
      </c>
      <c r="BU1204">
        <v>0.222222</v>
      </c>
      <c r="BV1204">
        <v>15.555555999999999</v>
      </c>
      <c r="BW1204">
        <v>50</v>
      </c>
      <c r="BX1204" t="s">
        <v>125</v>
      </c>
      <c r="BY1204" t="s">
        <v>125</v>
      </c>
      <c r="BZ1204" t="s">
        <v>125</v>
      </c>
      <c r="CA1204" t="s">
        <v>125</v>
      </c>
      <c r="CB1204" t="s">
        <v>125</v>
      </c>
      <c r="CC1204" t="s">
        <v>125</v>
      </c>
      <c r="CD1204">
        <v>0.45833299999999999</v>
      </c>
      <c r="CE1204">
        <v>24.379432999999999</v>
      </c>
      <c r="CF1204">
        <v>50</v>
      </c>
      <c r="CG1204" t="s">
        <v>125</v>
      </c>
      <c r="CH1204" t="s">
        <v>125</v>
      </c>
      <c r="CI1204" t="s">
        <v>125</v>
      </c>
      <c r="CJ1204" t="s">
        <v>125</v>
      </c>
      <c r="CK1204" t="s">
        <v>125</v>
      </c>
      <c r="CL1204" t="s">
        <v>125</v>
      </c>
      <c r="CM1204" t="s">
        <v>125</v>
      </c>
      <c r="CN1204" t="s">
        <v>125</v>
      </c>
      <c r="CO1204" t="s">
        <v>125</v>
      </c>
      <c r="CP1204" t="s">
        <v>125</v>
      </c>
      <c r="CQ1204" t="s">
        <v>125</v>
      </c>
      <c r="CR1204" t="s">
        <v>125</v>
      </c>
      <c r="CS1204">
        <v>0</v>
      </c>
      <c r="CT1204">
        <v>50</v>
      </c>
      <c r="CU1204">
        <v>1</v>
      </c>
      <c r="CV1204">
        <v>50</v>
      </c>
      <c r="CW1204">
        <v>50</v>
      </c>
      <c r="CX1204" t="s">
        <v>125</v>
      </c>
      <c r="CY1204" t="s">
        <v>125</v>
      </c>
      <c r="CZ1204" t="s">
        <v>125</v>
      </c>
      <c r="DA1204" t="s">
        <v>125</v>
      </c>
      <c r="DB1204" t="s">
        <v>125</v>
      </c>
      <c r="DC1204" t="s">
        <v>125</v>
      </c>
      <c r="DD1204" t="s">
        <v>125</v>
      </c>
      <c r="DE1204">
        <v>1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Q1204" t="s">
        <v>126</v>
      </c>
    </row>
    <row r="1205" spans="1:121" x14ac:dyDescent="0.15">
      <c r="A1205">
        <v>2018</v>
      </c>
      <c r="B1205" t="s">
        <v>306</v>
      </c>
      <c r="C1205" t="str">
        <f t="shared" ref="C1205:C1221" si="56">"9000016"</f>
        <v>9000016</v>
      </c>
      <c r="D1205" t="s">
        <v>1353</v>
      </c>
      <c r="E1205" t="str">
        <f>"9001516"</f>
        <v>9001516</v>
      </c>
      <c r="F1205" t="s">
        <v>1354</v>
      </c>
      <c r="G1205">
        <v>9</v>
      </c>
      <c r="H1205">
        <v>12</v>
      </c>
      <c r="I1205" t="s">
        <v>336</v>
      </c>
      <c r="J1205" t="s">
        <v>331</v>
      </c>
      <c r="K1205">
        <v>961.37036699999999</v>
      </c>
      <c r="L1205">
        <v>1550</v>
      </c>
      <c r="M1205">
        <v>62.023895000000003</v>
      </c>
      <c r="N1205">
        <v>4</v>
      </c>
      <c r="O1205">
        <v>0</v>
      </c>
      <c r="P1205">
        <v>40.707483000000003</v>
      </c>
      <c r="Q1205">
        <v>81.414966000000007</v>
      </c>
      <c r="R1205">
        <v>150</v>
      </c>
      <c r="S1205">
        <v>39.842261999999998</v>
      </c>
      <c r="T1205">
        <v>43.476190000000003</v>
      </c>
      <c r="U1205">
        <v>79.684523999999996</v>
      </c>
      <c r="V1205">
        <v>150</v>
      </c>
      <c r="W1205">
        <v>37.265306000000002</v>
      </c>
      <c r="X1205">
        <v>74.530612000000005</v>
      </c>
      <c r="Y1205">
        <v>150</v>
      </c>
      <c r="Z1205">
        <v>38.238095000000001</v>
      </c>
      <c r="AA1205">
        <v>36.961309999999997</v>
      </c>
      <c r="AB1205">
        <v>73.922618999999997</v>
      </c>
      <c r="AC1205">
        <v>150</v>
      </c>
      <c r="AD1205">
        <v>45.874465999999998</v>
      </c>
      <c r="AE1205">
        <v>61.165953999999999</v>
      </c>
      <c r="AF1205">
        <v>100</v>
      </c>
      <c r="AG1205">
        <v>45.676923000000002</v>
      </c>
      <c r="AH1205">
        <v>46.513575000000003</v>
      </c>
      <c r="AI1205">
        <v>60.902563999999998</v>
      </c>
      <c r="AJ1205">
        <v>100</v>
      </c>
      <c r="AK1205">
        <v>3.63</v>
      </c>
      <c r="AL1205">
        <v>1.27</v>
      </c>
      <c r="AM1205">
        <v>0.83</v>
      </c>
      <c r="AN1205" t="s">
        <v>125</v>
      </c>
      <c r="AO1205" t="s">
        <v>125</v>
      </c>
      <c r="AP1205" t="s">
        <v>125</v>
      </c>
      <c r="AQ1205" t="s">
        <v>125</v>
      </c>
      <c r="AR1205" t="s">
        <v>125</v>
      </c>
      <c r="AS1205" t="s">
        <v>125</v>
      </c>
      <c r="AT1205" t="s">
        <v>125</v>
      </c>
      <c r="AU1205" t="s">
        <v>125</v>
      </c>
      <c r="AV1205" t="s">
        <v>125</v>
      </c>
      <c r="AW1205" t="s">
        <v>125</v>
      </c>
      <c r="AX1205" t="s">
        <v>125</v>
      </c>
      <c r="AY1205" t="s">
        <v>125</v>
      </c>
      <c r="AZ1205" t="s">
        <v>125</v>
      </c>
      <c r="BA1205" t="s">
        <v>125</v>
      </c>
      <c r="BB1205">
        <v>0.41484199999999999</v>
      </c>
      <c r="BC1205">
        <v>20.742099</v>
      </c>
      <c r="BD1205">
        <v>50</v>
      </c>
      <c r="BE1205">
        <v>0.51928200000000002</v>
      </c>
      <c r="BF1205">
        <v>25.964088</v>
      </c>
      <c r="BG1205">
        <v>50</v>
      </c>
      <c r="BH1205">
        <v>0</v>
      </c>
      <c r="BI1205">
        <v>0.99324299999999999</v>
      </c>
      <c r="BJ1205">
        <v>0.99114999999999998</v>
      </c>
      <c r="BK1205">
        <v>1</v>
      </c>
      <c r="BL1205">
        <v>0.99324299999999999</v>
      </c>
      <c r="BM1205">
        <v>0.99114999999999998</v>
      </c>
      <c r="BN1205">
        <v>1</v>
      </c>
      <c r="BO1205">
        <v>0.97297299999999998</v>
      </c>
      <c r="BP1205">
        <v>0.97345099999999996</v>
      </c>
      <c r="BQ1205">
        <v>0.97142899999999999</v>
      </c>
      <c r="BR1205">
        <v>0.18126900000000001</v>
      </c>
      <c r="BS1205">
        <v>23.746224000000002</v>
      </c>
      <c r="BT1205">
        <v>50</v>
      </c>
      <c r="BU1205">
        <v>0.20297999999999999</v>
      </c>
      <c r="BV1205">
        <v>19.404097</v>
      </c>
      <c r="BW1205">
        <v>50</v>
      </c>
      <c r="BX1205">
        <v>0.99659900000000001</v>
      </c>
      <c r="BY1205">
        <v>50</v>
      </c>
      <c r="BZ1205">
        <v>50</v>
      </c>
      <c r="CA1205">
        <v>2.0407999999999999E-2</v>
      </c>
      <c r="CB1205">
        <v>1.360544</v>
      </c>
      <c r="CC1205">
        <v>50</v>
      </c>
      <c r="CD1205">
        <v>0.99444399999999999</v>
      </c>
      <c r="CE1205">
        <v>50</v>
      </c>
      <c r="CF1205">
        <v>50</v>
      </c>
      <c r="CG1205">
        <v>0.98837200000000003</v>
      </c>
      <c r="CH1205">
        <v>100</v>
      </c>
      <c r="CI1205">
        <v>100</v>
      </c>
      <c r="CJ1205">
        <v>0</v>
      </c>
      <c r="CK1205">
        <v>0.99358999999999997</v>
      </c>
      <c r="CL1205">
        <v>100</v>
      </c>
      <c r="CM1205">
        <v>100</v>
      </c>
      <c r="CN1205">
        <v>0.55232599999999998</v>
      </c>
      <c r="CO1205">
        <v>73.643411</v>
      </c>
      <c r="CP1205">
        <v>100</v>
      </c>
      <c r="CQ1205">
        <v>0.338889</v>
      </c>
      <c r="CR1205">
        <v>0.95744700000000005</v>
      </c>
      <c r="CS1205">
        <v>22.592593000000001</v>
      </c>
      <c r="CT1205">
        <v>50</v>
      </c>
      <c r="CU1205">
        <v>0.50755300000000003</v>
      </c>
      <c r="CV1205">
        <v>42.296073</v>
      </c>
      <c r="CW1205">
        <v>50</v>
      </c>
      <c r="CX1205">
        <v>0.99358999999999997</v>
      </c>
      <c r="CY1205">
        <v>0.94</v>
      </c>
      <c r="CZ1205">
        <v>-5.3589999999999999E-2</v>
      </c>
      <c r="DA1205">
        <v>15.314097</v>
      </c>
      <c r="DB1205">
        <v>17.400950000000002</v>
      </c>
      <c r="DC1205">
        <v>16.332519999999999</v>
      </c>
      <c r="DD1205">
        <v>7.9891730000000001</v>
      </c>
      <c r="DE1205">
        <v>0</v>
      </c>
      <c r="DF1205" t="s">
        <v>385</v>
      </c>
      <c r="DG1205" t="s">
        <v>386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Q1205" t="s">
        <v>126</v>
      </c>
    </row>
    <row r="1206" spans="1:121" x14ac:dyDescent="0.15">
      <c r="A1206">
        <v>2018</v>
      </c>
      <c r="B1206" t="s">
        <v>306</v>
      </c>
      <c r="C1206" t="str">
        <f t="shared" si="56"/>
        <v>9000016</v>
      </c>
      <c r="D1206" t="s">
        <v>1355</v>
      </c>
      <c r="E1206" t="str">
        <f>"9001116"</f>
        <v>9001116</v>
      </c>
      <c r="F1206" t="s">
        <v>1354</v>
      </c>
      <c r="G1206">
        <v>9</v>
      </c>
      <c r="H1206">
        <v>12</v>
      </c>
      <c r="I1206" t="s">
        <v>336</v>
      </c>
      <c r="J1206" t="s">
        <v>331</v>
      </c>
      <c r="K1206">
        <v>1010.875808</v>
      </c>
      <c r="L1206">
        <v>1550</v>
      </c>
      <c r="M1206">
        <v>65.217793999999998</v>
      </c>
      <c r="N1206">
        <v>3</v>
      </c>
      <c r="O1206">
        <v>0</v>
      </c>
      <c r="P1206">
        <v>44.339114000000002</v>
      </c>
      <c r="Q1206">
        <v>88.678227000000007</v>
      </c>
      <c r="R1206">
        <v>150</v>
      </c>
      <c r="S1206">
        <v>43.468598999999998</v>
      </c>
      <c r="T1206">
        <v>47.771428999999998</v>
      </c>
      <c r="U1206">
        <v>86.937197999999995</v>
      </c>
      <c r="V1206">
        <v>150</v>
      </c>
      <c r="W1206">
        <v>40.343930999999998</v>
      </c>
      <c r="X1206">
        <v>80.687860999999998</v>
      </c>
      <c r="Y1206">
        <v>150</v>
      </c>
      <c r="Z1206">
        <v>43.423810000000003</v>
      </c>
      <c r="AA1206">
        <v>39.562801999999998</v>
      </c>
      <c r="AB1206">
        <v>79.125603999999996</v>
      </c>
      <c r="AC1206">
        <v>150</v>
      </c>
      <c r="AD1206">
        <v>40.417453999999999</v>
      </c>
      <c r="AE1206">
        <v>53.889938999999998</v>
      </c>
      <c r="AF1206">
        <v>100</v>
      </c>
      <c r="AG1206">
        <v>40.084221999999997</v>
      </c>
      <c r="AH1206">
        <v>41.760181000000003</v>
      </c>
      <c r="AI1206">
        <v>53.445630000000001</v>
      </c>
      <c r="AJ1206">
        <v>100</v>
      </c>
      <c r="AK1206">
        <v>4.3</v>
      </c>
      <c r="AL1206">
        <v>3.86</v>
      </c>
      <c r="AM1206">
        <v>1.67</v>
      </c>
      <c r="AN1206" t="s">
        <v>125</v>
      </c>
      <c r="AO1206" t="s">
        <v>125</v>
      </c>
      <c r="AP1206" t="s">
        <v>125</v>
      </c>
      <c r="AQ1206" t="s">
        <v>125</v>
      </c>
      <c r="AR1206" t="s">
        <v>125</v>
      </c>
      <c r="AS1206" t="s">
        <v>125</v>
      </c>
      <c r="AT1206" t="s">
        <v>125</v>
      </c>
      <c r="AU1206" t="s">
        <v>125</v>
      </c>
      <c r="AV1206" t="s">
        <v>125</v>
      </c>
      <c r="AW1206" t="s">
        <v>125</v>
      </c>
      <c r="AX1206" t="s">
        <v>125</v>
      </c>
      <c r="AY1206" t="s">
        <v>125</v>
      </c>
      <c r="AZ1206" t="s">
        <v>125</v>
      </c>
      <c r="BA1206" t="s">
        <v>125</v>
      </c>
      <c r="BB1206">
        <v>0.38096400000000002</v>
      </c>
      <c r="BC1206">
        <v>19.048192</v>
      </c>
      <c r="BD1206">
        <v>50</v>
      </c>
      <c r="BE1206">
        <v>0.54889100000000002</v>
      </c>
      <c r="BF1206">
        <v>27.444566999999999</v>
      </c>
      <c r="BG1206">
        <v>50</v>
      </c>
      <c r="BH1206">
        <v>0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0.169128</v>
      </c>
      <c r="BS1206">
        <v>26.174496999999999</v>
      </c>
      <c r="BT1206">
        <v>50</v>
      </c>
      <c r="BU1206">
        <v>0.193858</v>
      </c>
      <c r="BV1206">
        <v>21.228407000000001</v>
      </c>
      <c r="BW1206">
        <v>50</v>
      </c>
      <c r="BX1206">
        <v>1</v>
      </c>
      <c r="BY1206">
        <v>50</v>
      </c>
      <c r="BZ1206">
        <v>50</v>
      </c>
      <c r="CA1206">
        <v>6.1765E-2</v>
      </c>
      <c r="CB1206">
        <v>4.1176469999999998</v>
      </c>
      <c r="CC1206">
        <v>50</v>
      </c>
      <c r="CD1206">
        <v>1</v>
      </c>
      <c r="CE1206">
        <v>50</v>
      </c>
      <c r="CF1206">
        <v>50</v>
      </c>
      <c r="CG1206">
        <v>0.96045199999999997</v>
      </c>
      <c r="CH1206">
        <v>100</v>
      </c>
      <c r="CI1206">
        <v>100</v>
      </c>
      <c r="CJ1206">
        <v>0</v>
      </c>
      <c r="CK1206">
        <v>0.974194</v>
      </c>
      <c r="CL1206">
        <v>100</v>
      </c>
      <c r="CM1206">
        <v>100</v>
      </c>
      <c r="CN1206">
        <v>0.58823499999999995</v>
      </c>
      <c r="CO1206">
        <v>78.431372999999994</v>
      </c>
      <c r="CP1206">
        <v>100</v>
      </c>
      <c r="CQ1206">
        <v>0.625</v>
      </c>
      <c r="CR1206">
        <v>1.020408</v>
      </c>
      <c r="CS1206">
        <v>41.666666999999997</v>
      </c>
      <c r="CT1206">
        <v>50</v>
      </c>
      <c r="CU1206">
        <v>1</v>
      </c>
      <c r="CV1206">
        <v>50</v>
      </c>
      <c r="CW1206">
        <v>50</v>
      </c>
      <c r="CX1206">
        <v>0.974194</v>
      </c>
      <c r="CY1206">
        <v>0.94</v>
      </c>
      <c r="CZ1206">
        <v>-3.4194000000000002E-2</v>
      </c>
      <c r="DA1206">
        <v>15.314097</v>
      </c>
      <c r="DB1206">
        <v>17.400950000000002</v>
      </c>
      <c r="DC1206">
        <v>16.332519999999999</v>
      </c>
      <c r="DD1206">
        <v>7.9891730000000001</v>
      </c>
      <c r="DE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Q1206" t="s">
        <v>126</v>
      </c>
    </row>
    <row r="1207" spans="1:121" x14ac:dyDescent="0.15">
      <c r="A1207">
        <v>2018</v>
      </c>
      <c r="B1207" t="s">
        <v>306</v>
      </c>
      <c r="C1207" t="str">
        <f t="shared" si="56"/>
        <v>9000016</v>
      </c>
      <c r="D1207" t="s">
        <v>1356</v>
      </c>
      <c r="E1207" t="str">
        <f>"9001916"</f>
        <v>9001916</v>
      </c>
      <c r="F1207" t="s">
        <v>1354</v>
      </c>
      <c r="G1207">
        <v>9</v>
      </c>
      <c r="H1207">
        <v>12</v>
      </c>
      <c r="I1207" t="s">
        <v>336</v>
      </c>
      <c r="J1207" t="s">
        <v>331</v>
      </c>
      <c r="K1207">
        <v>957.77392299999997</v>
      </c>
      <c r="L1207">
        <v>1550</v>
      </c>
      <c r="M1207">
        <v>61.791865999999999</v>
      </c>
      <c r="N1207">
        <v>3</v>
      </c>
      <c r="O1207">
        <v>0</v>
      </c>
      <c r="P1207">
        <v>41.568286999999998</v>
      </c>
      <c r="Q1207">
        <v>83.136573999999996</v>
      </c>
      <c r="R1207">
        <v>150</v>
      </c>
      <c r="S1207">
        <v>39.580702000000002</v>
      </c>
      <c r="T1207">
        <v>45.421768999999998</v>
      </c>
      <c r="U1207">
        <v>79.161404000000005</v>
      </c>
      <c r="V1207">
        <v>150</v>
      </c>
      <c r="W1207">
        <v>38.741897999999999</v>
      </c>
      <c r="X1207">
        <v>77.483795999999998</v>
      </c>
      <c r="Y1207">
        <v>150</v>
      </c>
      <c r="Z1207">
        <v>42.690475999999997</v>
      </c>
      <c r="AA1207">
        <v>36.705263000000002</v>
      </c>
      <c r="AB1207">
        <v>73.410526000000004</v>
      </c>
      <c r="AC1207">
        <v>150</v>
      </c>
      <c r="AD1207">
        <v>45.380251000000001</v>
      </c>
      <c r="AE1207">
        <v>60.507001000000002</v>
      </c>
      <c r="AF1207">
        <v>100</v>
      </c>
      <c r="AG1207">
        <v>42.107526999999997</v>
      </c>
      <c r="AH1207">
        <v>51.721153999999999</v>
      </c>
      <c r="AI1207">
        <v>56.143369</v>
      </c>
      <c r="AJ1207">
        <v>100</v>
      </c>
      <c r="AK1207">
        <v>5.84</v>
      </c>
      <c r="AL1207">
        <v>5.98</v>
      </c>
      <c r="AM1207">
        <v>9.61</v>
      </c>
      <c r="AN1207" t="s">
        <v>125</v>
      </c>
      <c r="AO1207" t="s">
        <v>125</v>
      </c>
      <c r="AP1207" t="s">
        <v>125</v>
      </c>
      <c r="AQ1207" t="s">
        <v>125</v>
      </c>
      <c r="AR1207" t="s">
        <v>125</v>
      </c>
      <c r="AS1207" t="s">
        <v>125</v>
      </c>
      <c r="AT1207" t="s">
        <v>125</v>
      </c>
      <c r="AU1207" t="s">
        <v>125</v>
      </c>
      <c r="AV1207" t="s">
        <v>125</v>
      </c>
      <c r="AW1207" t="s">
        <v>125</v>
      </c>
      <c r="AX1207" t="s">
        <v>125</v>
      </c>
      <c r="AY1207" t="s">
        <v>125</v>
      </c>
      <c r="AZ1207" t="s">
        <v>125</v>
      </c>
      <c r="BA1207" t="s">
        <v>125</v>
      </c>
      <c r="BB1207">
        <v>0.438029</v>
      </c>
      <c r="BC1207">
        <v>21.901471999999998</v>
      </c>
      <c r="BD1207">
        <v>50</v>
      </c>
      <c r="BE1207">
        <v>0.52172600000000002</v>
      </c>
      <c r="BF1207">
        <v>26.086300999999999</v>
      </c>
      <c r="BG1207">
        <v>50</v>
      </c>
      <c r="BH1207">
        <v>0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0.97931000000000001</v>
      </c>
      <c r="BP1207">
        <v>0.97916700000000001</v>
      </c>
      <c r="BQ1207">
        <v>0.97959200000000002</v>
      </c>
      <c r="BR1207">
        <v>9.6978999999999996E-2</v>
      </c>
      <c r="BS1207">
        <v>40.604134000000002</v>
      </c>
      <c r="BT1207">
        <v>50</v>
      </c>
      <c r="BU1207">
        <v>0.117371</v>
      </c>
      <c r="BV1207">
        <v>36.525821999999998</v>
      </c>
      <c r="BW1207">
        <v>50</v>
      </c>
      <c r="BX1207">
        <v>1</v>
      </c>
      <c r="BY1207">
        <v>50</v>
      </c>
      <c r="BZ1207">
        <v>50</v>
      </c>
      <c r="CA1207">
        <v>5.5147000000000002E-2</v>
      </c>
      <c r="CB1207">
        <v>3.6764709999999998</v>
      </c>
      <c r="CC1207">
        <v>50</v>
      </c>
      <c r="CD1207">
        <v>0.93814399999999998</v>
      </c>
      <c r="CE1207">
        <v>49.901294</v>
      </c>
      <c r="CF1207">
        <v>50</v>
      </c>
      <c r="CG1207">
        <v>0.95744700000000005</v>
      </c>
      <c r="CH1207">
        <v>100</v>
      </c>
      <c r="CI1207">
        <v>100</v>
      </c>
      <c r="CJ1207">
        <v>0</v>
      </c>
      <c r="CK1207">
        <v>0.99166699999999997</v>
      </c>
      <c r="CL1207">
        <v>100</v>
      </c>
      <c r="CM1207">
        <v>100</v>
      </c>
      <c r="CN1207">
        <v>0.367647</v>
      </c>
      <c r="CO1207">
        <v>49.019607999999998</v>
      </c>
      <c r="CP1207">
        <v>100</v>
      </c>
      <c r="CQ1207">
        <v>0.369697</v>
      </c>
      <c r="CR1207">
        <v>1.01227</v>
      </c>
      <c r="CS1207">
        <v>24.646464999999999</v>
      </c>
      <c r="CT1207">
        <v>50</v>
      </c>
      <c r="CU1207">
        <v>0.306836</v>
      </c>
      <c r="CV1207">
        <v>25.569686999999998</v>
      </c>
      <c r="CW1207">
        <v>50</v>
      </c>
      <c r="CX1207">
        <v>0.99166699999999997</v>
      </c>
      <c r="CY1207">
        <v>0.94</v>
      </c>
      <c r="CZ1207">
        <v>-5.1666999999999998E-2</v>
      </c>
      <c r="DA1207">
        <v>15.314097</v>
      </c>
      <c r="DB1207">
        <v>17.400950000000002</v>
      </c>
      <c r="DC1207">
        <v>16.332519999999999</v>
      </c>
      <c r="DD1207">
        <v>7.9891730000000001</v>
      </c>
      <c r="DE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Q1207" t="s">
        <v>126</v>
      </c>
    </row>
    <row r="1208" spans="1:121" x14ac:dyDescent="0.15">
      <c r="A1208">
        <v>2018</v>
      </c>
      <c r="B1208" t="s">
        <v>306</v>
      </c>
      <c r="C1208" t="str">
        <f t="shared" si="56"/>
        <v>9000016</v>
      </c>
      <c r="D1208" t="s">
        <v>1357</v>
      </c>
      <c r="E1208" t="str">
        <f>"9001416"</f>
        <v>9001416</v>
      </c>
      <c r="F1208" t="s">
        <v>1354</v>
      </c>
      <c r="G1208">
        <v>9</v>
      </c>
      <c r="H1208">
        <v>12</v>
      </c>
      <c r="I1208" t="s">
        <v>336</v>
      </c>
      <c r="J1208" t="s">
        <v>331</v>
      </c>
      <c r="K1208">
        <v>956.10796300000004</v>
      </c>
      <c r="L1208">
        <v>1550</v>
      </c>
      <c r="M1208">
        <v>61.684384999999999</v>
      </c>
      <c r="N1208">
        <v>4</v>
      </c>
      <c r="O1208">
        <v>0</v>
      </c>
      <c r="P1208">
        <v>40.049095999999999</v>
      </c>
      <c r="Q1208">
        <v>80.098191</v>
      </c>
      <c r="R1208">
        <v>150</v>
      </c>
      <c r="S1208">
        <v>38.460572999999997</v>
      </c>
      <c r="T1208">
        <v>44.152777999999998</v>
      </c>
      <c r="U1208">
        <v>76.921147000000005</v>
      </c>
      <c r="V1208">
        <v>150</v>
      </c>
      <c r="W1208">
        <v>35.984496</v>
      </c>
      <c r="X1208">
        <v>71.968992</v>
      </c>
      <c r="Y1208">
        <v>150</v>
      </c>
      <c r="Z1208">
        <v>41.351852000000001</v>
      </c>
      <c r="AA1208">
        <v>33.90681</v>
      </c>
      <c r="AB1208">
        <v>67.81362</v>
      </c>
      <c r="AC1208">
        <v>150</v>
      </c>
      <c r="AD1208">
        <v>38.882461999999997</v>
      </c>
      <c r="AE1208">
        <v>51.843282000000002</v>
      </c>
      <c r="AF1208">
        <v>100</v>
      </c>
      <c r="AG1208">
        <v>37.259290999999997</v>
      </c>
      <c r="AH1208">
        <v>42.895299000000001</v>
      </c>
      <c r="AI1208">
        <v>49.679054999999998</v>
      </c>
      <c r="AJ1208">
        <v>100</v>
      </c>
      <c r="AK1208">
        <v>5.69</v>
      </c>
      <c r="AL1208">
        <v>7.44</v>
      </c>
      <c r="AM1208">
        <v>5.63</v>
      </c>
      <c r="AN1208" t="s">
        <v>125</v>
      </c>
      <c r="AO1208" t="s">
        <v>125</v>
      </c>
      <c r="AP1208" t="s">
        <v>125</v>
      </c>
      <c r="AQ1208" t="s">
        <v>125</v>
      </c>
      <c r="AR1208" t="s">
        <v>125</v>
      </c>
      <c r="AS1208" t="s">
        <v>125</v>
      </c>
      <c r="AT1208" t="s">
        <v>125</v>
      </c>
      <c r="AU1208" t="s">
        <v>125</v>
      </c>
      <c r="AV1208" t="s">
        <v>125</v>
      </c>
      <c r="AW1208" t="s">
        <v>125</v>
      </c>
      <c r="AX1208" t="s">
        <v>125</v>
      </c>
      <c r="AY1208" t="s">
        <v>125</v>
      </c>
      <c r="AZ1208" t="s">
        <v>125</v>
      </c>
      <c r="BA1208" t="s">
        <v>125</v>
      </c>
      <c r="BB1208">
        <v>0.350192</v>
      </c>
      <c r="BC1208">
        <v>17.509588000000001</v>
      </c>
      <c r="BD1208">
        <v>50</v>
      </c>
      <c r="BE1208">
        <v>0.52641899999999997</v>
      </c>
      <c r="BF1208">
        <v>26.320936</v>
      </c>
      <c r="BG1208">
        <v>50</v>
      </c>
      <c r="BH1208">
        <v>0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0.97674399999999995</v>
      </c>
      <c r="BP1208">
        <v>0.96774199999999999</v>
      </c>
      <c r="BQ1208">
        <v>1</v>
      </c>
      <c r="BR1208">
        <v>0.105735</v>
      </c>
      <c r="BS1208">
        <v>38.853046999999997</v>
      </c>
      <c r="BT1208">
        <v>50</v>
      </c>
      <c r="BU1208">
        <v>0.129442</v>
      </c>
      <c r="BV1208">
        <v>34.111674999999998</v>
      </c>
      <c r="BW1208">
        <v>50</v>
      </c>
      <c r="BX1208">
        <v>1</v>
      </c>
      <c r="BY1208">
        <v>50</v>
      </c>
      <c r="BZ1208">
        <v>50</v>
      </c>
      <c r="CA1208">
        <v>2.1552000000000002E-2</v>
      </c>
      <c r="CB1208">
        <v>1.436782</v>
      </c>
      <c r="CC1208">
        <v>50</v>
      </c>
      <c r="CD1208">
        <v>0.97237600000000002</v>
      </c>
      <c r="CE1208">
        <v>50</v>
      </c>
      <c r="CF1208">
        <v>50</v>
      </c>
      <c r="CG1208">
        <v>0.95833299999999999</v>
      </c>
      <c r="CH1208">
        <v>100</v>
      </c>
      <c r="CI1208">
        <v>100</v>
      </c>
      <c r="CJ1208">
        <v>0</v>
      </c>
      <c r="CK1208">
        <v>0.92452800000000002</v>
      </c>
      <c r="CL1208">
        <v>98.354074999999995</v>
      </c>
      <c r="CM1208">
        <v>100</v>
      </c>
      <c r="CN1208">
        <v>0.48275899999999999</v>
      </c>
      <c r="CO1208">
        <v>64.367816000000005</v>
      </c>
      <c r="CP1208">
        <v>100</v>
      </c>
      <c r="CQ1208">
        <v>0.41095900000000002</v>
      </c>
      <c r="CR1208">
        <v>1.0068969999999999</v>
      </c>
      <c r="CS1208">
        <v>27.397259999999999</v>
      </c>
      <c r="CT1208">
        <v>50</v>
      </c>
      <c r="CU1208">
        <v>0.59319</v>
      </c>
      <c r="CV1208">
        <v>49.432496999999998</v>
      </c>
      <c r="CW1208">
        <v>50</v>
      </c>
      <c r="CX1208">
        <v>0.92452800000000002</v>
      </c>
      <c r="CY1208" t="s">
        <v>125</v>
      </c>
      <c r="CZ1208" t="s">
        <v>125</v>
      </c>
      <c r="DA1208">
        <v>15.314097</v>
      </c>
      <c r="DB1208">
        <v>17.400950000000002</v>
      </c>
      <c r="DC1208">
        <v>16.332519999999999</v>
      </c>
      <c r="DD1208">
        <v>7.9891730000000001</v>
      </c>
      <c r="DE1208">
        <v>0</v>
      </c>
      <c r="DF1208" t="s">
        <v>385</v>
      </c>
      <c r="DG1208" t="s">
        <v>386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Q1208" t="s">
        <v>126</v>
      </c>
    </row>
    <row r="1209" spans="1:121" x14ac:dyDescent="0.15">
      <c r="A1209">
        <v>2018</v>
      </c>
      <c r="B1209" t="s">
        <v>306</v>
      </c>
      <c r="C1209" t="str">
        <f t="shared" si="56"/>
        <v>9000016</v>
      </c>
      <c r="D1209" t="s">
        <v>1358</v>
      </c>
      <c r="E1209" t="str">
        <f>"9002716"</f>
        <v>9002716</v>
      </c>
      <c r="F1209" t="s">
        <v>1354</v>
      </c>
      <c r="G1209">
        <v>9</v>
      </c>
      <c r="H1209">
        <v>12</v>
      </c>
      <c r="I1209" t="s">
        <v>336</v>
      </c>
      <c r="J1209" t="s">
        <v>331</v>
      </c>
      <c r="K1209">
        <v>986.80451700000003</v>
      </c>
      <c r="L1209">
        <v>1450</v>
      </c>
      <c r="M1209">
        <v>68.055484000000007</v>
      </c>
      <c r="N1209">
        <v>3</v>
      </c>
      <c r="O1209">
        <v>0</v>
      </c>
      <c r="P1209">
        <v>44.724089999999997</v>
      </c>
      <c r="Q1209">
        <v>89.448178999999996</v>
      </c>
      <c r="R1209">
        <v>150</v>
      </c>
      <c r="S1209">
        <v>42.124031000000002</v>
      </c>
      <c r="T1209">
        <v>51.5</v>
      </c>
      <c r="U1209">
        <v>84.248062000000004</v>
      </c>
      <c r="V1209">
        <v>150</v>
      </c>
      <c r="W1209">
        <v>44.631653</v>
      </c>
      <c r="X1209">
        <v>89.263305000000003</v>
      </c>
      <c r="Y1209">
        <v>150</v>
      </c>
      <c r="Z1209">
        <v>47.777777999999998</v>
      </c>
      <c r="AA1209">
        <v>43.424419</v>
      </c>
      <c r="AB1209">
        <v>86.848837000000003</v>
      </c>
      <c r="AC1209">
        <v>150</v>
      </c>
      <c r="AD1209">
        <v>44.197436000000003</v>
      </c>
      <c r="AE1209">
        <v>58.929915000000001</v>
      </c>
      <c r="AF1209">
        <v>100</v>
      </c>
      <c r="AG1209">
        <v>40.95975</v>
      </c>
      <c r="AH1209">
        <v>52.386878000000003</v>
      </c>
      <c r="AI1209">
        <v>54.612999000000002</v>
      </c>
      <c r="AJ1209">
        <v>100</v>
      </c>
      <c r="AK1209">
        <v>9.3699999999999992</v>
      </c>
      <c r="AL1209">
        <v>4.3499999999999996</v>
      </c>
      <c r="AM1209">
        <v>11.42</v>
      </c>
      <c r="AN1209" t="s">
        <v>125</v>
      </c>
      <c r="AO1209" t="s">
        <v>125</v>
      </c>
      <c r="AP1209" t="s">
        <v>125</v>
      </c>
      <c r="AQ1209" t="s">
        <v>125</v>
      </c>
      <c r="AR1209" t="s">
        <v>125</v>
      </c>
      <c r="AS1209" t="s">
        <v>125</v>
      </c>
      <c r="AT1209" t="s">
        <v>125</v>
      </c>
      <c r="AU1209" t="s">
        <v>125</v>
      </c>
      <c r="AV1209" t="s">
        <v>125</v>
      </c>
      <c r="AW1209" t="s">
        <v>125</v>
      </c>
      <c r="AX1209" t="s">
        <v>125</v>
      </c>
      <c r="AY1209" t="s">
        <v>125</v>
      </c>
      <c r="AZ1209" t="s">
        <v>125</v>
      </c>
      <c r="BA1209" t="s">
        <v>125</v>
      </c>
      <c r="BB1209" t="s">
        <v>125</v>
      </c>
      <c r="BC1209" t="s">
        <v>125</v>
      </c>
      <c r="BD1209" t="s">
        <v>125</v>
      </c>
      <c r="BE1209" t="s">
        <v>125</v>
      </c>
      <c r="BF1209" t="s">
        <v>125</v>
      </c>
      <c r="BG1209" t="s">
        <v>125</v>
      </c>
      <c r="BH1209">
        <v>0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0.103004</v>
      </c>
      <c r="BS1209">
        <v>39.399141999999998</v>
      </c>
      <c r="BT1209">
        <v>50</v>
      </c>
      <c r="BU1209">
        <v>0.116719</v>
      </c>
      <c r="BV1209">
        <v>36.656151000000001</v>
      </c>
      <c r="BW1209">
        <v>50</v>
      </c>
      <c r="BX1209">
        <v>1</v>
      </c>
      <c r="BY1209">
        <v>50</v>
      </c>
      <c r="BZ1209">
        <v>50</v>
      </c>
      <c r="CA1209">
        <v>0.13270100000000001</v>
      </c>
      <c r="CB1209">
        <v>8.8467610000000008</v>
      </c>
      <c r="CC1209">
        <v>50</v>
      </c>
      <c r="CD1209">
        <v>1</v>
      </c>
      <c r="CE1209">
        <v>50</v>
      </c>
      <c r="CF1209">
        <v>50</v>
      </c>
      <c r="CG1209">
        <v>1</v>
      </c>
      <c r="CH1209">
        <v>100</v>
      </c>
      <c r="CI1209">
        <v>100</v>
      </c>
      <c r="CJ1209">
        <v>0</v>
      </c>
      <c r="CK1209">
        <v>0.96363600000000005</v>
      </c>
      <c r="CL1209">
        <v>100</v>
      </c>
      <c r="CM1209">
        <v>100</v>
      </c>
      <c r="CN1209">
        <v>0.52127699999999999</v>
      </c>
      <c r="CO1209">
        <v>69.503546</v>
      </c>
      <c r="CP1209">
        <v>100</v>
      </c>
      <c r="CQ1209">
        <v>0.28571400000000002</v>
      </c>
      <c r="CR1209">
        <v>1.0161290000000001</v>
      </c>
      <c r="CS1209">
        <v>19.047619000000001</v>
      </c>
      <c r="CT1209">
        <v>50</v>
      </c>
      <c r="CU1209">
        <v>0.62660899999999997</v>
      </c>
      <c r="CV1209">
        <v>50</v>
      </c>
      <c r="CW1209">
        <v>50</v>
      </c>
      <c r="CX1209">
        <v>0.96363600000000005</v>
      </c>
      <c r="CY1209">
        <v>0.94</v>
      </c>
      <c r="CZ1209">
        <v>-2.3636000000000001E-2</v>
      </c>
      <c r="DA1209">
        <v>15.314097</v>
      </c>
      <c r="DB1209">
        <v>17.400950000000002</v>
      </c>
      <c r="DC1209">
        <v>16.332519999999999</v>
      </c>
      <c r="DD1209">
        <v>7.9891730000000001</v>
      </c>
      <c r="DE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Q1209" t="s">
        <v>126</v>
      </c>
    </row>
    <row r="1210" spans="1:121" x14ac:dyDescent="0.15">
      <c r="A1210">
        <v>2018</v>
      </c>
      <c r="B1210" t="s">
        <v>306</v>
      </c>
      <c r="C1210" t="str">
        <f t="shared" si="56"/>
        <v>9000016</v>
      </c>
      <c r="D1210" t="s">
        <v>1359</v>
      </c>
      <c r="E1210" t="str">
        <f>"9002516"</f>
        <v>9002516</v>
      </c>
      <c r="F1210" t="s">
        <v>1354</v>
      </c>
      <c r="G1210">
        <v>9</v>
      </c>
      <c r="H1210">
        <v>12</v>
      </c>
      <c r="J1210" t="s">
        <v>331</v>
      </c>
      <c r="K1210">
        <v>1025.207095</v>
      </c>
      <c r="L1210">
        <v>1450</v>
      </c>
      <c r="M1210">
        <v>70.703937999999994</v>
      </c>
      <c r="N1210">
        <v>2</v>
      </c>
      <c r="O1210">
        <v>0</v>
      </c>
      <c r="P1210">
        <v>48.983567999999998</v>
      </c>
      <c r="Q1210">
        <v>97.967135999999996</v>
      </c>
      <c r="R1210">
        <v>150</v>
      </c>
      <c r="S1210">
        <v>47.192157000000002</v>
      </c>
      <c r="T1210">
        <v>51.654971000000003</v>
      </c>
      <c r="U1210">
        <v>94.384314000000003</v>
      </c>
      <c r="V1210">
        <v>150</v>
      </c>
      <c r="W1210">
        <v>42.179577000000002</v>
      </c>
      <c r="X1210">
        <v>84.359155000000001</v>
      </c>
      <c r="Y1210">
        <v>150</v>
      </c>
      <c r="Z1210">
        <v>43.967835999999998</v>
      </c>
      <c r="AA1210">
        <v>40.980392000000002</v>
      </c>
      <c r="AB1210">
        <v>81.960784000000004</v>
      </c>
      <c r="AC1210">
        <v>150</v>
      </c>
      <c r="AD1210">
        <v>54.183639999999997</v>
      </c>
      <c r="AE1210">
        <v>72.244854000000004</v>
      </c>
      <c r="AF1210">
        <v>100</v>
      </c>
      <c r="AG1210">
        <v>52.471493000000002</v>
      </c>
      <c r="AH1210">
        <v>56.736842000000003</v>
      </c>
      <c r="AI1210">
        <v>69.961990999999998</v>
      </c>
      <c r="AJ1210">
        <v>100</v>
      </c>
      <c r="AK1210">
        <v>4.46</v>
      </c>
      <c r="AL1210">
        <v>2.98</v>
      </c>
      <c r="AM1210">
        <v>4.26</v>
      </c>
      <c r="AN1210" t="s">
        <v>125</v>
      </c>
      <c r="AO1210" t="s">
        <v>125</v>
      </c>
      <c r="AP1210" t="s">
        <v>125</v>
      </c>
      <c r="AQ1210" t="s">
        <v>125</v>
      </c>
      <c r="AR1210" t="s">
        <v>125</v>
      </c>
      <c r="AS1210" t="s">
        <v>125</v>
      </c>
      <c r="AT1210" t="s">
        <v>125</v>
      </c>
      <c r="AU1210" t="s">
        <v>125</v>
      </c>
      <c r="AV1210" t="s">
        <v>125</v>
      </c>
      <c r="AW1210" t="s">
        <v>125</v>
      </c>
      <c r="AX1210" t="s">
        <v>125</v>
      </c>
      <c r="AY1210" t="s">
        <v>125</v>
      </c>
      <c r="AZ1210" t="s">
        <v>125</v>
      </c>
      <c r="BA1210" t="s">
        <v>125</v>
      </c>
      <c r="BB1210" t="s">
        <v>125</v>
      </c>
      <c r="BC1210" t="s">
        <v>125</v>
      </c>
      <c r="BD1210" t="s">
        <v>125</v>
      </c>
      <c r="BE1210" t="s">
        <v>125</v>
      </c>
      <c r="BF1210" t="s">
        <v>125</v>
      </c>
      <c r="BG1210" t="s">
        <v>125</v>
      </c>
      <c r="BH1210">
        <v>0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1</v>
      </c>
      <c r="BP1210">
        <v>1</v>
      </c>
      <c r="BQ1210">
        <v>1</v>
      </c>
      <c r="BR1210">
        <v>8.5859000000000005E-2</v>
      </c>
      <c r="BS1210">
        <v>42.828282999999999</v>
      </c>
      <c r="BT1210">
        <v>50</v>
      </c>
      <c r="BU1210">
        <v>0.11343300000000001</v>
      </c>
      <c r="BV1210">
        <v>37.313433000000003</v>
      </c>
      <c r="BW1210">
        <v>50</v>
      </c>
      <c r="BX1210">
        <v>1</v>
      </c>
      <c r="BY1210">
        <v>50</v>
      </c>
      <c r="BZ1210">
        <v>50</v>
      </c>
      <c r="CA1210">
        <v>8.7786000000000003E-2</v>
      </c>
      <c r="CB1210">
        <v>5.852417</v>
      </c>
      <c r="CC1210">
        <v>50</v>
      </c>
      <c r="CD1210">
        <v>1</v>
      </c>
      <c r="CE1210">
        <v>50</v>
      </c>
      <c r="CF1210">
        <v>50</v>
      </c>
      <c r="CG1210">
        <v>0.984375</v>
      </c>
      <c r="CH1210">
        <v>100</v>
      </c>
      <c r="CI1210">
        <v>100</v>
      </c>
      <c r="CJ1210">
        <v>0</v>
      </c>
      <c r="CK1210">
        <v>0.97916700000000001</v>
      </c>
      <c r="CL1210">
        <v>100</v>
      </c>
      <c r="CM1210">
        <v>100</v>
      </c>
      <c r="CN1210">
        <v>0.42519699999999999</v>
      </c>
      <c r="CO1210">
        <v>56.692912999999997</v>
      </c>
      <c r="CP1210">
        <v>100</v>
      </c>
      <c r="CQ1210">
        <v>0.52597400000000005</v>
      </c>
      <c r="CR1210">
        <v>1</v>
      </c>
      <c r="CS1210">
        <v>35.064934999999998</v>
      </c>
      <c r="CT1210">
        <v>50</v>
      </c>
      <c r="CU1210">
        <v>0.55892299999999995</v>
      </c>
      <c r="CV1210">
        <v>46.576880000000003</v>
      </c>
      <c r="CW1210">
        <v>50</v>
      </c>
      <c r="CX1210">
        <v>0.97916700000000001</v>
      </c>
      <c r="CY1210">
        <v>0.94</v>
      </c>
      <c r="CZ1210">
        <v>-3.9167E-2</v>
      </c>
      <c r="DA1210">
        <v>15.314097</v>
      </c>
      <c r="DB1210">
        <v>17.400950000000002</v>
      </c>
      <c r="DC1210">
        <v>16.332519999999999</v>
      </c>
      <c r="DD1210">
        <v>7.9891730000000001</v>
      </c>
      <c r="DE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Q1210" t="s">
        <v>126</v>
      </c>
    </row>
    <row r="1211" spans="1:121" x14ac:dyDescent="0.15">
      <c r="A1211">
        <v>2018</v>
      </c>
      <c r="B1211" t="s">
        <v>306</v>
      </c>
      <c r="C1211" t="str">
        <f t="shared" si="56"/>
        <v>9000016</v>
      </c>
      <c r="D1211" t="s">
        <v>1360</v>
      </c>
      <c r="E1211" t="str">
        <f>"9001716"</f>
        <v>9001716</v>
      </c>
      <c r="F1211" t="s">
        <v>1354</v>
      </c>
      <c r="G1211">
        <v>9</v>
      </c>
      <c r="H1211">
        <v>12</v>
      </c>
      <c r="J1211" t="s">
        <v>331</v>
      </c>
      <c r="K1211">
        <v>1114.385348</v>
      </c>
      <c r="L1211">
        <v>1550</v>
      </c>
      <c r="M1211">
        <v>71.895829000000006</v>
      </c>
      <c r="N1211">
        <v>2</v>
      </c>
      <c r="O1211">
        <v>0</v>
      </c>
      <c r="P1211">
        <v>50.999079000000002</v>
      </c>
      <c r="Q1211">
        <v>101.998158</v>
      </c>
      <c r="R1211">
        <v>150</v>
      </c>
      <c r="S1211">
        <v>48.255952000000001</v>
      </c>
      <c r="T1211">
        <v>55.451690999999997</v>
      </c>
      <c r="U1211">
        <v>96.511904999999999</v>
      </c>
      <c r="V1211">
        <v>150</v>
      </c>
      <c r="W1211">
        <v>46.825966999999999</v>
      </c>
      <c r="X1211">
        <v>93.651933999999997</v>
      </c>
      <c r="Y1211">
        <v>150</v>
      </c>
      <c r="Z1211">
        <v>52.582126000000002</v>
      </c>
      <c r="AA1211">
        <v>43.279761999999998</v>
      </c>
      <c r="AB1211">
        <v>86.559523999999996</v>
      </c>
      <c r="AC1211">
        <v>150</v>
      </c>
      <c r="AD1211">
        <v>54.491357000000001</v>
      </c>
      <c r="AE1211">
        <v>72.655142999999995</v>
      </c>
      <c r="AF1211">
        <v>100</v>
      </c>
      <c r="AG1211">
        <v>50.435426999999997</v>
      </c>
      <c r="AH1211">
        <v>60.898550999999998</v>
      </c>
      <c r="AI1211">
        <v>67.247236000000001</v>
      </c>
      <c r="AJ1211">
        <v>100</v>
      </c>
      <c r="AK1211">
        <v>7.19</v>
      </c>
      <c r="AL1211">
        <v>9.3000000000000007</v>
      </c>
      <c r="AM1211">
        <v>10.46</v>
      </c>
      <c r="AN1211" t="s">
        <v>125</v>
      </c>
      <c r="AO1211" t="s">
        <v>125</v>
      </c>
      <c r="AP1211" t="s">
        <v>125</v>
      </c>
      <c r="AQ1211" t="s">
        <v>125</v>
      </c>
      <c r="AR1211" t="s">
        <v>125</v>
      </c>
      <c r="AS1211" t="s">
        <v>125</v>
      </c>
      <c r="AT1211" t="s">
        <v>125</v>
      </c>
      <c r="AU1211" t="s">
        <v>125</v>
      </c>
      <c r="AV1211" t="s">
        <v>125</v>
      </c>
      <c r="AW1211" t="s">
        <v>125</v>
      </c>
      <c r="AX1211" t="s">
        <v>125</v>
      </c>
      <c r="AY1211" t="s">
        <v>125</v>
      </c>
      <c r="AZ1211" t="s">
        <v>125</v>
      </c>
      <c r="BA1211" t="s">
        <v>125</v>
      </c>
      <c r="BB1211">
        <v>0.54679999999999995</v>
      </c>
      <c r="BC1211">
        <v>27.339993</v>
      </c>
      <c r="BD1211">
        <v>50</v>
      </c>
      <c r="BE1211">
        <v>0.55245299999999997</v>
      </c>
      <c r="BF1211">
        <v>27.622644999999999</v>
      </c>
      <c r="BG1211">
        <v>50</v>
      </c>
      <c r="BH1211">
        <v>0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0.99441299999999999</v>
      </c>
      <c r="BP1211">
        <v>0.99090900000000004</v>
      </c>
      <c r="BQ1211">
        <v>1</v>
      </c>
      <c r="BR1211">
        <v>7.5471999999999997E-2</v>
      </c>
      <c r="BS1211">
        <v>44.905659999999997</v>
      </c>
      <c r="BT1211">
        <v>50</v>
      </c>
      <c r="BU1211">
        <v>8.3710000000000007E-2</v>
      </c>
      <c r="BV1211">
        <v>43.257919000000001</v>
      </c>
      <c r="BW1211">
        <v>50</v>
      </c>
      <c r="BX1211">
        <v>1</v>
      </c>
      <c r="BY1211">
        <v>50</v>
      </c>
      <c r="BZ1211">
        <v>50</v>
      </c>
      <c r="CA1211">
        <v>0.18571399999999999</v>
      </c>
      <c r="CB1211">
        <v>12.380952000000001</v>
      </c>
      <c r="CC1211">
        <v>50</v>
      </c>
      <c r="CD1211">
        <v>0.98499999999999999</v>
      </c>
      <c r="CE1211">
        <v>50</v>
      </c>
      <c r="CF1211">
        <v>50</v>
      </c>
      <c r="CG1211">
        <v>0.99363100000000004</v>
      </c>
      <c r="CH1211">
        <v>100</v>
      </c>
      <c r="CI1211">
        <v>100</v>
      </c>
      <c r="CJ1211">
        <v>0</v>
      </c>
      <c r="CK1211">
        <v>0.97435899999999998</v>
      </c>
      <c r="CL1211">
        <v>100</v>
      </c>
      <c r="CM1211">
        <v>100</v>
      </c>
      <c r="CN1211">
        <v>0.467949</v>
      </c>
      <c r="CO1211">
        <v>62.393161999999997</v>
      </c>
      <c r="CP1211">
        <v>100</v>
      </c>
      <c r="CQ1211">
        <v>0.450262</v>
      </c>
      <c r="CR1211">
        <v>0.99479200000000001</v>
      </c>
      <c r="CS1211">
        <v>30.017451999999999</v>
      </c>
      <c r="CT1211">
        <v>50</v>
      </c>
      <c r="CU1211">
        <v>0.57412399999999997</v>
      </c>
      <c r="CV1211">
        <v>47.843665999999999</v>
      </c>
      <c r="CW1211">
        <v>50</v>
      </c>
      <c r="CX1211">
        <v>0.97435899999999998</v>
      </c>
      <c r="CY1211">
        <v>0.94</v>
      </c>
      <c r="CZ1211">
        <v>-3.4359000000000001E-2</v>
      </c>
      <c r="DA1211">
        <v>15.314097</v>
      </c>
      <c r="DB1211">
        <v>17.400950000000002</v>
      </c>
      <c r="DC1211">
        <v>16.332519999999999</v>
      </c>
      <c r="DD1211">
        <v>7.9891730000000001</v>
      </c>
      <c r="DE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Q1211" t="s">
        <v>126</v>
      </c>
    </row>
    <row r="1212" spans="1:121" x14ac:dyDescent="0.15">
      <c r="A1212">
        <v>2018</v>
      </c>
      <c r="B1212" t="s">
        <v>306</v>
      </c>
      <c r="C1212" t="str">
        <f t="shared" si="56"/>
        <v>9000016</v>
      </c>
      <c r="D1212" t="s">
        <v>1361</v>
      </c>
      <c r="E1212" t="str">
        <f>"9001316"</f>
        <v>9001316</v>
      </c>
      <c r="F1212" t="s">
        <v>1354</v>
      </c>
      <c r="G1212">
        <v>9</v>
      </c>
      <c r="H1212">
        <v>12</v>
      </c>
      <c r="J1212" t="s">
        <v>331</v>
      </c>
      <c r="K1212">
        <v>1007.473076</v>
      </c>
      <c r="L1212">
        <v>1450</v>
      </c>
      <c r="M1212">
        <v>69.480902</v>
      </c>
      <c r="N1212">
        <v>3</v>
      </c>
      <c r="O1212">
        <v>0</v>
      </c>
      <c r="P1212">
        <v>47.730769000000002</v>
      </c>
      <c r="Q1212">
        <v>95.461538000000004</v>
      </c>
      <c r="R1212">
        <v>150</v>
      </c>
      <c r="S1212">
        <v>47.259259</v>
      </c>
      <c r="T1212">
        <v>48.208919999999999</v>
      </c>
      <c r="U1212">
        <v>94.518518999999998</v>
      </c>
      <c r="V1212">
        <v>150</v>
      </c>
      <c r="W1212">
        <v>45.641025999999997</v>
      </c>
      <c r="X1212">
        <v>91.282050999999996</v>
      </c>
      <c r="Y1212">
        <v>150</v>
      </c>
      <c r="Z1212">
        <v>46.039906000000002</v>
      </c>
      <c r="AA1212">
        <v>45.247684999999997</v>
      </c>
      <c r="AB1212">
        <v>90.495369999999994</v>
      </c>
      <c r="AC1212">
        <v>150</v>
      </c>
      <c r="AD1212">
        <v>53.903574999999996</v>
      </c>
      <c r="AE1212">
        <v>71.871433999999994</v>
      </c>
      <c r="AF1212">
        <v>100</v>
      </c>
      <c r="AG1212">
        <v>52.038462000000003</v>
      </c>
      <c r="AH1212">
        <v>55.821978000000001</v>
      </c>
      <c r="AI1212">
        <v>69.384614999999997</v>
      </c>
      <c r="AJ1212">
        <v>100</v>
      </c>
      <c r="AK1212">
        <v>0.94</v>
      </c>
      <c r="AL1212">
        <v>0.79</v>
      </c>
      <c r="AM1212">
        <v>3.78</v>
      </c>
      <c r="AN1212" t="s">
        <v>125</v>
      </c>
      <c r="AO1212" t="s">
        <v>125</v>
      </c>
      <c r="AP1212" t="s">
        <v>125</v>
      </c>
      <c r="AQ1212" t="s">
        <v>125</v>
      </c>
      <c r="AR1212" t="s">
        <v>125</v>
      </c>
      <c r="AS1212" t="s">
        <v>125</v>
      </c>
      <c r="AT1212" t="s">
        <v>125</v>
      </c>
      <c r="AU1212" t="s">
        <v>125</v>
      </c>
      <c r="AV1212" t="s">
        <v>125</v>
      </c>
      <c r="AW1212" t="s">
        <v>125</v>
      </c>
      <c r="AX1212" t="s">
        <v>125</v>
      </c>
      <c r="AY1212" t="s">
        <v>125</v>
      </c>
      <c r="AZ1212" t="s">
        <v>125</v>
      </c>
      <c r="BA1212" t="s">
        <v>125</v>
      </c>
      <c r="BB1212" t="s">
        <v>125</v>
      </c>
      <c r="BC1212" t="s">
        <v>125</v>
      </c>
      <c r="BD1212" t="s">
        <v>125</v>
      </c>
      <c r="BE1212" t="s">
        <v>125</v>
      </c>
      <c r="BF1212" t="s">
        <v>125</v>
      </c>
      <c r="BG1212" t="s">
        <v>125</v>
      </c>
      <c r="BH1212">
        <v>0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0.10942200000000001</v>
      </c>
      <c r="BS1212">
        <v>38.115501999999999</v>
      </c>
      <c r="BT1212">
        <v>50</v>
      </c>
      <c r="BU1212">
        <v>0.17571899999999999</v>
      </c>
      <c r="BV1212">
        <v>24.85623</v>
      </c>
      <c r="BW1212">
        <v>50</v>
      </c>
      <c r="BX1212">
        <v>0.99657499999999999</v>
      </c>
      <c r="BY1212">
        <v>50</v>
      </c>
      <c r="BZ1212">
        <v>50</v>
      </c>
      <c r="CA1212">
        <v>0.164384</v>
      </c>
      <c r="CB1212">
        <v>10.958904</v>
      </c>
      <c r="CC1212">
        <v>50</v>
      </c>
      <c r="CD1212">
        <v>1</v>
      </c>
      <c r="CE1212">
        <v>50</v>
      </c>
      <c r="CF1212">
        <v>50</v>
      </c>
      <c r="CG1212">
        <v>0.97959200000000002</v>
      </c>
      <c r="CH1212">
        <v>100</v>
      </c>
      <c r="CI1212">
        <v>100</v>
      </c>
      <c r="CJ1212">
        <v>0</v>
      </c>
      <c r="CK1212">
        <v>0.94520499999999996</v>
      </c>
      <c r="CL1212">
        <v>100</v>
      </c>
      <c r="CM1212">
        <v>100</v>
      </c>
      <c r="CN1212">
        <v>0.36111100000000002</v>
      </c>
      <c r="CO1212">
        <v>48.148147999999999</v>
      </c>
      <c r="CP1212">
        <v>100</v>
      </c>
      <c r="CQ1212">
        <v>0.52910100000000004</v>
      </c>
      <c r="CR1212">
        <v>0.98952899999999999</v>
      </c>
      <c r="CS1212">
        <v>35.273369000000002</v>
      </c>
      <c r="CT1212">
        <v>50</v>
      </c>
      <c r="CU1212">
        <v>0.44528899999999999</v>
      </c>
      <c r="CV1212">
        <v>37.107396000000001</v>
      </c>
      <c r="CW1212">
        <v>50</v>
      </c>
      <c r="CX1212">
        <v>0.94520499999999996</v>
      </c>
      <c r="CY1212">
        <v>0.94</v>
      </c>
      <c r="CZ1212">
        <v>-5.2050000000000004E-3</v>
      </c>
      <c r="DA1212">
        <v>15.314097</v>
      </c>
      <c r="DB1212">
        <v>17.400950000000002</v>
      </c>
      <c r="DC1212">
        <v>16.332519999999999</v>
      </c>
      <c r="DD1212">
        <v>7.9891730000000001</v>
      </c>
      <c r="DE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Q1212" t="s">
        <v>126</v>
      </c>
    </row>
    <row r="1213" spans="1:121" x14ac:dyDescent="0.15">
      <c r="A1213">
        <v>2018</v>
      </c>
      <c r="B1213" t="s">
        <v>306</v>
      </c>
      <c r="C1213" t="str">
        <f t="shared" si="56"/>
        <v>9000016</v>
      </c>
      <c r="D1213" t="s">
        <v>1362</v>
      </c>
      <c r="E1213" t="str">
        <f>"9001216"</f>
        <v>9001216</v>
      </c>
      <c r="F1213" t="s">
        <v>1354</v>
      </c>
      <c r="G1213">
        <v>9</v>
      </c>
      <c r="H1213">
        <v>12</v>
      </c>
      <c r="J1213" t="s">
        <v>331</v>
      </c>
      <c r="K1213">
        <v>1097.5901409999999</v>
      </c>
      <c r="L1213">
        <v>1550</v>
      </c>
      <c r="M1213">
        <v>70.812267000000006</v>
      </c>
      <c r="N1213">
        <v>2</v>
      </c>
      <c r="O1213">
        <v>0</v>
      </c>
      <c r="P1213">
        <v>48.053829999999998</v>
      </c>
      <c r="Q1213">
        <v>96.107659999999996</v>
      </c>
      <c r="R1213">
        <v>150</v>
      </c>
      <c r="S1213">
        <v>44.907406999999999</v>
      </c>
      <c r="T1213">
        <v>53.077956999999998</v>
      </c>
      <c r="U1213">
        <v>89.814814999999996</v>
      </c>
      <c r="V1213">
        <v>150</v>
      </c>
      <c r="W1213">
        <v>45.241200999999997</v>
      </c>
      <c r="X1213">
        <v>90.482401999999993</v>
      </c>
      <c r="Y1213">
        <v>150</v>
      </c>
      <c r="Z1213">
        <v>49.381720000000001</v>
      </c>
      <c r="AA1213">
        <v>42.648147999999999</v>
      </c>
      <c r="AB1213">
        <v>85.296295999999998</v>
      </c>
      <c r="AC1213">
        <v>150</v>
      </c>
      <c r="AD1213">
        <v>50.201624000000002</v>
      </c>
      <c r="AE1213">
        <v>66.935498999999993</v>
      </c>
      <c r="AF1213">
        <v>100</v>
      </c>
      <c r="AG1213">
        <v>47.863247999999999</v>
      </c>
      <c r="AH1213">
        <v>53.935484000000002</v>
      </c>
      <c r="AI1213">
        <v>63.817664000000001</v>
      </c>
      <c r="AJ1213">
        <v>100</v>
      </c>
      <c r="AK1213">
        <v>8.17</v>
      </c>
      <c r="AL1213">
        <v>6.73</v>
      </c>
      <c r="AM1213">
        <v>6.07</v>
      </c>
      <c r="AN1213" t="s">
        <v>125</v>
      </c>
      <c r="AO1213" t="s">
        <v>125</v>
      </c>
      <c r="AP1213" t="s">
        <v>125</v>
      </c>
      <c r="AQ1213" t="s">
        <v>125</v>
      </c>
      <c r="AR1213" t="s">
        <v>125</v>
      </c>
      <c r="AS1213" t="s">
        <v>125</v>
      </c>
      <c r="AT1213" t="s">
        <v>125</v>
      </c>
      <c r="AU1213" t="s">
        <v>125</v>
      </c>
      <c r="AV1213" t="s">
        <v>125</v>
      </c>
      <c r="AW1213" t="s">
        <v>125</v>
      </c>
      <c r="AX1213" t="s">
        <v>125</v>
      </c>
      <c r="AY1213" t="s">
        <v>125</v>
      </c>
      <c r="AZ1213" t="s">
        <v>125</v>
      </c>
      <c r="BA1213" t="s">
        <v>125</v>
      </c>
      <c r="BB1213">
        <v>0.45030199999999998</v>
      </c>
      <c r="BC1213">
        <v>22.515096</v>
      </c>
      <c r="BD1213">
        <v>50</v>
      </c>
      <c r="BE1213">
        <v>0.67486500000000005</v>
      </c>
      <c r="BF1213">
        <v>33.743245000000002</v>
      </c>
      <c r="BG1213">
        <v>50</v>
      </c>
      <c r="BH1213">
        <v>0</v>
      </c>
      <c r="BI1213">
        <v>0.99382700000000002</v>
      </c>
      <c r="BJ1213">
        <v>0.99</v>
      </c>
      <c r="BK1213">
        <v>1</v>
      </c>
      <c r="BL1213">
        <v>0.99382700000000002</v>
      </c>
      <c r="BM1213">
        <v>0.99</v>
      </c>
      <c r="BN1213">
        <v>1</v>
      </c>
      <c r="BO1213">
        <v>0.99382700000000002</v>
      </c>
      <c r="BP1213">
        <v>0.99</v>
      </c>
      <c r="BQ1213">
        <v>1</v>
      </c>
      <c r="BR1213">
        <v>5.2631999999999998E-2</v>
      </c>
      <c r="BS1213">
        <v>49.473683999999999</v>
      </c>
      <c r="BT1213">
        <v>50</v>
      </c>
      <c r="BU1213">
        <v>5.6931000000000002E-2</v>
      </c>
      <c r="BV1213">
        <v>48.613861</v>
      </c>
      <c r="BW1213">
        <v>50</v>
      </c>
      <c r="BX1213">
        <v>1</v>
      </c>
      <c r="BY1213">
        <v>50</v>
      </c>
      <c r="BZ1213">
        <v>50</v>
      </c>
      <c r="CA1213">
        <v>0.14610400000000001</v>
      </c>
      <c r="CB1213">
        <v>9.7402599999999993</v>
      </c>
      <c r="CC1213">
        <v>50</v>
      </c>
      <c r="CD1213">
        <v>0.99453599999999998</v>
      </c>
      <c r="CE1213">
        <v>50</v>
      </c>
      <c r="CF1213">
        <v>50</v>
      </c>
      <c r="CG1213">
        <v>0.96128999999999998</v>
      </c>
      <c r="CH1213">
        <v>100</v>
      </c>
      <c r="CI1213">
        <v>100</v>
      </c>
      <c r="CJ1213">
        <v>0</v>
      </c>
      <c r="CK1213">
        <v>0.98969099999999999</v>
      </c>
      <c r="CL1213">
        <v>100</v>
      </c>
      <c r="CM1213">
        <v>100</v>
      </c>
      <c r="CN1213">
        <v>0.480263</v>
      </c>
      <c r="CO1213">
        <v>64.035088000000002</v>
      </c>
      <c r="CP1213">
        <v>100</v>
      </c>
      <c r="CQ1213">
        <v>0.57627099999999998</v>
      </c>
      <c r="CR1213">
        <v>1.0172410000000001</v>
      </c>
      <c r="CS1213">
        <v>38.418078999999999</v>
      </c>
      <c r="CT1213">
        <v>50</v>
      </c>
      <c r="CU1213">
        <v>0.46315800000000001</v>
      </c>
      <c r="CV1213">
        <v>38.596491</v>
      </c>
      <c r="CW1213">
        <v>50</v>
      </c>
      <c r="CX1213">
        <v>0.98969099999999999</v>
      </c>
      <c r="CY1213">
        <v>0.94</v>
      </c>
      <c r="CZ1213">
        <v>-4.9690999999999999E-2</v>
      </c>
      <c r="DA1213">
        <v>15.314097</v>
      </c>
      <c r="DB1213">
        <v>17.400950000000002</v>
      </c>
      <c r="DC1213">
        <v>16.332519999999999</v>
      </c>
      <c r="DD1213">
        <v>7.9891730000000001</v>
      </c>
      <c r="DE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Q1213" t="s">
        <v>126</v>
      </c>
    </row>
    <row r="1214" spans="1:121" x14ac:dyDescent="0.15">
      <c r="A1214">
        <v>2018</v>
      </c>
      <c r="B1214" t="s">
        <v>306</v>
      </c>
      <c r="C1214" t="str">
        <f t="shared" si="56"/>
        <v>9000016</v>
      </c>
      <c r="D1214" t="s">
        <v>1363</v>
      </c>
      <c r="E1214" t="str">
        <f>"9001616"</f>
        <v>9001616</v>
      </c>
      <c r="F1214" t="s">
        <v>1354</v>
      </c>
      <c r="G1214">
        <v>9</v>
      </c>
      <c r="H1214">
        <v>12</v>
      </c>
      <c r="J1214" t="s">
        <v>331</v>
      </c>
      <c r="K1214">
        <v>965.09528</v>
      </c>
      <c r="L1214">
        <v>1450</v>
      </c>
      <c r="M1214">
        <v>66.558295000000001</v>
      </c>
      <c r="N1214">
        <v>3</v>
      </c>
      <c r="O1214">
        <v>0</v>
      </c>
      <c r="P1214">
        <v>46.686047000000002</v>
      </c>
      <c r="Q1214">
        <v>93.372093000000007</v>
      </c>
      <c r="R1214">
        <v>150</v>
      </c>
      <c r="S1214">
        <v>42.434958999999999</v>
      </c>
      <c r="T1214">
        <v>54.102837000000001</v>
      </c>
      <c r="U1214">
        <v>84.869918999999996</v>
      </c>
      <c r="V1214">
        <v>150</v>
      </c>
      <c r="W1214">
        <v>42.877260999999997</v>
      </c>
      <c r="X1214">
        <v>85.754521999999994</v>
      </c>
      <c r="Y1214">
        <v>150</v>
      </c>
      <c r="Z1214">
        <v>49.304965000000003</v>
      </c>
      <c r="AA1214">
        <v>39.193089000000001</v>
      </c>
      <c r="AB1214">
        <v>78.386178999999998</v>
      </c>
      <c r="AC1214">
        <v>150</v>
      </c>
      <c r="AD1214">
        <v>51.707214999999998</v>
      </c>
      <c r="AE1214">
        <v>68.942954</v>
      </c>
      <c r="AF1214">
        <v>100</v>
      </c>
      <c r="AG1214">
        <v>46.363039000000001</v>
      </c>
      <c r="AH1214">
        <v>61.031097000000003</v>
      </c>
      <c r="AI1214">
        <v>61.817385999999999</v>
      </c>
      <c r="AJ1214">
        <v>100</v>
      </c>
      <c r="AK1214">
        <v>11.66</v>
      </c>
      <c r="AL1214">
        <v>10.11</v>
      </c>
      <c r="AM1214">
        <v>14.66</v>
      </c>
      <c r="AN1214" t="s">
        <v>125</v>
      </c>
      <c r="AO1214" t="s">
        <v>125</v>
      </c>
      <c r="AP1214" t="s">
        <v>125</v>
      </c>
      <c r="AQ1214" t="s">
        <v>125</v>
      </c>
      <c r="AR1214" t="s">
        <v>125</v>
      </c>
      <c r="AS1214" t="s">
        <v>125</v>
      </c>
      <c r="AT1214" t="s">
        <v>125</v>
      </c>
      <c r="AU1214" t="s">
        <v>125</v>
      </c>
      <c r="AV1214" t="s">
        <v>125</v>
      </c>
      <c r="AW1214" t="s">
        <v>125</v>
      </c>
      <c r="AX1214" t="s">
        <v>125</v>
      </c>
      <c r="AY1214" t="s">
        <v>125</v>
      </c>
      <c r="AZ1214" t="s">
        <v>125</v>
      </c>
      <c r="BA1214" t="s">
        <v>125</v>
      </c>
      <c r="BB1214" t="s">
        <v>125</v>
      </c>
      <c r="BC1214" t="s">
        <v>125</v>
      </c>
      <c r="BD1214" t="s">
        <v>125</v>
      </c>
      <c r="BE1214" t="s">
        <v>125</v>
      </c>
      <c r="BF1214" t="s">
        <v>125</v>
      </c>
      <c r="BG1214" t="s">
        <v>125</v>
      </c>
      <c r="BH1214">
        <v>0</v>
      </c>
      <c r="BI1214">
        <v>0.99230799999999997</v>
      </c>
      <c r="BJ1214">
        <v>0.98795200000000005</v>
      </c>
      <c r="BK1214">
        <v>1</v>
      </c>
      <c r="BL1214">
        <v>0.99230799999999997</v>
      </c>
      <c r="BM1214">
        <v>0.98795200000000005</v>
      </c>
      <c r="BN1214">
        <v>1</v>
      </c>
      <c r="BO1214">
        <v>0.99230799999999997</v>
      </c>
      <c r="BP1214">
        <v>0.98795200000000005</v>
      </c>
      <c r="BQ1214">
        <v>1</v>
      </c>
      <c r="BR1214">
        <v>5.4186999999999999E-2</v>
      </c>
      <c r="BS1214">
        <v>49.162562000000001</v>
      </c>
      <c r="BT1214">
        <v>50</v>
      </c>
      <c r="BU1214">
        <v>7.7381000000000005E-2</v>
      </c>
      <c r="BV1214">
        <v>44.523809999999997</v>
      </c>
      <c r="BW1214">
        <v>50</v>
      </c>
      <c r="BX1214">
        <v>0.99624100000000004</v>
      </c>
      <c r="BY1214">
        <v>50</v>
      </c>
      <c r="BZ1214">
        <v>50</v>
      </c>
      <c r="CA1214">
        <v>0.139098</v>
      </c>
      <c r="CB1214">
        <v>9.2731829999999995</v>
      </c>
      <c r="CC1214">
        <v>50</v>
      </c>
      <c r="CD1214">
        <v>0.95930199999999999</v>
      </c>
      <c r="CE1214">
        <v>50</v>
      </c>
      <c r="CF1214">
        <v>50</v>
      </c>
      <c r="CG1214">
        <v>1</v>
      </c>
      <c r="CH1214">
        <v>100</v>
      </c>
      <c r="CI1214">
        <v>100</v>
      </c>
      <c r="CJ1214">
        <v>0</v>
      </c>
      <c r="CK1214">
        <v>0.95121999999999995</v>
      </c>
      <c r="CL1214">
        <v>100</v>
      </c>
      <c r="CM1214">
        <v>100</v>
      </c>
      <c r="CN1214">
        <v>0.31654700000000002</v>
      </c>
      <c r="CO1214">
        <v>42.206235</v>
      </c>
      <c r="CP1214">
        <v>100</v>
      </c>
      <c r="CQ1214">
        <v>0.135294</v>
      </c>
      <c r="CR1214">
        <v>0.99415200000000004</v>
      </c>
      <c r="CS1214">
        <v>9.0196079999999998</v>
      </c>
      <c r="CT1214">
        <v>50</v>
      </c>
      <c r="CU1214">
        <v>0.45320199999999999</v>
      </c>
      <c r="CV1214">
        <v>37.766831000000003</v>
      </c>
      <c r="CW1214">
        <v>50</v>
      </c>
      <c r="CX1214">
        <v>0.95121999999999995</v>
      </c>
      <c r="CY1214">
        <v>0.94</v>
      </c>
      <c r="CZ1214">
        <v>-1.1220000000000001E-2</v>
      </c>
      <c r="DA1214">
        <v>15.314097</v>
      </c>
      <c r="DB1214">
        <v>17.400950000000002</v>
      </c>
      <c r="DC1214">
        <v>16.332519999999999</v>
      </c>
      <c r="DD1214">
        <v>7.9891730000000001</v>
      </c>
      <c r="DE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Q1214" t="s">
        <v>126</v>
      </c>
    </row>
    <row r="1215" spans="1:121" x14ac:dyDescent="0.15">
      <c r="A1215">
        <v>2018</v>
      </c>
      <c r="B1215" t="s">
        <v>306</v>
      </c>
      <c r="C1215" t="str">
        <f t="shared" si="56"/>
        <v>9000016</v>
      </c>
      <c r="D1215" t="s">
        <v>1364</v>
      </c>
      <c r="E1215" t="str">
        <f>"9002116"</f>
        <v>9002116</v>
      </c>
      <c r="F1215" t="s">
        <v>1354</v>
      </c>
      <c r="G1215">
        <v>9</v>
      </c>
      <c r="H1215">
        <v>12</v>
      </c>
      <c r="J1215" t="s">
        <v>331</v>
      </c>
      <c r="K1215">
        <v>970.67607599999997</v>
      </c>
      <c r="L1215">
        <v>1450</v>
      </c>
      <c r="M1215">
        <v>66.943178000000003</v>
      </c>
      <c r="N1215">
        <v>3</v>
      </c>
      <c r="O1215">
        <v>0</v>
      </c>
      <c r="P1215">
        <v>47.455939000000001</v>
      </c>
      <c r="Q1215">
        <v>94.911877000000004</v>
      </c>
      <c r="R1215">
        <v>150</v>
      </c>
      <c r="S1215">
        <v>47.138418000000001</v>
      </c>
      <c r="T1215">
        <v>48.125</v>
      </c>
      <c r="U1215">
        <v>94.276836000000003</v>
      </c>
      <c r="V1215">
        <v>150</v>
      </c>
      <c r="W1215">
        <v>42.229885000000003</v>
      </c>
      <c r="X1215">
        <v>84.459770000000006</v>
      </c>
      <c r="Y1215">
        <v>150</v>
      </c>
      <c r="Z1215">
        <v>43.541666999999997</v>
      </c>
      <c r="AA1215">
        <v>41.607345000000002</v>
      </c>
      <c r="AB1215">
        <v>83.214689000000007</v>
      </c>
      <c r="AC1215">
        <v>150</v>
      </c>
      <c r="AD1215">
        <v>49.154730000000001</v>
      </c>
      <c r="AE1215">
        <v>65.539640000000006</v>
      </c>
      <c r="AF1215">
        <v>100</v>
      </c>
      <c r="AG1215">
        <v>48.560625999999999</v>
      </c>
      <c r="AH1215">
        <v>50.406593000000001</v>
      </c>
      <c r="AI1215">
        <v>64.747501</v>
      </c>
      <c r="AJ1215">
        <v>100</v>
      </c>
      <c r="AK1215">
        <v>0.98</v>
      </c>
      <c r="AL1215">
        <v>1.93</v>
      </c>
      <c r="AM1215">
        <v>1.84</v>
      </c>
      <c r="AN1215" t="s">
        <v>125</v>
      </c>
      <c r="AO1215" t="s">
        <v>125</v>
      </c>
      <c r="AP1215" t="s">
        <v>125</v>
      </c>
      <c r="AQ1215" t="s">
        <v>125</v>
      </c>
      <c r="AR1215" t="s">
        <v>125</v>
      </c>
      <c r="AS1215" t="s">
        <v>125</v>
      </c>
      <c r="AT1215" t="s">
        <v>125</v>
      </c>
      <c r="AU1215" t="s">
        <v>125</v>
      </c>
      <c r="AV1215" t="s">
        <v>125</v>
      </c>
      <c r="AW1215" t="s">
        <v>125</v>
      </c>
      <c r="AX1215" t="s">
        <v>125</v>
      </c>
      <c r="AY1215" t="s">
        <v>125</v>
      </c>
      <c r="AZ1215" t="s">
        <v>125</v>
      </c>
      <c r="BA1215" t="s">
        <v>125</v>
      </c>
      <c r="BB1215">
        <v>0.38874799999999998</v>
      </c>
      <c r="BC1215">
        <v>19.437391000000002</v>
      </c>
      <c r="BD1215">
        <v>50</v>
      </c>
      <c r="BE1215">
        <v>0.58438599999999996</v>
      </c>
      <c r="BF1215">
        <v>29.219303</v>
      </c>
      <c r="BG1215">
        <v>50</v>
      </c>
      <c r="BH1215">
        <v>0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9.8280000000000006E-2</v>
      </c>
      <c r="BS1215">
        <v>40.343980000000002</v>
      </c>
      <c r="BT1215">
        <v>50</v>
      </c>
      <c r="BU1215">
        <v>0.11221100000000001</v>
      </c>
      <c r="BV1215">
        <v>37.557755999999998</v>
      </c>
      <c r="BW1215">
        <v>50</v>
      </c>
      <c r="BX1215">
        <v>1</v>
      </c>
      <c r="BY1215">
        <v>50</v>
      </c>
      <c r="BZ1215">
        <v>50</v>
      </c>
      <c r="CA1215">
        <v>0.11236</v>
      </c>
      <c r="CB1215">
        <v>7.4906370000000004</v>
      </c>
      <c r="CC1215">
        <v>50</v>
      </c>
      <c r="CD1215">
        <v>1</v>
      </c>
      <c r="CE1215">
        <v>50</v>
      </c>
      <c r="CF1215">
        <v>50</v>
      </c>
      <c r="CG1215">
        <v>0.91397799999999996</v>
      </c>
      <c r="CH1215">
        <v>97.231755000000007</v>
      </c>
      <c r="CI1215">
        <v>100</v>
      </c>
      <c r="CJ1215" t="s">
        <v>125</v>
      </c>
      <c r="CK1215" t="s">
        <v>125</v>
      </c>
      <c r="CL1215" t="s">
        <v>125</v>
      </c>
      <c r="CM1215" t="s">
        <v>125</v>
      </c>
      <c r="CN1215">
        <v>0.5</v>
      </c>
      <c r="CO1215">
        <v>66.666667000000004</v>
      </c>
      <c r="CP1215">
        <v>100</v>
      </c>
      <c r="CQ1215">
        <v>0.58035700000000001</v>
      </c>
      <c r="CR1215">
        <v>0.99114999999999998</v>
      </c>
      <c r="CS1215">
        <v>38.690475999999997</v>
      </c>
      <c r="CT1215">
        <v>50</v>
      </c>
      <c r="CU1215">
        <v>0.56265399999999999</v>
      </c>
      <c r="CV1215">
        <v>46.887796999999999</v>
      </c>
      <c r="CW1215">
        <v>50</v>
      </c>
      <c r="CX1215" t="s">
        <v>125</v>
      </c>
      <c r="CY1215" t="s">
        <v>125</v>
      </c>
      <c r="CZ1215" t="s">
        <v>125</v>
      </c>
      <c r="DA1215">
        <v>15.314097</v>
      </c>
      <c r="DB1215">
        <v>17.400950000000002</v>
      </c>
      <c r="DC1215">
        <v>16.332519999999999</v>
      </c>
      <c r="DD1215" t="s">
        <v>125</v>
      </c>
      <c r="DE1215">
        <v>0</v>
      </c>
      <c r="DH1215" t="s">
        <v>332</v>
      </c>
      <c r="DI1215" t="s">
        <v>946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1</v>
      </c>
      <c r="DQ1215" t="s">
        <v>126</v>
      </c>
    </row>
    <row r="1216" spans="1:121" x14ac:dyDescent="0.15">
      <c r="A1216">
        <v>2018</v>
      </c>
      <c r="B1216" t="s">
        <v>306</v>
      </c>
      <c r="C1216" t="str">
        <f t="shared" si="56"/>
        <v>9000016</v>
      </c>
      <c r="D1216" t="s">
        <v>1365</v>
      </c>
      <c r="E1216" t="str">
        <f>"9002016"</f>
        <v>9002016</v>
      </c>
      <c r="F1216" t="s">
        <v>1354</v>
      </c>
      <c r="G1216">
        <v>9</v>
      </c>
      <c r="H1216">
        <v>12</v>
      </c>
      <c r="J1216" t="s">
        <v>331</v>
      </c>
      <c r="K1216">
        <v>1037.9497309999999</v>
      </c>
      <c r="L1216">
        <v>1450</v>
      </c>
      <c r="M1216">
        <v>71.582740000000001</v>
      </c>
      <c r="N1216">
        <v>2</v>
      </c>
      <c r="O1216">
        <v>0</v>
      </c>
      <c r="P1216">
        <v>48.931925</v>
      </c>
      <c r="Q1216">
        <v>97.863849999999999</v>
      </c>
      <c r="R1216">
        <v>150</v>
      </c>
      <c r="S1216">
        <v>45.447367999999997</v>
      </c>
      <c r="T1216">
        <v>52.944443999999997</v>
      </c>
      <c r="U1216">
        <v>90.894737000000006</v>
      </c>
      <c r="V1216">
        <v>150</v>
      </c>
      <c r="W1216">
        <v>45.613849999999999</v>
      </c>
      <c r="X1216">
        <v>91.227699999999999</v>
      </c>
      <c r="Y1216">
        <v>150</v>
      </c>
      <c r="Z1216">
        <v>49.444443999999997</v>
      </c>
      <c r="AA1216">
        <v>42.287281</v>
      </c>
      <c r="AB1216">
        <v>84.574561000000003</v>
      </c>
      <c r="AC1216">
        <v>150</v>
      </c>
      <c r="AD1216">
        <v>49.331361000000001</v>
      </c>
      <c r="AE1216">
        <v>65.775148000000002</v>
      </c>
      <c r="AF1216">
        <v>100</v>
      </c>
      <c r="AG1216">
        <v>46.043956000000001</v>
      </c>
      <c r="AH1216">
        <v>53.166666999999997</v>
      </c>
      <c r="AI1216">
        <v>61.391941000000003</v>
      </c>
      <c r="AJ1216">
        <v>100</v>
      </c>
      <c r="AK1216">
        <v>7.49</v>
      </c>
      <c r="AL1216">
        <v>7.15</v>
      </c>
      <c r="AM1216">
        <v>7.12</v>
      </c>
      <c r="AN1216" t="s">
        <v>125</v>
      </c>
      <c r="AO1216" t="s">
        <v>125</v>
      </c>
      <c r="AP1216" t="s">
        <v>125</v>
      </c>
      <c r="AQ1216" t="s">
        <v>125</v>
      </c>
      <c r="AR1216" t="s">
        <v>125</v>
      </c>
      <c r="AS1216" t="s">
        <v>125</v>
      </c>
      <c r="AT1216" t="s">
        <v>125</v>
      </c>
      <c r="AU1216" t="s">
        <v>125</v>
      </c>
      <c r="AV1216" t="s">
        <v>125</v>
      </c>
      <c r="AW1216" t="s">
        <v>125</v>
      </c>
      <c r="AX1216" t="s">
        <v>125</v>
      </c>
      <c r="AY1216" t="s">
        <v>125</v>
      </c>
      <c r="AZ1216" t="s">
        <v>125</v>
      </c>
      <c r="BA1216" t="s">
        <v>125</v>
      </c>
      <c r="BB1216" t="s">
        <v>125</v>
      </c>
      <c r="BC1216" t="s">
        <v>125</v>
      </c>
      <c r="BD1216" t="s">
        <v>125</v>
      </c>
      <c r="BE1216" t="s">
        <v>125</v>
      </c>
      <c r="BF1216" t="s">
        <v>125</v>
      </c>
      <c r="BG1216" t="s">
        <v>125</v>
      </c>
      <c r="BH1216">
        <v>0</v>
      </c>
      <c r="BI1216">
        <v>0.99300699999999997</v>
      </c>
      <c r="BJ1216">
        <v>0.98701300000000003</v>
      </c>
      <c r="BK1216">
        <v>1</v>
      </c>
      <c r="BL1216">
        <v>0.99300699999999997</v>
      </c>
      <c r="BM1216">
        <v>0.98701300000000003</v>
      </c>
      <c r="BN1216">
        <v>1</v>
      </c>
      <c r="BO1216">
        <v>1</v>
      </c>
      <c r="BP1216">
        <v>1</v>
      </c>
      <c r="BQ1216">
        <v>1</v>
      </c>
      <c r="BR1216">
        <v>6.8966E-2</v>
      </c>
      <c r="BS1216">
        <v>46.206896999999998</v>
      </c>
      <c r="BT1216">
        <v>50</v>
      </c>
      <c r="BU1216">
        <v>8.9855000000000004E-2</v>
      </c>
      <c r="BV1216">
        <v>42.028986000000003</v>
      </c>
      <c r="BW1216">
        <v>50</v>
      </c>
      <c r="BX1216">
        <v>0.99312699999999998</v>
      </c>
      <c r="BY1216">
        <v>50</v>
      </c>
      <c r="BZ1216">
        <v>50</v>
      </c>
      <c r="CA1216">
        <v>0.17869399999999999</v>
      </c>
      <c r="CB1216">
        <v>11.912944</v>
      </c>
      <c r="CC1216">
        <v>50</v>
      </c>
      <c r="CD1216">
        <v>0.99404800000000004</v>
      </c>
      <c r="CE1216">
        <v>50</v>
      </c>
      <c r="CF1216">
        <v>50</v>
      </c>
      <c r="CG1216">
        <v>0.972028</v>
      </c>
      <c r="CH1216">
        <v>100</v>
      </c>
      <c r="CI1216">
        <v>100</v>
      </c>
      <c r="CJ1216">
        <v>0</v>
      </c>
      <c r="CK1216">
        <v>0.95945899999999995</v>
      </c>
      <c r="CL1216">
        <v>100</v>
      </c>
      <c r="CM1216">
        <v>100</v>
      </c>
      <c r="CN1216">
        <v>0.46043200000000001</v>
      </c>
      <c r="CO1216">
        <v>61.390886999999999</v>
      </c>
      <c r="CP1216">
        <v>100</v>
      </c>
      <c r="CQ1216">
        <v>0.520231</v>
      </c>
      <c r="CR1216">
        <v>0.96648000000000001</v>
      </c>
      <c r="CS1216">
        <v>34.682080999999997</v>
      </c>
      <c r="CT1216">
        <v>50</v>
      </c>
      <c r="CU1216">
        <v>0.73354200000000003</v>
      </c>
      <c r="CV1216">
        <v>50</v>
      </c>
      <c r="CW1216">
        <v>50</v>
      </c>
      <c r="CX1216">
        <v>0.95945899999999995</v>
      </c>
      <c r="CY1216">
        <v>0.94</v>
      </c>
      <c r="CZ1216">
        <v>-1.9459000000000001E-2</v>
      </c>
      <c r="DA1216">
        <v>15.314097</v>
      </c>
      <c r="DB1216">
        <v>17.400950000000002</v>
      </c>
      <c r="DC1216">
        <v>16.332519999999999</v>
      </c>
      <c r="DD1216">
        <v>7.9891730000000001</v>
      </c>
      <c r="DE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Q1216" t="s">
        <v>126</v>
      </c>
    </row>
    <row r="1217" spans="1:121" x14ac:dyDescent="0.15">
      <c r="A1217">
        <v>2018</v>
      </c>
      <c r="B1217" t="s">
        <v>306</v>
      </c>
      <c r="C1217" t="str">
        <f t="shared" si="56"/>
        <v>9000016</v>
      </c>
      <c r="D1217" t="s">
        <v>1366</v>
      </c>
      <c r="E1217" t="str">
        <f>"9002216"</f>
        <v>9002216</v>
      </c>
      <c r="F1217" t="s">
        <v>1354</v>
      </c>
      <c r="G1217">
        <v>9</v>
      </c>
      <c r="H1217">
        <v>12</v>
      </c>
      <c r="J1217" t="s">
        <v>331</v>
      </c>
      <c r="K1217">
        <v>1021.628124</v>
      </c>
      <c r="L1217">
        <v>1450</v>
      </c>
      <c r="M1217">
        <v>70.457111999999995</v>
      </c>
      <c r="N1217">
        <v>2</v>
      </c>
      <c r="O1217">
        <v>0</v>
      </c>
      <c r="P1217">
        <v>47.483333000000002</v>
      </c>
      <c r="Q1217">
        <v>94.966667000000001</v>
      </c>
      <c r="R1217">
        <v>150</v>
      </c>
      <c r="S1217">
        <v>43.84507</v>
      </c>
      <c r="T1217">
        <v>50.753165000000003</v>
      </c>
      <c r="U1217">
        <v>87.690140999999997</v>
      </c>
      <c r="V1217">
        <v>150</v>
      </c>
      <c r="W1217">
        <v>44.085555999999997</v>
      </c>
      <c r="X1217">
        <v>88.171110999999996</v>
      </c>
      <c r="Y1217">
        <v>150</v>
      </c>
      <c r="Z1217">
        <v>46.506329000000001</v>
      </c>
      <c r="AA1217">
        <v>41.392018999999998</v>
      </c>
      <c r="AB1217">
        <v>82.784037999999995</v>
      </c>
      <c r="AC1217">
        <v>150</v>
      </c>
      <c r="AD1217">
        <v>52.824950999999999</v>
      </c>
      <c r="AE1217">
        <v>70.433267999999998</v>
      </c>
      <c r="AF1217">
        <v>100</v>
      </c>
      <c r="AG1217">
        <v>47.484817999999997</v>
      </c>
      <c r="AH1217">
        <v>57.898077000000001</v>
      </c>
      <c r="AI1217">
        <v>63.313090000000003</v>
      </c>
      <c r="AJ1217">
        <v>100</v>
      </c>
      <c r="AK1217">
        <v>6.9</v>
      </c>
      <c r="AL1217">
        <v>5.1100000000000003</v>
      </c>
      <c r="AM1217">
        <v>10.41</v>
      </c>
      <c r="AN1217" t="s">
        <v>125</v>
      </c>
      <c r="AO1217" t="s">
        <v>125</v>
      </c>
      <c r="AP1217" t="s">
        <v>125</v>
      </c>
      <c r="AQ1217" t="s">
        <v>125</v>
      </c>
      <c r="AR1217" t="s">
        <v>125</v>
      </c>
      <c r="AS1217" t="s">
        <v>125</v>
      </c>
      <c r="AT1217" t="s">
        <v>125</v>
      </c>
      <c r="AU1217" t="s">
        <v>125</v>
      </c>
      <c r="AV1217" t="s">
        <v>125</v>
      </c>
      <c r="AW1217" t="s">
        <v>125</v>
      </c>
      <c r="AX1217" t="s">
        <v>125</v>
      </c>
      <c r="AY1217" t="s">
        <v>125</v>
      </c>
      <c r="AZ1217" t="s">
        <v>125</v>
      </c>
      <c r="BA1217" t="s">
        <v>125</v>
      </c>
      <c r="BB1217" t="s">
        <v>125</v>
      </c>
      <c r="BC1217" t="s">
        <v>125</v>
      </c>
      <c r="BD1217" t="s">
        <v>125</v>
      </c>
      <c r="BE1217" t="s">
        <v>125</v>
      </c>
      <c r="BF1217" t="s">
        <v>125</v>
      </c>
      <c r="BG1217" t="s">
        <v>125</v>
      </c>
      <c r="BH1217">
        <v>0</v>
      </c>
      <c r="BI1217">
        <v>0.980769</v>
      </c>
      <c r="BJ1217">
        <v>0.96052599999999999</v>
      </c>
      <c r="BK1217">
        <v>1</v>
      </c>
      <c r="BL1217">
        <v>0.980769</v>
      </c>
      <c r="BM1217">
        <v>0.96052599999999999</v>
      </c>
      <c r="BN1217">
        <v>1</v>
      </c>
      <c r="BO1217">
        <v>1</v>
      </c>
      <c r="BP1217">
        <v>1</v>
      </c>
      <c r="BQ1217">
        <v>1</v>
      </c>
      <c r="BR1217">
        <v>8.3600999999999995E-2</v>
      </c>
      <c r="BS1217">
        <v>43.279743000000003</v>
      </c>
      <c r="BT1217">
        <v>50</v>
      </c>
      <c r="BU1217">
        <v>9.7859000000000002E-2</v>
      </c>
      <c r="BV1217">
        <v>40.428134999999997</v>
      </c>
      <c r="BW1217">
        <v>50</v>
      </c>
      <c r="BX1217">
        <v>1</v>
      </c>
      <c r="BY1217">
        <v>50</v>
      </c>
      <c r="BZ1217">
        <v>50</v>
      </c>
      <c r="CA1217">
        <v>0.13738</v>
      </c>
      <c r="CB1217">
        <v>9.1586789999999993</v>
      </c>
      <c r="CC1217">
        <v>50</v>
      </c>
      <c r="CD1217">
        <v>0.993865</v>
      </c>
      <c r="CE1217">
        <v>50</v>
      </c>
      <c r="CF1217">
        <v>50</v>
      </c>
      <c r="CG1217">
        <v>0.94339600000000001</v>
      </c>
      <c r="CH1217">
        <v>100</v>
      </c>
      <c r="CI1217">
        <v>100</v>
      </c>
      <c r="CJ1217">
        <v>0</v>
      </c>
      <c r="CK1217">
        <v>0.981132</v>
      </c>
      <c r="CL1217">
        <v>100</v>
      </c>
      <c r="CM1217">
        <v>100</v>
      </c>
      <c r="CN1217">
        <v>0.384106</v>
      </c>
      <c r="CO1217">
        <v>51.214128000000002</v>
      </c>
      <c r="CP1217">
        <v>100</v>
      </c>
      <c r="CQ1217">
        <v>0.60283699999999996</v>
      </c>
      <c r="CR1217">
        <v>0.96575299999999997</v>
      </c>
      <c r="CS1217">
        <v>40.189124999999997</v>
      </c>
      <c r="CT1217">
        <v>50</v>
      </c>
      <c r="CU1217">
        <v>0.73794199999999999</v>
      </c>
      <c r="CV1217">
        <v>50</v>
      </c>
      <c r="CW1217">
        <v>50</v>
      </c>
      <c r="CX1217">
        <v>0.981132</v>
      </c>
      <c r="CY1217">
        <v>0.94</v>
      </c>
      <c r="CZ1217">
        <v>-4.1132000000000002E-2</v>
      </c>
      <c r="DA1217">
        <v>15.314097</v>
      </c>
      <c r="DB1217">
        <v>17.400950000000002</v>
      </c>
      <c r="DC1217">
        <v>16.332519999999999</v>
      </c>
      <c r="DD1217">
        <v>7.9891730000000001</v>
      </c>
      <c r="DE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Q1217" t="s">
        <v>126</v>
      </c>
    </row>
    <row r="1218" spans="1:121" x14ac:dyDescent="0.15">
      <c r="A1218">
        <v>2018</v>
      </c>
      <c r="B1218" t="s">
        <v>306</v>
      </c>
      <c r="C1218" t="str">
        <f t="shared" si="56"/>
        <v>9000016</v>
      </c>
      <c r="D1218" t="s">
        <v>1367</v>
      </c>
      <c r="E1218" t="str">
        <f>"9002616"</f>
        <v>9002616</v>
      </c>
      <c r="F1218" t="s">
        <v>1354</v>
      </c>
      <c r="G1218">
        <v>9</v>
      </c>
      <c r="H1218">
        <v>12</v>
      </c>
      <c r="J1218" t="s">
        <v>331</v>
      </c>
      <c r="K1218">
        <v>997.39155700000003</v>
      </c>
      <c r="L1218">
        <v>1450</v>
      </c>
      <c r="M1218">
        <v>68.785624999999996</v>
      </c>
      <c r="N1218">
        <v>3</v>
      </c>
      <c r="O1218">
        <v>0</v>
      </c>
      <c r="P1218">
        <v>46.776493000000002</v>
      </c>
      <c r="Q1218">
        <v>93.552987000000002</v>
      </c>
      <c r="R1218">
        <v>150</v>
      </c>
      <c r="S1218">
        <v>44.838982999999999</v>
      </c>
      <c r="T1218">
        <v>50.933332999999998</v>
      </c>
      <c r="U1218">
        <v>89.677965999999998</v>
      </c>
      <c r="V1218">
        <v>150</v>
      </c>
      <c r="W1218">
        <v>42.505780000000001</v>
      </c>
      <c r="X1218">
        <v>85.011561</v>
      </c>
      <c r="Y1218">
        <v>150</v>
      </c>
      <c r="Z1218">
        <v>45.166666999999997</v>
      </c>
      <c r="AA1218">
        <v>41.265537000000002</v>
      </c>
      <c r="AB1218">
        <v>82.531073000000006</v>
      </c>
      <c r="AC1218">
        <v>150</v>
      </c>
      <c r="AD1218">
        <v>51.779780000000002</v>
      </c>
      <c r="AE1218">
        <v>69.039707000000007</v>
      </c>
      <c r="AF1218">
        <v>100</v>
      </c>
      <c r="AG1218">
        <v>49.837026999999999</v>
      </c>
      <c r="AH1218">
        <v>55.801619000000002</v>
      </c>
      <c r="AI1218">
        <v>66.449370000000002</v>
      </c>
      <c r="AJ1218">
        <v>100</v>
      </c>
      <c r="AK1218">
        <v>6.09</v>
      </c>
      <c r="AL1218">
        <v>3.9</v>
      </c>
      <c r="AM1218">
        <v>5.96</v>
      </c>
      <c r="AN1218" t="s">
        <v>125</v>
      </c>
      <c r="AO1218" t="s">
        <v>125</v>
      </c>
      <c r="AP1218" t="s">
        <v>125</v>
      </c>
      <c r="AQ1218" t="s">
        <v>125</v>
      </c>
      <c r="AR1218" t="s">
        <v>125</v>
      </c>
      <c r="AS1218" t="s">
        <v>125</v>
      </c>
      <c r="AT1218" t="s">
        <v>125</v>
      </c>
      <c r="AU1218" t="s">
        <v>125</v>
      </c>
      <c r="AV1218" t="s">
        <v>125</v>
      </c>
      <c r="AW1218" t="s">
        <v>125</v>
      </c>
      <c r="AX1218" t="s">
        <v>125</v>
      </c>
      <c r="AY1218" t="s">
        <v>125</v>
      </c>
      <c r="AZ1218" t="s">
        <v>125</v>
      </c>
      <c r="BA1218" t="s">
        <v>125</v>
      </c>
      <c r="BB1218" t="s">
        <v>125</v>
      </c>
      <c r="BC1218" t="s">
        <v>125</v>
      </c>
      <c r="BD1218" t="s">
        <v>125</v>
      </c>
      <c r="BE1218" t="s">
        <v>125</v>
      </c>
      <c r="BF1218" t="s">
        <v>125</v>
      </c>
      <c r="BG1218" t="s">
        <v>125</v>
      </c>
      <c r="BH1218">
        <v>0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0.119745</v>
      </c>
      <c r="BS1218">
        <v>36.050955000000002</v>
      </c>
      <c r="BT1218">
        <v>50</v>
      </c>
      <c r="BU1218">
        <v>0.13663400000000001</v>
      </c>
      <c r="BV1218">
        <v>32.673267000000003</v>
      </c>
      <c r="BW1218">
        <v>50</v>
      </c>
      <c r="BX1218">
        <v>0.99712599999999996</v>
      </c>
      <c r="BY1218">
        <v>50</v>
      </c>
      <c r="BZ1218">
        <v>50</v>
      </c>
      <c r="CA1218">
        <v>0.117816</v>
      </c>
      <c r="CB1218">
        <v>7.854406</v>
      </c>
      <c r="CC1218">
        <v>50</v>
      </c>
      <c r="CD1218">
        <v>0.97787599999999997</v>
      </c>
      <c r="CE1218">
        <v>50</v>
      </c>
      <c r="CF1218">
        <v>50</v>
      </c>
      <c r="CG1218">
        <v>0.98429299999999997</v>
      </c>
      <c r="CH1218">
        <v>100</v>
      </c>
      <c r="CI1218">
        <v>100</v>
      </c>
      <c r="CJ1218">
        <v>0</v>
      </c>
      <c r="CK1218">
        <v>1</v>
      </c>
      <c r="CL1218">
        <v>100</v>
      </c>
      <c r="CM1218">
        <v>100</v>
      </c>
      <c r="CN1218">
        <v>0.46031699999999998</v>
      </c>
      <c r="CO1218">
        <v>61.375661000000001</v>
      </c>
      <c r="CP1218">
        <v>100</v>
      </c>
      <c r="CQ1218">
        <v>0.34761900000000001</v>
      </c>
      <c r="CR1218">
        <v>0.99526099999999995</v>
      </c>
      <c r="CS1218">
        <v>23.174603000000001</v>
      </c>
      <c r="CT1218">
        <v>50</v>
      </c>
      <c r="CU1218">
        <v>0.998726</v>
      </c>
      <c r="CV1218">
        <v>50</v>
      </c>
      <c r="CW1218">
        <v>50</v>
      </c>
      <c r="CX1218">
        <v>1</v>
      </c>
      <c r="CY1218">
        <v>0.94</v>
      </c>
      <c r="CZ1218">
        <v>-0.06</v>
      </c>
      <c r="DA1218">
        <v>15.314097</v>
      </c>
      <c r="DB1218">
        <v>17.400950000000002</v>
      </c>
      <c r="DC1218">
        <v>16.332519999999999</v>
      </c>
      <c r="DD1218">
        <v>7.9891730000000001</v>
      </c>
      <c r="DE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Q1218" t="s">
        <v>126</v>
      </c>
    </row>
    <row r="1219" spans="1:121" x14ac:dyDescent="0.15">
      <c r="A1219">
        <v>2018</v>
      </c>
      <c r="B1219" t="s">
        <v>306</v>
      </c>
      <c r="C1219" t="str">
        <f t="shared" si="56"/>
        <v>9000016</v>
      </c>
      <c r="D1219" t="s">
        <v>1368</v>
      </c>
      <c r="E1219" t="str">
        <f>"9001816"</f>
        <v>9001816</v>
      </c>
      <c r="F1219" t="s">
        <v>1354</v>
      </c>
      <c r="G1219">
        <v>9</v>
      </c>
      <c r="H1219">
        <v>12</v>
      </c>
      <c r="J1219" t="s">
        <v>331</v>
      </c>
      <c r="K1219">
        <v>947.16452700000002</v>
      </c>
      <c r="L1219">
        <v>1450</v>
      </c>
      <c r="M1219">
        <v>65.321691000000001</v>
      </c>
      <c r="N1219">
        <v>3</v>
      </c>
      <c r="O1219">
        <v>0</v>
      </c>
      <c r="P1219">
        <v>46.776699000000001</v>
      </c>
      <c r="Q1219">
        <v>93.553398000000001</v>
      </c>
      <c r="R1219">
        <v>150</v>
      </c>
      <c r="S1219">
        <v>43.45</v>
      </c>
      <c r="T1219">
        <v>49.915094000000003</v>
      </c>
      <c r="U1219">
        <v>86.9</v>
      </c>
      <c r="V1219">
        <v>150</v>
      </c>
      <c r="W1219">
        <v>41.953074000000001</v>
      </c>
      <c r="X1219">
        <v>83.906148999999999</v>
      </c>
      <c r="Y1219">
        <v>150</v>
      </c>
      <c r="Z1219">
        <v>45.660376999999997</v>
      </c>
      <c r="AA1219">
        <v>38.023333000000001</v>
      </c>
      <c r="AB1219">
        <v>76.046666999999999</v>
      </c>
      <c r="AC1219">
        <v>150</v>
      </c>
      <c r="AD1219">
        <v>51.623846</v>
      </c>
      <c r="AE1219">
        <v>68.831795</v>
      </c>
      <c r="AF1219">
        <v>100</v>
      </c>
      <c r="AG1219">
        <v>46.106749999999998</v>
      </c>
      <c r="AH1219">
        <v>56.924585</v>
      </c>
      <c r="AI1219">
        <v>61.475667000000001</v>
      </c>
      <c r="AJ1219">
        <v>100</v>
      </c>
      <c r="AK1219">
        <v>6.46</v>
      </c>
      <c r="AL1219">
        <v>7.63</v>
      </c>
      <c r="AM1219">
        <v>10.81</v>
      </c>
      <c r="AN1219" t="s">
        <v>125</v>
      </c>
      <c r="AO1219" t="s">
        <v>125</v>
      </c>
      <c r="AP1219" t="s">
        <v>125</v>
      </c>
      <c r="AQ1219" t="s">
        <v>125</v>
      </c>
      <c r="AR1219" t="s">
        <v>125</v>
      </c>
      <c r="AS1219" t="s">
        <v>125</v>
      </c>
      <c r="AT1219" t="s">
        <v>125</v>
      </c>
      <c r="AU1219" t="s">
        <v>125</v>
      </c>
      <c r="AV1219" t="s">
        <v>125</v>
      </c>
      <c r="AW1219" t="s">
        <v>125</v>
      </c>
      <c r="AX1219" t="s">
        <v>125</v>
      </c>
      <c r="AY1219" t="s">
        <v>125</v>
      </c>
      <c r="AZ1219" t="s">
        <v>125</v>
      </c>
      <c r="BA1219" t="s">
        <v>125</v>
      </c>
      <c r="BB1219" t="s">
        <v>125</v>
      </c>
      <c r="BC1219" t="s">
        <v>125</v>
      </c>
      <c r="BD1219" t="s">
        <v>125</v>
      </c>
      <c r="BE1219" t="s">
        <v>125</v>
      </c>
      <c r="BF1219" t="s">
        <v>125</v>
      </c>
      <c r="BG1219" t="s">
        <v>125</v>
      </c>
      <c r="BH1219">
        <v>1</v>
      </c>
      <c r="BI1219">
        <v>0.98095200000000005</v>
      </c>
      <c r="BJ1219">
        <v>0.961538</v>
      </c>
      <c r="BK1219">
        <v>1</v>
      </c>
      <c r="BL1219">
        <v>0.98095200000000005</v>
      </c>
      <c r="BM1219">
        <v>0.961538</v>
      </c>
      <c r="BN1219">
        <v>1</v>
      </c>
      <c r="BO1219">
        <v>0.961538</v>
      </c>
      <c r="BP1219">
        <v>0.94230800000000003</v>
      </c>
      <c r="BQ1219">
        <v>0.980769</v>
      </c>
      <c r="BR1219">
        <v>0.14962600000000001</v>
      </c>
      <c r="BS1219">
        <v>30.074812999999999</v>
      </c>
      <c r="BT1219">
        <v>50</v>
      </c>
      <c r="BU1219">
        <v>0.20547899999999999</v>
      </c>
      <c r="BV1219">
        <v>18.904109999999999</v>
      </c>
      <c r="BW1219">
        <v>50</v>
      </c>
      <c r="BX1219">
        <v>0.99521499999999996</v>
      </c>
      <c r="BY1219">
        <v>50</v>
      </c>
      <c r="BZ1219">
        <v>50</v>
      </c>
      <c r="CA1219">
        <v>0.119617</v>
      </c>
      <c r="CB1219">
        <v>7.9744820000000001</v>
      </c>
      <c r="CC1219">
        <v>50</v>
      </c>
      <c r="CD1219">
        <v>0.97872300000000001</v>
      </c>
      <c r="CE1219">
        <v>50</v>
      </c>
      <c r="CF1219">
        <v>50</v>
      </c>
      <c r="CG1219">
        <v>0.90476199999999996</v>
      </c>
      <c r="CH1219">
        <v>96.251266000000001</v>
      </c>
      <c r="CI1219">
        <v>100</v>
      </c>
      <c r="CJ1219">
        <v>0</v>
      </c>
      <c r="CK1219">
        <v>0.93258399999999997</v>
      </c>
      <c r="CL1219">
        <v>99.211093000000005</v>
      </c>
      <c r="CM1219">
        <v>100</v>
      </c>
      <c r="CN1219">
        <v>0.30526300000000001</v>
      </c>
      <c r="CO1219">
        <v>40.701754000000001</v>
      </c>
      <c r="CP1219">
        <v>100</v>
      </c>
      <c r="CQ1219">
        <v>0.5</v>
      </c>
      <c r="CR1219">
        <v>0.97959200000000002</v>
      </c>
      <c r="CS1219">
        <v>33.333333000000003</v>
      </c>
      <c r="CT1219">
        <v>50</v>
      </c>
      <c r="CU1219">
        <v>0.65087300000000003</v>
      </c>
      <c r="CV1219">
        <v>50</v>
      </c>
      <c r="CW1219">
        <v>50</v>
      </c>
      <c r="CX1219">
        <v>0.93258399999999997</v>
      </c>
      <c r="CY1219">
        <v>0.94</v>
      </c>
      <c r="CZ1219">
        <v>7.4159999999999998E-3</v>
      </c>
      <c r="DA1219">
        <v>15.314097</v>
      </c>
      <c r="DB1219">
        <v>17.400950000000002</v>
      </c>
      <c r="DC1219">
        <v>16.332519999999999</v>
      </c>
      <c r="DD1219">
        <v>7.9891730000000001</v>
      </c>
      <c r="DE1219">
        <v>1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Q1219" t="s">
        <v>126</v>
      </c>
    </row>
    <row r="1220" spans="1:121" x14ac:dyDescent="0.15">
      <c r="A1220">
        <v>2018</v>
      </c>
      <c r="B1220" t="s">
        <v>306</v>
      </c>
      <c r="C1220" t="str">
        <f t="shared" si="56"/>
        <v>9000016</v>
      </c>
      <c r="D1220" t="s">
        <v>1369</v>
      </c>
      <c r="E1220" t="str">
        <f>"9002316"</f>
        <v>9002316</v>
      </c>
      <c r="F1220" t="s">
        <v>1354</v>
      </c>
      <c r="G1220">
        <v>9</v>
      </c>
      <c r="H1220">
        <v>12</v>
      </c>
      <c r="J1220" t="s">
        <v>331</v>
      </c>
      <c r="K1220">
        <v>1133.234011</v>
      </c>
      <c r="L1220">
        <v>1550</v>
      </c>
      <c r="M1220">
        <v>73.111872000000005</v>
      </c>
      <c r="N1220">
        <v>2</v>
      </c>
      <c r="O1220">
        <v>0</v>
      </c>
      <c r="P1220">
        <v>51.730556</v>
      </c>
      <c r="Q1220">
        <v>103.461111</v>
      </c>
      <c r="R1220">
        <v>150</v>
      </c>
      <c r="S1220">
        <v>49.422969000000002</v>
      </c>
      <c r="T1220">
        <v>56.232239999999997</v>
      </c>
      <c r="U1220">
        <v>98.845938000000004</v>
      </c>
      <c r="V1220">
        <v>150</v>
      </c>
      <c r="W1220">
        <v>47.941667000000002</v>
      </c>
      <c r="X1220">
        <v>95.883332999999993</v>
      </c>
      <c r="Y1220">
        <v>150</v>
      </c>
      <c r="Z1220">
        <v>53.497267999999998</v>
      </c>
      <c r="AA1220">
        <v>45.093837999999998</v>
      </c>
      <c r="AB1220">
        <v>90.187674999999999</v>
      </c>
      <c r="AC1220">
        <v>150</v>
      </c>
      <c r="AD1220">
        <v>63.442630000000001</v>
      </c>
      <c r="AE1220">
        <v>84.590172999999993</v>
      </c>
      <c r="AF1220">
        <v>100</v>
      </c>
      <c r="AG1220">
        <v>59.927602</v>
      </c>
      <c r="AH1220">
        <v>70.414102999999997</v>
      </c>
      <c r="AI1220">
        <v>79.903469000000001</v>
      </c>
      <c r="AJ1220">
        <v>100</v>
      </c>
      <c r="AK1220">
        <v>6.8</v>
      </c>
      <c r="AL1220">
        <v>8.4</v>
      </c>
      <c r="AM1220">
        <v>10.48</v>
      </c>
      <c r="AN1220" t="s">
        <v>125</v>
      </c>
      <c r="AO1220" t="s">
        <v>125</v>
      </c>
      <c r="AP1220" t="s">
        <v>125</v>
      </c>
      <c r="AQ1220" t="s">
        <v>125</v>
      </c>
      <c r="AR1220" t="s">
        <v>125</v>
      </c>
      <c r="AS1220" t="s">
        <v>125</v>
      </c>
      <c r="AT1220" t="s">
        <v>125</v>
      </c>
      <c r="AU1220" t="s">
        <v>125</v>
      </c>
      <c r="AV1220" t="s">
        <v>125</v>
      </c>
      <c r="AW1220" t="s">
        <v>125</v>
      </c>
      <c r="AX1220" t="s">
        <v>125</v>
      </c>
      <c r="AY1220" t="s">
        <v>125</v>
      </c>
      <c r="AZ1220" t="s">
        <v>125</v>
      </c>
      <c r="BA1220" t="s">
        <v>125</v>
      </c>
      <c r="BB1220">
        <v>0.30844700000000003</v>
      </c>
      <c r="BC1220">
        <v>15.422335</v>
      </c>
      <c r="BD1220">
        <v>50</v>
      </c>
      <c r="BE1220">
        <v>0.58749600000000002</v>
      </c>
      <c r="BF1220">
        <v>29.374791999999999</v>
      </c>
      <c r="BG1220">
        <v>50</v>
      </c>
      <c r="BH1220">
        <v>0</v>
      </c>
      <c r="BI1220">
        <v>0.98901099999999997</v>
      </c>
      <c r="BJ1220">
        <v>0.98347099999999998</v>
      </c>
      <c r="BK1220">
        <v>1</v>
      </c>
      <c r="BL1220">
        <v>0.98901099999999997</v>
      </c>
      <c r="BM1220">
        <v>0.98347099999999998</v>
      </c>
      <c r="BN1220">
        <v>1</v>
      </c>
      <c r="BO1220">
        <v>0.98351599999999995</v>
      </c>
      <c r="BP1220">
        <v>0.98347099999999998</v>
      </c>
      <c r="BQ1220">
        <v>0.98360700000000001</v>
      </c>
      <c r="BR1220">
        <v>5.5483999999999999E-2</v>
      </c>
      <c r="BS1220">
        <v>48.903225999999997</v>
      </c>
      <c r="BT1220">
        <v>50</v>
      </c>
      <c r="BU1220">
        <v>6.0428999999999997E-2</v>
      </c>
      <c r="BV1220">
        <v>47.914230000000003</v>
      </c>
      <c r="BW1220">
        <v>50</v>
      </c>
      <c r="BX1220">
        <v>1</v>
      </c>
      <c r="BY1220">
        <v>50</v>
      </c>
      <c r="BZ1220">
        <v>50</v>
      </c>
      <c r="CA1220">
        <v>0.18309900000000001</v>
      </c>
      <c r="CB1220">
        <v>12.206573000000001</v>
      </c>
      <c r="CC1220">
        <v>50</v>
      </c>
      <c r="CD1220">
        <v>1</v>
      </c>
      <c r="CE1220">
        <v>50</v>
      </c>
      <c r="CF1220">
        <v>50</v>
      </c>
      <c r="CG1220">
        <v>0.98876399999999998</v>
      </c>
      <c r="CH1220">
        <v>100</v>
      </c>
      <c r="CI1220">
        <v>100</v>
      </c>
      <c r="CJ1220">
        <v>0</v>
      </c>
      <c r="CK1220">
        <v>0.99</v>
      </c>
      <c r="CL1220">
        <v>100</v>
      </c>
      <c r="CM1220">
        <v>100</v>
      </c>
      <c r="CN1220">
        <v>0.53977299999999995</v>
      </c>
      <c r="CO1220">
        <v>71.969696999999996</v>
      </c>
      <c r="CP1220">
        <v>100</v>
      </c>
      <c r="CQ1220">
        <v>0.25728200000000001</v>
      </c>
      <c r="CR1220">
        <v>1.0048779999999999</v>
      </c>
      <c r="CS1220">
        <v>17.152104000000001</v>
      </c>
      <c r="CT1220">
        <v>50</v>
      </c>
      <c r="CU1220">
        <v>0.44903199999999999</v>
      </c>
      <c r="CV1220">
        <v>37.419355000000003</v>
      </c>
      <c r="CW1220">
        <v>50</v>
      </c>
      <c r="CX1220">
        <v>0.99</v>
      </c>
      <c r="CY1220">
        <v>0.94</v>
      </c>
      <c r="CZ1220">
        <v>-0.05</v>
      </c>
      <c r="DA1220">
        <v>15.314097</v>
      </c>
      <c r="DB1220">
        <v>17.400950000000002</v>
      </c>
      <c r="DC1220">
        <v>16.332519999999999</v>
      </c>
      <c r="DD1220">
        <v>7.9891730000000001</v>
      </c>
      <c r="DE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Q1220" t="s">
        <v>126</v>
      </c>
    </row>
    <row r="1221" spans="1:121" x14ac:dyDescent="0.15">
      <c r="A1221">
        <v>2018</v>
      </c>
      <c r="B1221" t="s">
        <v>306</v>
      </c>
      <c r="C1221" t="str">
        <f t="shared" si="56"/>
        <v>9000016</v>
      </c>
      <c r="D1221" t="s">
        <v>1370</v>
      </c>
      <c r="E1221" t="str">
        <f>"9002416"</f>
        <v>9002416</v>
      </c>
      <c r="F1221" t="s">
        <v>1354</v>
      </c>
      <c r="G1221">
        <v>9</v>
      </c>
      <c r="H1221">
        <v>12</v>
      </c>
      <c r="J1221" t="s">
        <v>331</v>
      </c>
      <c r="K1221">
        <v>1000.493125</v>
      </c>
      <c r="L1221">
        <v>1550</v>
      </c>
      <c r="M1221">
        <v>64.547944000000001</v>
      </c>
      <c r="N1221">
        <v>3</v>
      </c>
      <c r="O1221">
        <v>0</v>
      </c>
      <c r="P1221">
        <v>44.715873000000002</v>
      </c>
      <c r="Q1221">
        <v>89.431746000000004</v>
      </c>
      <c r="R1221">
        <v>150</v>
      </c>
      <c r="S1221">
        <v>42.195312000000001</v>
      </c>
      <c r="T1221">
        <v>48.650407000000001</v>
      </c>
      <c r="U1221">
        <v>84.390625</v>
      </c>
      <c r="V1221">
        <v>150</v>
      </c>
      <c r="W1221">
        <v>41.101587000000002</v>
      </c>
      <c r="X1221">
        <v>82.203175000000002</v>
      </c>
      <c r="Y1221">
        <v>150</v>
      </c>
      <c r="Z1221">
        <v>44.536585000000002</v>
      </c>
      <c r="AA1221">
        <v>38.901041999999997</v>
      </c>
      <c r="AB1221">
        <v>77.802082999999996</v>
      </c>
      <c r="AC1221">
        <v>150</v>
      </c>
      <c r="AD1221">
        <v>49.641025999999997</v>
      </c>
      <c r="AE1221">
        <v>66.188034000000002</v>
      </c>
      <c r="AF1221">
        <v>100</v>
      </c>
      <c r="AG1221">
        <v>45.536095000000003</v>
      </c>
      <c r="AH1221">
        <v>56.311537999999999</v>
      </c>
      <c r="AI1221">
        <v>60.714793</v>
      </c>
      <c r="AJ1221">
        <v>100</v>
      </c>
      <c r="AK1221">
        <v>6.45</v>
      </c>
      <c r="AL1221">
        <v>5.63</v>
      </c>
      <c r="AM1221">
        <v>10.77</v>
      </c>
      <c r="AN1221" t="s">
        <v>125</v>
      </c>
      <c r="AO1221" t="s">
        <v>125</v>
      </c>
      <c r="AP1221" t="s">
        <v>125</v>
      </c>
      <c r="AQ1221" t="s">
        <v>125</v>
      </c>
      <c r="AR1221" t="s">
        <v>125</v>
      </c>
      <c r="AS1221" t="s">
        <v>125</v>
      </c>
      <c r="AT1221" t="s">
        <v>125</v>
      </c>
      <c r="AU1221" t="s">
        <v>125</v>
      </c>
      <c r="AV1221" t="s">
        <v>125</v>
      </c>
      <c r="AW1221" t="s">
        <v>125</v>
      </c>
      <c r="AX1221" t="s">
        <v>125</v>
      </c>
      <c r="AY1221" t="s">
        <v>125</v>
      </c>
      <c r="AZ1221" t="s">
        <v>125</v>
      </c>
      <c r="BA1221" t="s">
        <v>125</v>
      </c>
      <c r="BB1221">
        <v>0.42205100000000001</v>
      </c>
      <c r="BC1221">
        <v>21.102564000000001</v>
      </c>
      <c r="BD1221">
        <v>50</v>
      </c>
      <c r="BE1221">
        <v>0.51581699999999997</v>
      </c>
      <c r="BF1221">
        <v>25.790855000000001</v>
      </c>
      <c r="BG1221">
        <v>50</v>
      </c>
      <c r="BH1221">
        <v>0</v>
      </c>
      <c r="BI1221">
        <v>0.99056599999999995</v>
      </c>
      <c r="BJ1221">
        <v>0.98461500000000002</v>
      </c>
      <c r="BK1221">
        <v>1</v>
      </c>
      <c r="BL1221">
        <v>0.99056599999999995</v>
      </c>
      <c r="BM1221">
        <v>0.98461500000000002</v>
      </c>
      <c r="BN1221">
        <v>1</v>
      </c>
      <c r="BO1221">
        <v>0.99056599999999995</v>
      </c>
      <c r="BP1221">
        <v>1</v>
      </c>
      <c r="BQ1221">
        <v>0.97560999999999998</v>
      </c>
      <c r="BR1221">
        <v>7.7802999999999997E-2</v>
      </c>
      <c r="BS1221">
        <v>44.439359000000003</v>
      </c>
      <c r="BT1221">
        <v>50</v>
      </c>
      <c r="BU1221">
        <v>8.3333000000000004E-2</v>
      </c>
      <c r="BV1221">
        <v>43.333333000000003</v>
      </c>
      <c r="BW1221">
        <v>50</v>
      </c>
      <c r="BX1221">
        <v>1</v>
      </c>
      <c r="BY1221">
        <v>50</v>
      </c>
      <c r="BZ1221">
        <v>50</v>
      </c>
      <c r="CA1221">
        <v>0.103627</v>
      </c>
      <c r="CB1221">
        <v>6.9084630000000002</v>
      </c>
      <c r="CC1221">
        <v>50</v>
      </c>
      <c r="CD1221">
        <v>0.97101400000000004</v>
      </c>
      <c r="CE1221">
        <v>50</v>
      </c>
      <c r="CF1221">
        <v>50</v>
      </c>
      <c r="CG1221">
        <v>0.96748000000000001</v>
      </c>
      <c r="CH1221">
        <v>100</v>
      </c>
      <c r="CI1221">
        <v>100</v>
      </c>
      <c r="CJ1221">
        <v>0</v>
      </c>
      <c r="CK1221">
        <v>0.98837200000000003</v>
      </c>
      <c r="CL1221">
        <v>100</v>
      </c>
      <c r="CM1221">
        <v>100</v>
      </c>
      <c r="CN1221">
        <v>0.25833299999999998</v>
      </c>
      <c r="CO1221">
        <v>34.444443999999997</v>
      </c>
      <c r="CP1221">
        <v>100</v>
      </c>
      <c r="CQ1221">
        <v>0.641509</v>
      </c>
      <c r="CR1221">
        <v>1</v>
      </c>
      <c r="CS1221">
        <v>42.767296000000002</v>
      </c>
      <c r="CT1221">
        <v>50</v>
      </c>
      <c r="CU1221">
        <v>0.251716</v>
      </c>
      <c r="CV1221">
        <v>20.976354000000001</v>
      </c>
      <c r="CW1221">
        <v>50</v>
      </c>
      <c r="CX1221">
        <v>0.98837200000000003</v>
      </c>
      <c r="CY1221">
        <v>0.94</v>
      </c>
      <c r="CZ1221">
        <v>-4.8371999999999998E-2</v>
      </c>
      <c r="DA1221">
        <v>15.314097</v>
      </c>
      <c r="DB1221">
        <v>17.400950000000002</v>
      </c>
      <c r="DC1221">
        <v>16.332519999999999</v>
      </c>
      <c r="DD1221">
        <v>7.9891730000000001</v>
      </c>
      <c r="DE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Q1221" t="s">
        <v>126</v>
      </c>
    </row>
    <row r="1222" spans="1:121" x14ac:dyDescent="0.15">
      <c r="A1222">
        <v>2018</v>
      </c>
      <c r="B1222" t="s">
        <v>163</v>
      </c>
      <c r="C1222" t="str">
        <f>"9010022"</f>
        <v>9010022</v>
      </c>
      <c r="D1222" t="s">
        <v>1371</v>
      </c>
      <c r="E1222" t="str">
        <f>"9016122"</f>
        <v>9016122</v>
      </c>
      <c r="F1222" t="s">
        <v>1372</v>
      </c>
      <c r="G1222">
        <v>9</v>
      </c>
      <c r="H1222">
        <v>12</v>
      </c>
      <c r="J1222" t="s">
        <v>331</v>
      </c>
      <c r="K1222">
        <v>1085.227042</v>
      </c>
      <c r="L1222">
        <v>1550</v>
      </c>
      <c r="M1222">
        <v>70.014647999999994</v>
      </c>
      <c r="N1222">
        <v>3</v>
      </c>
      <c r="O1222">
        <v>0</v>
      </c>
      <c r="P1222">
        <v>55.317689999999999</v>
      </c>
      <c r="Q1222">
        <v>110.635379</v>
      </c>
      <c r="R1222">
        <v>150</v>
      </c>
      <c r="S1222">
        <v>47.921678999999997</v>
      </c>
      <c r="T1222">
        <v>62.148727000000001</v>
      </c>
      <c r="U1222">
        <v>95.843357999999995</v>
      </c>
      <c r="V1222">
        <v>150</v>
      </c>
      <c r="W1222">
        <v>51.287004000000003</v>
      </c>
      <c r="X1222">
        <v>102.57400699999999</v>
      </c>
      <c r="Y1222">
        <v>150</v>
      </c>
      <c r="Z1222">
        <v>58.800347000000002</v>
      </c>
      <c r="AA1222">
        <v>43.152256000000001</v>
      </c>
      <c r="AB1222">
        <v>86.304511000000005</v>
      </c>
      <c r="AC1222">
        <v>150</v>
      </c>
      <c r="AD1222">
        <v>58.225026999999997</v>
      </c>
      <c r="AE1222">
        <v>77.633369000000002</v>
      </c>
      <c r="AF1222">
        <v>100</v>
      </c>
      <c r="AG1222">
        <v>50.950937000000003</v>
      </c>
      <c r="AH1222">
        <v>64.814795000000004</v>
      </c>
      <c r="AI1222">
        <v>67.934583000000003</v>
      </c>
      <c r="AJ1222">
        <v>100</v>
      </c>
      <c r="AK1222">
        <v>14.22</v>
      </c>
      <c r="AL1222">
        <v>15.64</v>
      </c>
      <c r="AM1222">
        <v>13.86</v>
      </c>
      <c r="AN1222" t="s">
        <v>125</v>
      </c>
      <c r="AO1222" t="s">
        <v>125</v>
      </c>
      <c r="AP1222" t="s">
        <v>125</v>
      </c>
      <c r="AQ1222" t="s">
        <v>125</v>
      </c>
      <c r="AR1222" t="s">
        <v>125</v>
      </c>
      <c r="AS1222" t="s">
        <v>125</v>
      </c>
      <c r="AT1222" t="s">
        <v>125</v>
      </c>
      <c r="AU1222" t="s">
        <v>125</v>
      </c>
      <c r="AV1222" t="s">
        <v>125</v>
      </c>
      <c r="AW1222" t="s">
        <v>125</v>
      </c>
      <c r="AX1222" t="s">
        <v>125</v>
      </c>
      <c r="AY1222" t="s">
        <v>125</v>
      </c>
      <c r="AZ1222" t="s">
        <v>125</v>
      </c>
      <c r="BA1222" t="s">
        <v>125</v>
      </c>
      <c r="BB1222">
        <v>0.46406799999999998</v>
      </c>
      <c r="BC1222">
        <v>23.203375000000001</v>
      </c>
      <c r="BD1222">
        <v>50</v>
      </c>
      <c r="BE1222">
        <v>0.56309100000000001</v>
      </c>
      <c r="BF1222">
        <v>28.15457</v>
      </c>
      <c r="BG1222">
        <v>50</v>
      </c>
      <c r="BH1222">
        <v>1</v>
      </c>
      <c r="BI1222">
        <v>0.96321100000000004</v>
      </c>
      <c r="BJ1222">
        <v>0.94352199999999997</v>
      </c>
      <c r="BK1222">
        <v>0.98316499999999996</v>
      </c>
      <c r="BL1222">
        <v>0.96321100000000004</v>
      </c>
      <c r="BM1222">
        <v>0.94352199999999997</v>
      </c>
      <c r="BN1222">
        <v>0.98316499999999996</v>
      </c>
      <c r="BO1222">
        <v>0.956229</v>
      </c>
      <c r="BP1222">
        <v>0.92952999999999997</v>
      </c>
      <c r="BQ1222">
        <v>0.98310799999999998</v>
      </c>
      <c r="BR1222">
        <v>0.174429</v>
      </c>
      <c r="BS1222">
        <v>25.114155</v>
      </c>
      <c r="BT1222">
        <v>50</v>
      </c>
      <c r="BU1222">
        <v>0.22175</v>
      </c>
      <c r="BV1222">
        <v>15.649958</v>
      </c>
      <c r="BW1222">
        <v>50</v>
      </c>
      <c r="BX1222">
        <v>0.73967700000000003</v>
      </c>
      <c r="BY1222">
        <v>49.311788999999997</v>
      </c>
      <c r="BZ1222">
        <v>50</v>
      </c>
      <c r="CA1222">
        <v>0.354578</v>
      </c>
      <c r="CB1222">
        <v>23.638539999999999</v>
      </c>
      <c r="CC1222">
        <v>50</v>
      </c>
      <c r="CD1222">
        <v>0.85077499999999995</v>
      </c>
      <c r="CE1222">
        <v>45.253999999999998</v>
      </c>
      <c r="CF1222">
        <v>50</v>
      </c>
      <c r="CG1222">
        <v>0.88869299999999996</v>
      </c>
      <c r="CH1222">
        <v>94.541764000000001</v>
      </c>
      <c r="CI1222">
        <v>100</v>
      </c>
      <c r="CJ1222">
        <v>1</v>
      </c>
      <c r="CK1222">
        <v>0.81818199999999996</v>
      </c>
      <c r="CL1222">
        <v>87.040619000000007</v>
      </c>
      <c r="CM1222">
        <v>100</v>
      </c>
      <c r="CN1222">
        <v>0.67786599999999997</v>
      </c>
      <c r="CO1222">
        <v>90.382081999999997</v>
      </c>
      <c r="CP1222">
        <v>100</v>
      </c>
      <c r="CQ1222">
        <v>0.30630600000000002</v>
      </c>
      <c r="CR1222">
        <v>0.98930499999999999</v>
      </c>
      <c r="CS1222">
        <v>20.42042</v>
      </c>
      <c r="CT1222">
        <v>50</v>
      </c>
      <c r="CU1222">
        <v>0.499087</v>
      </c>
      <c r="CV1222">
        <v>41.590563000000003</v>
      </c>
      <c r="CW1222">
        <v>50</v>
      </c>
      <c r="CX1222">
        <v>0.81818199999999996</v>
      </c>
      <c r="CY1222">
        <v>0.94</v>
      </c>
      <c r="CZ1222">
        <v>0.121818</v>
      </c>
      <c r="DA1222">
        <v>15.314097</v>
      </c>
      <c r="DB1222">
        <v>17.400950000000002</v>
      </c>
      <c r="DC1222">
        <v>16.332519999999999</v>
      </c>
      <c r="DD1222">
        <v>7.9891730000000001</v>
      </c>
      <c r="DE1222">
        <v>1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Q1222" t="s">
        <v>126</v>
      </c>
    </row>
    <row r="1223" spans="1:121" x14ac:dyDescent="0.15">
      <c r="A1223">
        <v>2018</v>
      </c>
      <c r="B1223" t="s">
        <v>164</v>
      </c>
      <c r="C1223" t="str">
        <f>"9020022"</f>
        <v>9020022</v>
      </c>
      <c r="D1223" t="s">
        <v>1373</v>
      </c>
      <c r="E1223" t="str">
        <f>"9026122"</f>
        <v>9026122</v>
      </c>
      <c r="F1223" t="s">
        <v>1372</v>
      </c>
      <c r="G1223">
        <v>7</v>
      </c>
      <c r="H1223">
        <v>12</v>
      </c>
      <c r="J1223" t="s">
        <v>331</v>
      </c>
      <c r="K1223">
        <v>990.70567700000004</v>
      </c>
      <c r="L1223">
        <v>1350</v>
      </c>
      <c r="M1223">
        <v>73.385605999999996</v>
      </c>
      <c r="N1223">
        <v>3</v>
      </c>
      <c r="O1223">
        <v>0</v>
      </c>
      <c r="P1223">
        <v>60.898515000000003</v>
      </c>
      <c r="Q1223">
        <v>40.59901</v>
      </c>
      <c r="R1223">
        <v>50</v>
      </c>
      <c r="S1223">
        <v>56.21125</v>
      </c>
      <c r="T1223">
        <v>66.541435000000007</v>
      </c>
      <c r="U1223">
        <v>37.474165999999997</v>
      </c>
      <c r="V1223">
        <v>50</v>
      </c>
      <c r="W1223">
        <v>55.745665000000002</v>
      </c>
      <c r="X1223">
        <v>37.163777000000003</v>
      </c>
      <c r="Y1223">
        <v>50</v>
      </c>
      <c r="Z1223">
        <v>61.166775000000001</v>
      </c>
      <c r="AA1223">
        <v>51.168827</v>
      </c>
      <c r="AB1223">
        <v>34.112551000000003</v>
      </c>
      <c r="AC1223">
        <v>50</v>
      </c>
      <c r="AD1223">
        <v>59.031928000000001</v>
      </c>
      <c r="AE1223">
        <v>39.354619</v>
      </c>
      <c r="AF1223">
        <v>50</v>
      </c>
      <c r="AG1223">
        <v>56.743777999999999</v>
      </c>
      <c r="AH1223">
        <v>61.821590999999998</v>
      </c>
      <c r="AI1223">
        <v>37.829186</v>
      </c>
      <c r="AJ1223">
        <v>50</v>
      </c>
      <c r="AK1223">
        <v>10.33</v>
      </c>
      <c r="AL1223">
        <v>9.99</v>
      </c>
      <c r="AM1223">
        <v>5.07</v>
      </c>
      <c r="AN1223">
        <v>0.66809700000000005</v>
      </c>
      <c r="AO1223">
        <v>66.809663999999998</v>
      </c>
      <c r="AP1223">
        <v>100</v>
      </c>
      <c r="AQ1223">
        <v>0.66708500000000004</v>
      </c>
      <c r="AR1223">
        <v>66.708524999999995</v>
      </c>
      <c r="AS1223">
        <v>100</v>
      </c>
      <c r="AT1223">
        <v>0.61851900000000004</v>
      </c>
      <c r="AU1223">
        <v>0.73126800000000003</v>
      </c>
      <c r="AV1223">
        <v>61.851931999999998</v>
      </c>
      <c r="AW1223">
        <v>100</v>
      </c>
      <c r="AX1223">
        <v>0.67697399999999996</v>
      </c>
      <c r="AY1223">
        <v>0.65480400000000005</v>
      </c>
      <c r="AZ1223">
        <v>67.697385999999995</v>
      </c>
      <c r="BA1223">
        <v>100</v>
      </c>
      <c r="BB1223" t="s">
        <v>125</v>
      </c>
      <c r="BC1223" t="s">
        <v>125</v>
      </c>
      <c r="BD1223" t="s">
        <v>125</v>
      </c>
      <c r="BE1223" t="s">
        <v>125</v>
      </c>
      <c r="BF1223" t="s">
        <v>125</v>
      </c>
      <c r="BG1223" t="s">
        <v>125</v>
      </c>
      <c r="BH1223">
        <v>1</v>
      </c>
      <c r="BI1223">
        <v>0.97550999999999999</v>
      </c>
      <c r="BJ1223">
        <v>0.96946600000000005</v>
      </c>
      <c r="BK1223">
        <v>0.982456</v>
      </c>
      <c r="BL1223">
        <v>0.96734699999999996</v>
      </c>
      <c r="BM1223">
        <v>0.95419799999999999</v>
      </c>
      <c r="BN1223">
        <v>0.982456</v>
      </c>
      <c r="BO1223">
        <v>0.96022700000000005</v>
      </c>
      <c r="BP1223">
        <v>0.94845400000000002</v>
      </c>
      <c r="BQ1223">
        <v>0.97468399999999999</v>
      </c>
      <c r="BR1223">
        <v>0.138132</v>
      </c>
      <c r="BS1223">
        <v>32.373541000000003</v>
      </c>
      <c r="BT1223">
        <v>50</v>
      </c>
      <c r="BU1223">
        <v>0.21343899999999999</v>
      </c>
      <c r="BV1223">
        <v>17.312252999999998</v>
      </c>
      <c r="BW1223">
        <v>50</v>
      </c>
      <c r="BX1223">
        <v>0.79047599999999996</v>
      </c>
      <c r="BY1223">
        <v>50</v>
      </c>
      <c r="BZ1223">
        <v>50</v>
      </c>
      <c r="CA1223">
        <v>0.33333299999999999</v>
      </c>
      <c r="CB1223">
        <v>22.222221999999999</v>
      </c>
      <c r="CC1223">
        <v>50</v>
      </c>
      <c r="CD1223">
        <v>0.87234</v>
      </c>
      <c r="CE1223">
        <v>46.401085999999999</v>
      </c>
      <c r="CF1223">
        <v>50</v>
      </c>
      <c r="CG1223">
        <v>0.87912100000000004</v>
      </c>
      <c r="CH1223">
        <v>93.523498000000004</v>
      </c>
      <c r="CI1223">
        <v>100</v>
      </c>
      <c r="CJ1223">
        <v>0</v>
      </c>
      <c r="CK1223">
        <v>0.86206899999999997</v>
      </c>
      <c r="CL1223">
        <v>91.709463999999997</v>
      </c>
      <c r="CM1223">
        <v>100</v>
      </c>
      <c r="CN1223">
        <v>0.64102599999999998</v>
      </c>
      <c r="CO1223">
        <v>85.470084999999997</v>
      </c>
      <c r="CP1223">
        <v>100</v>
      </c>
      <c r="CQ1223">
        <v>0.221557</v>
      </c>
      <c r="CR1223">
        <v>0.97092999999999996</v>
      </c>
      <c r="CS1223">
        <v>14.770459000000001</v>
      </c>
      <c r="CT1223">
        <v>50</v>
      </c>
      <c r="CU1223">
        <v>0.56786700000000001</v>
      </c>
      <c r="CV1223">
        <v>47.322253000000003</v>
      </c>
      <c r="CW1223">
        <v>50</v>
      </c>
      <c r="CX1223">
        <v>0.86206899999999997</v>
      </c>
      <c r="CY1223">
        <v>0.94</v>
      </c>
      <c r="CZ1223">
        <v>7.7931E-2</v>
      </c>
      <c r="DA1223">
        <v>15.314097</v>
      </c>
      <c r="DB1223">
        <v>17.400950000000002</v>
      </c>
      <c r="DC1223">
        <v>16.332519999999999</v>
      </c>
      <c r="DD1223">
        <v>7.9891730000000001</v>
      </c>
      <c r="DE1223">
        <v>1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Q1223" t="s">
        <v>126</v>
      </c>
    </row>
    <row r="1224" spans="1:121" x14ac:dyDescent="0.15">
      <c r="A1224">
        <v>2018</v>
      </c>
      <c r="B1224" t="s">
        <v>165</v>
      </c>
      <c r="C1224" t="str">
        <f>"9030022"</f>
        <v>9030022</v>
      </c>
      <c r="D1224" t="s">
        <v>1374</v>
      </c>
      <c r="E1224" t="str">
        <f>"9036122"</f>
        <v>9036122</v>
      </c>
      <c r="F1224" t="s">
        <v>1372</v>
      </c>
      <c r="G1224">
        <v>9</v>
      </c>
      <c r="H1224">
        <v>12</v>
      </c>
      <c r="J1224" t="s">
        <v>331</v>
      </c>
      <c r="K1224">
        <v>1135.4285090000001</v>
      </c>
      <c r="L1224">
        <v>1450</v>
      </c>
      <c r="M1224">
        <v>78.305413999999999</v>
      </c>
      <c r="N1224">
        <v>3</v>
      </c>
      <c r="O1224">
        <v>1</v>
      </c>
      <c r="P1224">
        <v>59.094890999999997</v>
      </c>
      <c r="Q1224">
        <v>118.189781</v>
      </c>
      <c r="R1224">
        <v>150</v>
      </c>
      <c r="S1224">
        <v>48.724359</v>
      </c>
      <c r="T1224">
        <v>60.182124000000002</v>
      </c>
      <c r="U1224">
        <v>97.448718</v>
      </c>
      <c r="V1224">
        <v>150</v>
      </c>
      <c r="W1224">
        <v>60.123074000000003</v>
      </c>
      <c r="X1224">
        <v>120.24614800000001</v>
      </c>
      <c r="Y1224">
        <v>150</v>
      </c>
      <c r="Z1224">
        <v>61.926746999999999</v>
      </c>
      <c r="AA1224">
        <v>42.918802999999997</v>
      </c>
      <c r="AB1224">
        <v>85.837607000000006</v>
      </c>
      <c r="AC1224">
        <v>150</v>
      </c>
      <c r="AD1224">
        <v>61.717053</v>
      </c>
      <c r="AE1224">
        <v>82.289404000000005</v>
      </c>
      <c r="AF1224">
        <v>100</v>
      </c>
      <c r="AG1224">
        <v>50.016061000000001</v>
      </c>
      <c r="AH1224">
        <v>62.924298</v>
      </c>
      <c r="AI1224">
        <v>66.688080999999997</v>
      </c>
      <c r="AJ1224">
        <v>100</v>
      </c>
      <c r="AK1224">
        <v>11.45</v>
      </c>
      <c r="AL1224">
        <v>19</v>
      </c>
      <c r="AM1224">
        <v>12.9</v>
      </c>
      <c r="AN1224" t="s">
        <v>125</v>
      </c>
      <c r="AO1224" t="s">
        <v>125</v>
      </c>
      <c r="AP1224" t="s">
        <v>125</v>
      </c>
      <c r="AQ1224" t="s">
        <v>125</v>
      </c>
      <c r="AR1224" t="s">
        <v>125</v>
      </c>
      <c r="AS1224" t="s">
        <v>125</v>
      </c>
      <c r="AT1224" t="s">
        <v>125</v>
      </c>
      <c r="AU1224" t="s">
        <v>125</v>
      </c>
      <c r="AV1224" t="s">
        <v>125</v>
      </c>
      <c r="AW1224" t="s">
        <v>125</v>
      </c>
      <c r="AX1224" t="s">
        <v>125</v>
      </c>
      <c r="AY1224" t="s">
        <v>125</v>
      </c>
      <c r="AZ1224" t="s">
        <v>125</v>
      </c>
      <c r="BA1224" t="s">
        <v>125</v>
      </c>
      <c r="BB1224" t="s">
        <v>125</v>
      </c>
      <c r="BC1224" t="s">
        <v>125</v>
      </c>
      <c r="BD1224" t="s">
        <v>125</v>
      </c>
      <c r="BE1224" t="s">
        <v>125</v>
      </c>
      <c r="BF1224" t="s">
        <v>125</v>
      </c>
      <c r="BG1224" t="s">
        <v>125</v>
      </c>
      <c r="BH1224">
        <v>1</v>
      </c>
      <c r="BI1224">
        <v>0.98581600000000003</v>
      </c>
      <c r="BJ1224">
        <v>0.92857100000000004</v>
      </c>
      <c r="BK1224">
        <v>0.99212599999999995</v>
      </c>
      <c r="BL1224">
        <v>0.98581600000000003</v>
      </c>
      <c r="BM1224">
        <v>0.92857100000000004</v>
      </c>
      <c r="BN1224">
        <v>0.99212599999999995</v>
      </c>
      <c r="BO1224">
        <v>0.98239399999999999</v>
      </c>
      <c r="BP1224">
        <v>0.92857100000000004</v>
      </c>
      <c r="BQ1224">
        <v>0.98828099999999997</v>
      </c>
      <c r="BR1224">
        <v>0.103321</v>
      </c>
      <c r="BS1224">
        <v>39.335793000000002</v>
      </c>
      <c r="BT1224">
        <v>50</v>
      </c>
      <c r="BU1224">
        <v>0.19230800000000001</v>
      </c>
      <c r="BV1224">
        <v>21.538461999999999</v>
      </c>
      <c r="BW1224">
        <v>50</v>
      </c>
      <c r="BX1224">
        <v>0.69217700000000004</v>
      </c>
      <c r="BY1224">
        <v>46.145125</v>
      </c>
      <c r="BZ1224">
        <v>50</v>
      </c>
      <c r="CA1224">
        <v>0.56122399999999995</v>
      </c>
      <c r="CB1224">
        <v>37.414966</v>
      </c>
      <c r="CC1224">
        <v>50</v>
      </c>
      <c r="CD1224">
        <v>0.97435899999999998</v>
      </c>
      <c r="CE1224">
        <v>50</v>
      </c>
      <c r="CF1224">
        <v>50</v>
      </c>
      <c r="CG1224">
        <v>0.98809499999999995</v>
      </c>
      <c r="CH1224">
        <v>100</v>
      </c>
      <c r="CI1224">
        <v>100</v>
      </c>
      <c r="CJ1224">
        <v>0</v>
      </c>
      <c r="CK1224">
        <v>0.94285699999999995</v>
      </c>
      <c r="CL1224">
        <v>100</v>
      </c>
      <c r="CM1224">
        <v>100</v>
      </c>
      <c r="CN1224">
        <v>0.74319100000000005</v>
      </c>
      <c r="CO1224">
        <v>99.092088000000004</v>
      </c>
      <c r="CP1224">
        <v>100</v>
      </c>
      <c r="CQ1224">
        <v>0.91627899999999995</v>
      </c>
      <c r="CR1224">
        <v>0.82061099999999998</v>
      </c>
      <c r="CS1224">
        <v>25</v>
      </c>
      <c r="CT1224">
        <v>50</v>
      </c>
      <c r="CU1224">
        <v>0.55442800000000003</v>
      </c>
      <c r="CV1224">
        <v>46.202337</v>
      </c>
      <c r="CW1224">
        <v>50</v>
      </c>
      <c r="CX1224">
        <v>0.94285699999999995</v>
      </c>
      <c r="CY1224">
        <v>0.94</v>
      </c>
      <c r="CZ1224">
        <v>-2.8570000000000002E-3</v>
      </c>
      <c r="DA1224">
        <v>15.314097</v>
      </c>
      <c r="DB1224">
        <v>17.400950000000002</v>
      </c>
      <c r="DC1224">
        <v>16.332519999999999</v>
      </c>
      <c r="DD1224">
        <v>7.9891730000000001</v>
      </c>
      <c r="DE1224">
        <v>1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Q1224" t="s">
        <v>126</v>
      </c>
    </row>
    <row r="1225" spans="1:121" x14ac:dyDescent="0.15">
      <c r="A1225">
        <v>2018</v>
      </c>
      <c r="B1225" t="s">
        <v>1375</v>
      </c>
      <c r="C1225" t="str">
        <f>"0000000"</f>
        <v>0000000</v>
      </c>
      <c r="D1225" t="s">
        <v>1375</v>
      </c>
      <c r="E1225" t="str">
        <f>"0000000"</f>
        <v>0000000</v>
      </c>
      <c r="F1225" t="s">
        <v>1375</v>
      </c>
      <c r="G1225" t="s">
        <v>329</v>
      </c>
      <c r="H1225">
        <v>12</v>
      </c>
      <c r="J1225" t="s">
        <v>1376</v>
      </c>
      <c r="K1225">
        <v>1076.2</v>
      </c>
      <c r="L1225">
        <v>1450</v>
      </c>
      <c r="M1225">
        <v>74.2</v>
      </c>
      <c r="N1225" t="s">
        <v>125</v>
      </c>
      <c r="O1225" t="s">
        <v>125</v>
      </c>
      <c r="P1225">
        <v>67.7</v>
      </c>
      <c r="Q1225">
        <v>45.1</v>
      </c>
      <c r="R1225">
        <v>50</v>
      </c>
      <c r="S1225">
        <v>58.1</v>
      </c>
      <c r="T1225" t="s">
        <v>125</v>
      </c>
      <c r="U1225">
        <v>38.799999999999997</v>
      </c>
      <c r="V1225">
        <v>50</v>
      </c>
      <c r="W1225">
        <v>63.1</v>
      </c>
      <c r="X1225">
        <v>42</v>
      </c>
      <c r="Y1225">
        <v>50</v>
      </c>
      <c r="Z1225" t="s">
        <v>125</v>
      </c>
      <c r="AA1225">
        <v>52.7</v>
      </c>
      <c r="AB1225">
        <v>35.1</v>
      </c>
      <c r="AC1225">
        <v>50</v>
      </c>
      <c r="AD1225">
        <v>63.8</v>
      </c>
      <c r="AE1225">
        <v>42.5</v>
      </c>
      <c r="AF1225">
        <v>50</v>
      </c>
      <c r="AG1225">
        <v>54.2</v>
      </c>
      <c r="AH1225" t="s">
        <v>125</v>
      </c>
      <c r="AI1225">
        <v>36.1</v>
      </c>
      <c r="AJ1225">
        <v>50</v>
      </c>
      <c r="AK1225" t="s">
        <v>125</v>
      </c>
      <c r="AL1225" t="s">
        <v>125</v>
      </c>
      <c r="AM1225" t="s">
        <v>125</v>
      </c>
      <c r="AN1225">
        <v>0.59899999999999998</v>
      </c>
      <c r="AO1225">
        <v>59.9</v>
      </c>
      <c r="AP1225">
        <v>100</v>
      </c>
      <c r="AQ1225">
        <v>0.625</v>
      </c>
      <c r="AR1225">
        <v>62.5</v>
      </c>
      <c r="AS1225">
        <v>100</v>
      </c>
      <c r="AT1225">
        <v>0.55100000000000005</v>
      </c>
      <c r="AU1225" t="s">
        <v>125</v>
      </c>
      <c r="AV1225">
        <v>55.1</v>
      </c>
      <c r="AW1225">
        <v>100</v>
      </c>
      <c r="AX1225">
        <v>0.55200000000000005</v>
      </c>
      <c r="AY1225" t="s">
        <v>125</v>
      </c>
      <c r="AZ1225">
        <v>55.2</v>
      </c>
      <c r="BA1225">
        <v>100</v>
      </c>
      <c r="BB1225">
        <v>0.6</v>
      </c>
      <c r="BC1225">
        <v>30</v>
      </c>
      <c r="BD1225">
        <v>50</v>
      </c>
      <c r="BE1225">
        <v>0.52100000000000002</v>
      </c>
      <c r="BF1225">
        <v>26.1</v>
      </c>
      <c r="BG1225">
        <v>50</v>
      </c>
      <c r="BH1225" t="s">
        <v>125</v>
      </c>
      <c r="BI1225">
        <v>0.98499999999999999</v>
      </c>
      <c r="BJ1225">
        <v>0.98099999999999998</v>
      </c>
      <c r="BK1225" t="s">
        <v>125</v>
      </c>
      <c r="BL1225">
        <v>0.98299999999999998</v>
      </c>
      <c r="BM1225">
        <v>0.97899999999999998</v>
      </c>
      <c r="BN1225" t="s">
        <v>125</v>
      </c>
      <c r="BO1225">
        <v>0.97899999999999998</v>
      </c>
      <c r="BP1225">
        <v>0.97099999999999997</v>
      </c>
      <c r="BQ1225" t="s">
        <v>125</v>
      </c>
      <c r="BR1225">
        <v>0.104</v>
      </c>
      <c r="BS1225">
        <v>39.200000000000003</v>
      </c>
      <c r="BT1225">
        <v>50</v>
      </c>
      <c r="BU1225">
        <v>0.161</v>
      </c>
      <c r="BV1225">
        <v>27.8</v>
      </c>
      <c r="BW1225">
        <v>50</v>
      </c>
      <c r="BX1225">
        <v>0.8</v>
      </c>
      <c r="BY1225">
        <v>50</v>
      </c>
      <c r="BZ1225">
        <v>50</v>
      </c>
      <c r="CA1225">
        <v>0.42599999999999999</v>
      </c>
      <c r="CB1225">
        <v>28.4</v>
      </c>
      <c r="CC1225">
        <v>50</v>
      </c>
      <c r="CD1225">
        <v>0.88</v>
      </c>
      <c r="CE1225">
        <v>46.8</v>
      </c>
      <c r="CF1225">
        <v>50</v>
      </c>
      <c r="CG1225">
        <v>0.88300000000000001</v>
      </c>
      <c r="CH1225">
        <v>93.9</v>
      </c>
      <c r="CI1225">
        <v>100</v>
      </c>
      <c r="CJ1225" t="s">
        <v>125</v>
      </c>
      <c r="CK1225">
        <v>0.83299999999999996</v>
      </c>
      <c r="CL1225">
        <v>88.6</v>
      </c>
      <c r="CM1225">
        <v>100</v>
      </c>
      <c r="CN1225">
        <v>0.70899999999999996</v>
      </c>
      <c r="CO1225">
        <v>94.5</v>
      </c>
      <c r="CP1225">
        <v>100</v>
      </c>
      <c r="CQ1225">
        <v>0.52900000000000003</v>
      </c>
      <c r="CR1225">
        <v>0.96399999999999997</v>
      </c>
      <c r="CS1225">
        <v>35.299999999999997</v>
      </c>
      <c r="CT1225">
        <v>50</v>
      </c>
      <c r="CU1225">
        <v>0.51900000000000002</v>
      </c>
      <c r="CV1225">
        <v>43.3</v>
      </c>
      <c r="CW1225">
        <v>50</v>
      </c>
      <c r="CX1225" t="s">
        <v>125</v>
      </c>
      <c r="CY1225" t="s">
        <v>125</v>
      </c>
      <c r="CZ1225" t="s">
        <v>125</v>
      </c>
      <c r="DA1225" t="s">
        <v>125</v>
      </c>
      <c r="DB1225" t="s">
        <v>125</v>
      </c>
      <c r="DC1225" t="s">
        <v>125</v>
      </c>
      <c r="DD1225" t="s">
        <v>125</v>
      </c>
      <c r="DE1225" t="s">
        <v>125</v>
      </c>
      <c r="DJ1225" t="s">
        <v>125</v>
      </c>
      <c r="DK1225" t="s">
        <v>125</v>
      </c>
      <c r="DL1225" t="s">
        <v>125</v>
      </c>
      <c r="DM1225" t="s">
        <v>125</v>
      </c>
      <c r="DN1225" t="s">
        <v>125</v>
      </c>
      <c r="DO1225" t="s">
        <v>125</v>
      </c>
      <c r="DQ1225" t="s">
        <v>126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nextgenacct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Fang</cp:lastModifiedBy>
  <dcterms:created xsi:type="dcterms:W3CDTF">2021-05-16T02:14:33Z</dcterms:created>
  <dcterms:modified xsi:type="dcterms:W3CDTF">2021-05-16T14:18:18Z</dcterms:modified>
</cp:coreProperties>
</file>